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ghi\Desktop\Finanze Personali\Investimenti\Azioni\Company Valuation\Xiaomi\"/>
    </mc:Choice>
  </mc:AlternateContent>
  <xr:revisionPtr revIDLastSave="0" documentId="13_ncr:1_{6CFE948A-F92C-4C92-93E1-1F85DBEA6B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810.HK" sheetId="3" r:id="rId1"/>
    <sheet name="Competitors" sheetId="4" r:id="rId2"/>
  </sheets>
  <definedNames>
    <definedName name="_xlnm._FilterDatabase" localSheetId="1" hidden="1">Competitors!$D$1:$G$8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3" l="1"/>
  <c r="Q23" i="3"/>
  <c r="Q22" i="3"/>
  <c r="Q20" i="3"/>
  <c r="Q19" i="3"/>
  <c r="Q17" i="3"/>
  <c r="Q16" i="3"/>
  <c r="B7" i="3"/>
  <c r="Q12" i="3"/>
  <c r="R12" i="3"/>
  <c r="S12" i="3"/>
  <c r="Q11" i="3"/>
  <c r="R11" i="3"/>
  <c r="S11" i="3"/>
  <c r="T11" i="3"/>
  <c r="Q10" i="3"/>
  <c r="R10" i="3"/>
  <c r="S10" i="3"/>
  <c r="T12" i="3"/>
  <c r="T10" i="3"/>
  <c r="AL33" i="3" l="1"/>
  <c r="AO36" i="3"/>
  <c r="AO35" i="3"/>
  <c r="F16" i="4"/>
  <c r="E16" i="4"/>
  <c r="G7" i="4"/>
  <c r="G4" i="4"/>
  <c r="F7" i="4"/>
  <c r="F4" i="4"/>
  <c r="E8" i="4"/>
  <c r="E7" i="4"/>
  <c r="E4" i="4"/>
  <c r="G16" i="4"/>
  <c r="B6" i="4"/>
  <c r="B4" i="4"/>
  <c r="O7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I35" i="3"/>
  <c r="I34" i="3"/>
  <c r="I33" i="3"/>
  <c r="Y41" i="3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Y43" i="3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Y42" i="3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G8" i="4" l="1"/>
  <c r="F8" i="4"/>
  <c r="B7" i="4"/>
  <c r="Y44" i="3"/>
  <c r="X39" i="3"/>
  <c r="W39" i="3"/>
  <c r="Y30" i="3"/>
  <c r="AA30" i="3" s="1"/>
  <c r="Y29" i="3"/>
  <c r="AB29" i="3" s="1"/>
  <c r="Q3" i="3"/>
  <c r="R3" i="3"/>
  <c r="Q4" i="3"/>
  <c r="R4" i="3"/>
  <c r="Q5" i="3"/>
  <c r="R5" i="3"/>
  <c r="Q6" i="3"/>
  <c r="R6" i="3"/>
  <c r="T3" i="3"/>
  <c r="T4" i="3"/>
  <c r="T5" i="3"/>
  <c r="T6" i="3"/>
  <c r="R20" i="3"/>
  <c r="S20" i="3" s="1"/>
  <c r="T20" i="3" s="1"/>
  <c r="Y17" i="3"/>
  <c r="S4" i="3"/>
  <c r="S3" i="3"/>
  <c r="X30" i="3"/>
  <c r="X29" i="3"/>
  <c r="X25" i="3"/>
  <c r="X23" i="3"/>
  <c r="X22" i="3"/>
  <c r="X20" i="3"/>
  <c r="X19" i="3"/>
  <c r="X17" i="3"/>
  <c r="X16" i="3"/>
  <c r="X11" i="3"/>
  <c r="X12" i="3"/>
  <c r="X10" i="3"/>
  <c r="X8" i="3"/>
  <c r="X4" i="3"/>
  <c r="X5" i="3"/>
  <c r="X6" i="3"/>
  <c r="X3" i="3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W30" i="3"/>
  <c r="W29" i="3"/>
  <c r="W25" i="3"/>
  <c r="W23" i="3"/>
  <c r="W22" i="3"/>
  <c r="W20" i="3"/>
  <c r="W19" i="3"/>
  <c r="N18" i="3"/>
  <c r="W17" i="3"/>
  <c r="W16" i="3"/>
  <c r="W11" i="3"/>
  <c r="W12" i="3"/>
  <c r="W10" i="3"/>
  <c r="W8" i="3"/>
  <c r="W6" i="3"/>
  <c r="W5" i="3"/>
  <c r="W4" i="3"/>
  <c r="W3" i="3"/>
  <c r="E18" i="3"/>
  <c r="E13" i="3"/>
  <c r="E7" i="3"/>
  <c r="E36" i="3" s="1"/>
  <c r="F18" i="3"/>
  <c r="F13" i="3"/>
  <c r="F7" i="3"/>
  <c r="F9" i="3" s="1"/>
  <c r="F38" i="3" s="1"/>
  <c r="G18" i="3"/>
  <c r="G13" i="3"/>
  <c r="G7" i="3"/>
  <c r="G36" i="3" s="1"/>
  <c r="K18" i="3"/>
  <c r="K13" i="3"/>
  <c r="K7" i="3"/>
  <c r="K9" i="3" s="1"/>
  <c r="K38" i="3" s="1"/>
  <c r="H18" i="3"/>
  <c r="H13" i="3"/>
  <c r="H7" i="3"/>
  <c r="H36" i="3" s="1"/>
  <c r="L18" i="3"/>
  <c r="L13" i="3"/>
  <c r="L7" i="3"/>
  <c r="L9" i="3" s="1"/>
  <c r="L38" i="3" s="1"/>
  <c r="I18" i="3"/>
  <c r="I13" i="3"/>
  <c r="I7" i="3"/>
  <c r="I36" i="3" s="1"/>
  <c r="M18" i="3"/>
  <c r="M13" i="3"/>
  <c r="M7" i="3"/>
  <c r="M36" i="3" s="1"/>
  <c r="J18" i="3"/>
  <c r="J13" i="3"/>
  <c r="J7" i="3"/>
  <c r="J9" i="3" s="1"/>
  <c r="J38" i="3" s="1"/>
  <c r="X2" i="3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N13" i="3"/>
  <c r="N7" i="3"/>
  <c r="B4" i="3"/>
  <c r="W36" i="3" l="1"/>
  <c r="X36" i="3"/>
  <c r="Z44" i="3"/>
  <c r="Y6" i="3"/>
  <c r="Y5" i="3"/>
  <c r="W13" i="3"/>
  <c r="W7" i="3"/>
  <c r="W18" i="3"/>
  <c r="Q13" i="3"/>
  <c r="K36" i="3"/>
  <c r="O13" i="3"/>
  <c r="Y11" i="3"/>
  <c r="T7" i="3"/>
  <c r="P13" i="3"/>
  <c r="M9" i="3"/>
  <c r="M38" i="3" s="1"/>
  <c r="P7" i="3"/>
  <c r="Y4" i="3"/>
  <c r="Y19" i="3"/>
  <c r="R13" i="3"/>
  <c r="Y12" i="3"/>
  <c r="Y20" i="3"/>
  <c r="M32" i="3"/>
  <c r="S6" i="3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F36" i="3"/>
  <c r="N15" i="3"/>
  <c r="L36" i="3"/>
  <c r="Z12" i="3"/>
  <c r="AA12" i="3" s="1"/>
  <c r="AB12" i="3" s="1"/>
  <c r="AC12" i="3" s="1"/>
  <c r="AD12" i="3" s="1"/>
  <c r="AE12" i="3" s="1"/>
  <c r="AF12" i="3" s="1"/>
  <c r="AG12" i="3" s="1"/>
  <c r="AH12" i="3" s="1"/>
  <c r="AI12" i="3" s="1"/>
  <c r="Q7" i="3"/>
  <c r="Q32" i="3" s="1"/>
  <c r="W40" i="3"/>
  <c r="R19" i="3"/>
  <c r="S19" i="3" s="1"/>
  <c r="T19" i="3" s="1"/>
  <c r="Y16" i="3"/>
  <c r="Y18" i="3" s="1"/>
  <c r="R7" i="3"/>
  <c r="R32" i="3" s="1"/>
  <c r="AH30" i="3"/>
  <c r="AI29" i="3"/>
  <c r="AA29" i="3"/>
  <c r="AF30" i="3"/>
  <c r="AG29" i="3"/>
  <c r="I9" i="3"/>
  <c r="J32" i="3"/>
  <c r="J36" i="3"/>
  <c r="S5" i="3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Z4" i="3"/>
  <c r="AA4" i="3" s="1"/>
  <c r="AB4" i="3" s="1"/>
  <c r="AC4" i="3" s="1"/>
  <c r="AD4" i="3" s="1"/>
  <c r="AE4" i="3" s="1"/>
  <c r="AF4" i="3" s="1"/>
  <c r="AG4" i="3" s="1"/>
  <c r="AH4" i="3" s="1"/>
  <c r="AI4" i="3" s="1"/>
  <c r="AE30" i="3"/>
  <c r="AF29" i="3"/>
  <c r="L32" i="3"/>
  <c r="S13" i="3"/>
  <c r="O18" i="3"/>
  <c r="Z11" i="3"/>
  <c r="AA11" i="3" s="1"/>
  <c r="AB11" i="3" s="1"/>
  <c r="AC11" i="3" s="1"/>
  <c r="AD11" i="3" s="1"/>
  <c r="AE11" i="3" s="1"/>
  <c r="AF11" i="3" s="1"/>
  <c r="AG11" i="3" s="1"/>
  <c r="AH11" i="3" s="1"/>
  <c r="AI11" i="3" s="1"/>
  <c r="AD30" i="3"/>
  <c r="AE29" i="3"/>
  <c r="AH29" i="3"/>
  <c r="K32" i="3"/>
  <c r="H9" i="3"/>
  <c r="H38" i="3" s="1"/>
  <c r="G9" i="3"/>
  <c r="G38" i="3" s="1"/>
  <c r="E9" i="3"/>
  <c r="Z29" i="3"/>
  <c r="AC30" i="3"/>
  <c r="AD29" i="3"/>
  <c r="AG30" i="3"/>
  <c r="I32" i="3"/>
  <c r="Y10" i="3"/>
  <c r="Z30" i="3"/>
  <c r="AB30" i="3"/>
  <c r="AC29" i="3"/>
  <c r="N32" i="3"/>
  <c r="N36" i="3"/>
  <c r="P18" i="3"/>
  <c r="Z20" i="3"/>
  <c r="AI30" i="3"/>
  <c r="X18" i="3"/>
  <c r="X13" i="3"/>
  <c r="X7" i="3"/>
  <c r="E15" i="3"/>
  <c r="F14" i="3"/>
  <c r="F15" i="3"/>
  <c r="F21" i="3"/>
  <c r="F24" i="3" s="1"/>
  <c r="G15" i="3"/>
  <c r="K15" i="3"/>
  <c r="K21" i="3"/>
  <c r="K24" i="3" s="1"/>
  <c r="L14" i="3"/>
  <c r="H15" i="3"/>
  <c r="L15" i="3"/>
  <c r="L21" i="3"/>
  <c r="L24" i="3" s="1"/>
  <c r="I15" i="3"/>
  <c r="M15" i="3"/>
  <c r="N9" i="3"/>
  <c r="J21" i="3"/>
  <c r="J24" i="3" s="1"/>
  <c r="J14" i="3"/>
  <c r="J15" i="3"/>
  <c r="B9" i="3"/>
  <c r="W15" i="3" l="1"/>
  <c r="X32" i="3"/>
  <c r="Z39" i="3"/>
  <c r="AA44" i="3"/>
  <c r="AB44" i="3" s="1"/>
  <c r="AC44" i="3" s="1"/>
  <c r="AD44" i="3" s="1"/>
  <c r="AE44" i="3" s="1"/>
  <c r="AF44" i="3" s="1"/>
  <c r="AG44" i="3" s="1"/>
  <c r="AH44" i="3" s="1"/>
  <c r="AI44" i="3" s="1"/>
  <c r="Q18" i="3"/>
  <c r="Y13" i="3"/>
  <c r="AA39" i="3"/>
  <c r="T32" i="3"/>
  <c r="P32" i="3"/>
  <c r="G21" i="3"/>
  <c r="G24" i="3" s="1"/>
  <c r="G37" i="3" s="1"/>
  <c r="P15" i="3"/>
  <c r="P36" i="3"/>
  <c r="S7" i="3"/>
  <c r="S32" i="3" s="1"/>
  <c r="Q15" i="3"/>
  <c r="O9" i="3"/>
  <c r="O21" i="3" s="1"/>
  <c r="H21" i="3"/>
  <c r="H24" i="3" s="1"/>
  <c r="H26" i="3" s="1"/>
  <c r="H28" i="3" s="1"/>
  <c r="T8" i="3"/>
  <c r="T36" i="3" s="1"/>
  <c r="Y22" i="3"/>
  <c r="Z19" i="3"/>
  <c r="AA19" i="3" s="1"/>
  <c r="K26" i="3"/>
  <c r="K28" i="3" s="1"/>
  <c r="K37" i="3"/>
  <c r="R17" i="3"/>
  <c r="S17" i="3" s="1"/>
  <c r="T17" i="3" s="1"/>
  <c r="Q8" i="3"/>
  <c r="L26" i="3"/>
  <c r="L28" i="3" s="1"/>
  <c r="L37" i="3"/>
  <c r="H14" i="3"/>
  <c r="R16" i="3"/>
  <c r="I38" i="3"/>
  <c r="X9" i="3"/>
  <c r="R8" i="3"/>
  <c r="AE20" i="3"/>
  <c r="AF20" i="3"/>
  <c r="AG20" i="3"/>
  <c r="AB20" i="3"/>
  <c r="AH20" i="3"/>
  <c r="AA20" i="3"/>
  <c r="AI20" i="3"/>
  <c r="AC20" i="3"/>
  <c r="AD20" i="3"/>
  <c r="W9" i="3"/>
  <c r="W38" i="3" s="1"/>
  <c r="E38" i="3"/>
  <c r="T13" i="3"/>
  <c r="T15" i="3" s="1"/>
  <c r="Z10" i="3"/>
  <c r="AA10" i="3" s="1"/>
  <c r="AB10" i="3" s="1"/>
  <c r="AC10" i="3" s="1"/>
  <c r="AD10" i="3" s="1"/>
  <c r="AE10" i="3" s="1"/>
  <c r="AF10" i="3" s="1"/>
  <c r="AG10" i="3" s="1"/>
  <c r="AH10" i="3" s="1"/>
  <c r="AI10" i="3" s="1"/>
  <c r="N14" i="3"/>
  <c r="N38" i="3"/>
  <c r="N21" i="3"/>
  <c r="N24" i="3" s="1"/>
  <c r="E21" i="3"/>
  <c r="E24" i="3" s="1"/>
  <c r="R15" i="3"/>
  <c r="R22" i="3"/>
  <c r="S22" i="3" s="1"/>
  <c r="T22" i="3" s="1"/>
  <c r="J37" i="3"/>
  <c r="J26" i="3"/>
  <c r="R23" i="3"/>
  <c r="S23" i="3" s="1"/>
  <c r="T23" i="3" s="1"/>
  <c r="F26" i="3"/>
  <c r="F27" i="3" s="1"/>
  <c r="F37" i="3"/>
  <c r="O15" i="3"/>
  <c r="O32" i="3"/>
  <c r="Y23" i="3"/>
  <c r="X15" i="3"/>
  <c r="E14" i="3"/>
  <c r="G14" i="3"/>
  <c r="K14" i="3"/>
  <c r="I21" i="3"/>
  <c r="I24" i="3" s="1"/>
  <c r="I14" i="3"/>
  <c r="M21" i="3"/>
  <c r="M24" i="3" s="1"/>
  <c r="M14" i="3"/>
  <c r="Z23" i="3" l="1"/>
  <c r="AA23" i="3" s="1"/>
  <c r="G26" i="3"/>
  <c r="G28" i="3" s="1"/>
  <c r="AB39" i="3"/>
  <c r="P9" i="3"/>
  <c r="P14" i="3" s="1"/>
  <c r="AF19" i="3"/>
  <c r="L27" i="3"/>
  <c r="Z22" i="3"/>
  <c r="AG22" i="3" s="1"/>
  <c r="Y8" i="3"/>
  <c r="O36" i="3"/>
  <c r="G27" i="3"/>
  <c r="AD19" i="3"/>
  <c r="AE19" i="3"/>
  <c r="AB19" i="3"/>
  <c r="X14" i="3"/>
  <c r="X38" i="3"/>
  <c r="AC19" i="3"/>
  <c r="T9" i="3"/>
  <c r="T38" i="3" s="1"/>
  <c r="AI19" i="3"/>
  <c r="AH19" i="3"/>
  <c r="K27" i="3"/>
  <c r="AG19" i="3"/>
  <c r="H37" i="3"/>
  <c r="S15" i="3"/>
  <c r="S8" i="3"/>
  <c r="H27" i="3"/>
  <c r="F28" i="3"/>
  <c r="O24" i="3"/>
  <c r="O38" i="3"/>
  <c r="O14" i="3"/>
  <c r="Z13" i="3"/>
  <c r="Q9" i="3"/>
  <c r="Q36" i="3"/>
  <c r="W14" i="3"/>
  <c r="W21" i="3"/>
  <c r="W24" i="3" s="1"/>
  <c r="W26" i="3" s="1"/>
  <c r="Z17" i="3"/>
  <c r="E26" i="3"/>
  <c r="E37" i="3"/>
  <c r="N26" i="3"/>
  <c r="N28" i="3" s="1"/>
  <c r="N37" i="3"/>
  <c r="S16" i="3"/>
  <c r="R18" i="3"/>
  <c r="M26" i="3"/>
  <c r="M37" i="3"/>
  <c r="J28" i="3"/>
  <c r="J27" i="3"/>
  <c r="I26" i="3"/>
  <c r="I37" i="3"/>
  <c r="X21" i="3"/>
  <c r="X24" i="3" s="1"/>
  <c r="X26" i="3" s="1"/>
  <c r="X28" i="3" s="1"/>
  <c r="R9" i="3"/>
  <c r="R36" i="3"/>
  <c r="AI23" i="3" l="1"/>
  <c r="AB23" i="3"/>
  <c r="AE23" i="3"/>
  <c r="AH23" i="3"/>
  <c r="AG23" i="3"/>
  <c r="AC23" i="3"/>
  <c r="AF23" i="3"/>
  <c r="AD23" i="3"/>
  <c r="AB22" i="3"/>
  <c r="AE22" i="3"/>
  <c r="AC39" i="3"/>
  <c r="AI22" i="3"/>
  <c r="AH22" i="3"/>
  <c r="AD22" i="3"/>
  <c r="AA22" i="3"/>
  <c r="Y9" i="3"/>
  <c r="P21" i="3"/>
  <c r="P24" i="3" s="1"/>
  <c r="P37" i="3" s="1"/>
  <c r="P38" i="3"/>
  <c r="AF22" i="3"/>
  <c r="AC22" i="3"/>
  <c r="N27" i="3"/>
  <c r="T14" i="3"/>
  <c r="S9" i="3"/>
  <c r="Z9" i="3" s="1"/>
  <c r="S36" i="3"/>
  <c r="X27" i="3"/>
  <c r="I28" i="3"/>
  <c r="I27" i="3"/>
  <c r="AB17" i="3"/>
  <c r="AA17" i="3"/>
  <c r="AC17" i="3"/>
  <c r="AD17" i="3"/>
  <c r="AG17" i="3"/>
  <c r="AE17" i="3"/>
  <c r="AF17" i="3"/>
  <c r="AH17" i="3"/>
  <c r="AI17" i="3"/>
  <c r="R38" i="3"/>
  <c r="R14" i="3"/>
  <c r="R21" i="3"/>
  <c r="R24" i="3" s="1"/>
  <c r="R25" i="3" s="1"/>
  <c r="W28" i="3"/>
  <c r="W27" i="3"/>
  <c r="Q38" i="3"/>
  <c r="Q21" i="3"/>
  <c r="Q24" i="3" s="1"/>
  <c r="Q25" i="3" s="1"/>
  <c r="Q14" i="3"/>
  <c r="S18" i="3"/>
  <c r="T16" i="3"/>
  <c r="T18" i="3" s="1"/>
  <c r="T21" i="3" s="1"/>
  <c r="T24" i="3" s="1"/>
  <c r="T25" i="3" s="1"/>
  <c r="AA13" i="3"/>
  <c r="E27" i="3"/>
  <c r="E28" i="3"/>
  <c r="M27" i="3"/>
  <c r="M28" i="3"/>
  <c r="AD39" i="3" l="1"/>
  <c r="Y21" i="3"/>
  <c r="Y24" i="3" s="1"/>
  <c r="Y14" i="3"/>
  <c r="S21" i="3"/>
  <c r="S24" i="3" s="1"/>
  <c r="S25" i="3" s="1"/>
  <c r="Z25" i="3" s="1"/>
  <c r="P26" i="3"/>
  <c r="P27" i="3" s="1"/>
  <c r="S38" i="3"/>
  <c r="S14" i="3"/>
  <c r="Q26" i="3"/>
  <c r="Q37" i="3"/>
  <c r="AB13" i="3"/>
  <c r="Z14" i="3"/>
  <c r="R26" i="3"/>
  <c r="R37" i="3"/>
  <c r="Y25" i="3"/>
  <c r="O37" i="3"/>
  <c r="T26" i="3"/>
  <c r="T37" i="3"/>
  <c r="B22" i="3" s="1"/>
  <c r="O26" i="3"/>
  <c r="Z16" i="3"/>
  <c r="S26" i="3" l="1"/>
  <c r="S27" i="3" s="1"/>
  <c r="S37" i="3"/>
  <c r="AE39" i="3"/>
  <c r="P28" i="3"/>
  <c r="Y26" i="3"/>
  <c r="Y27" i="3" s="1"/>
  <c r="O28" i="3"/>
  <c r="O27" i="3"/>
  <c r="Q27" i="3"/>
  <c r="Q28" i="3"/>
  <c r="AC13" i="3"/>
  <c r="T27" i="3"/>
  <c r="T28" i="3"/>
  <c r="AB16" i="3"/>
  <c r="AB18" i="3" s="1"/>
  <c r="AC16" i="3"/>
  <c r="AC18" i="3" s="1"/>
  <c r="AA16" i="3"/>
  <c r="AA18" i="3" s="1"/>
  <c r="AD16" i="3"/>
  <c r="AD18" i="3" s="1"/>
  <c r="Z18" i="3"/>
  <c r="Z21" i="3" s="1"/>
  <c r="Z24" i="3" s="1"/>
  <c r="Z26" i="3" s="1"/>
  <c r="AH16" i="3"/>
  <c r="AH18" i="3" s="1"/>
  <c r="AE16" i="3"/>
  <c r="AE18" i="3" s="1"/>
  <c r="AF16" i="3"/>
  <c r="AF18" i="3" s="1"/>
  <c r="AG16" i="3"/>
  <c r="AG18" i="3" s="1"/>
  <c r="AI16" i="3"/>
  <c r="AI18" i="3" s="1"/>
  <c r="R27" i="3"/>
  <c r="R28" i="3"/>
  <c r="S28" i="3" l="1"/>
  <c r="Y28" i="3"/>
  <c r="AF39" i="3"/>
  <c r="Z28" i="3"/>
  <c r="Z27" i="3"/>
  <c r="AD13" i="3"/>
  <c r="AG39" i="3" l="1"/>
  <c r="AE13" i="3"/>
  <c r="AI39" i="3" l="1"/>
  <c r="AH39" i="3"/>
  <c r="AF13" i="3"/>
  <c r="AG13" i="3" l="1"/>
  <c r="AI13" i="3" l="1"/>
  <c r="AH13" i="3"/>
  <c r="Y3" i="3" l="1"/>
  <c r="Y7" i="3"/>
  <c r="Y15" i="3" s="1"/>
  <c r="Z3" i="3" l="1"/>
  <c r="Z7" i="3" s="1"/>
  <c r="AA3" i="3"/>
  <c r="AA7" i="3" s="1"/>
  <c r="AA15" i="3" s="1"/>
  <c r="AB3" i="3"/>
  <c r="AB7" i="3" s="1"/>
  <c r="Y32" i="3"/>
  <c r="Y36" i="3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Y38" i="3"/>
  <c r="AA32" i="3" l="1"/>
  <c r="Z15" i="3"/>
  <c r="Z38" i="3"/>
  <c r="Z32" i="3"/>
  <c r="AC3" i="3"/>
  <c r="AC7" i="3" s="1"/>
  <c r="AB15" i="3"/>
  <c r="AB8" i="3"/>
  <c r="AB9" i="3" s="1"/>
  <c r="AB32" i="3"/>
  <c r="Z8" i="3"/>
  <c r="AA8" i="3"/>
  <c r="AA9" i="3" s="1"/>
  <c r="AB38" i="3" l="1"/>
  <c r="AB14" i="3"/>
  <c r="AB21" i="3"/>
  <c r="AB24" i="3" s="1"/>
  <c r="AA21" i="3"/>
  <c r="AA24" i="3" s="1"/>
  <c r="AA14" i="3"/>
  <c r="AA38" i="3"/>
  <c r="AD3" i="3"/>
  <c r="AD7" i="3" s="1"/>
  <c r="AC32" i="3"/>
  <c r="AC15" i="3"/>
  <c r="AC8" i="3"/>
  <c r="AC9" i="3" s="1"/>
  <c r="AC21" i="3" l="1"/>
  <c r="AC24" i="3" s="1"/>
  <c r="AC14" i="3"/>
  <c r="AC38" i="3"/>
  <c r="AE3" i="3"/>
  <c r="AE7" i="3" s="1"/>
  <c r="AD8" i="3"/>
  <c r="AD9" i="3" s="1"/>
  <c r="AD32" i="3"/>
  <c r="AD15" i="3"/>
  <c r="AA25" i="3"/>
  <c r="AA26" i="3" s="1"/>
  <c r="AB25" i="3"/>
  <c r="AB26" i="3" s="1"/>
  <c r="AA28" i="3" l="1"/>
  <c r="AA27" i="3"/>
  <c r="AD21" i="3"/>
  <c r="AD24" i="3" s="1"/>
  <c r="AD38" i="3"/>
  <c r="AD14" i="3"/>
  <c r="AB28" i="3"/>
  <c r="AB27" i="3"/>
  <c r="AE32" i="3"/>
  <c r="AE15" i="3"/>
  <c r="AE8" i="3"/>
  <c r="AE9" i="3" s="1"/>
  <c r="AF3" i="3"/>
  <c r="AF7" i="3" s="1"/>
  <c r="AC25" i="3"/>
  <c r="AC26" i="3" s="1"/>
  <c r="AF15" i="3" l="1"/>
  <c r="AF8" i="3"/>
  <c r="AF9" i="3" s="1"/>
  <c r="AF32" i="3"/>
  <c r="AE21" i="3"/>
  <c r="AE24" i="3" s="1"/>
  <c r="AE14" i="3"/>
  <c r="AE38" i="3"/>
  <c r="AC28" i="3"/>
  <c r="AC27" i="3"/>
  <c r="AG3" i="3"/>
  <c r="AG7" i="3" s="1"/>
  <c r="AD25" i="3"/>
  <c r="AD26" i="3" s="1"/>
  <c r="AD28" i="3" l="1"/>
  <c r="AD27" i="3"/>
  <c r="AF14" i="3"/>
  <c r="AF38" i="3"/>
  <c r="AF21" i="3"/>
  <c r="AF24" i="3" s="1"/>
  <c r="AE25" i="3"/>
  <c r="AE26" i="3" s="1"/>
  <c r="AH3" i="3"/>
  <c r="AH7" i="3" s="1"/>
  <c r="AI3" i="3"/>
  <c r="AI7" i="3" s="1"/>
  <c r="AG8" i="3"/>
  <c r="AG9" i="3" s="1"/>
  <c r="AG15" i="3"/>
  <c r="AG32" i="3"/>
  <c r="AE27" i="3" l="1"/>
  <c r="AE28" i="3"/>
  <c r="AH8" i="3"/>
  <c r="AH9" i="3" s="1"/>
  <c r="AH15" i="3"/>
  <c r="AH32" i="3"/>
  <c r="AF25" i="3"/>
  <c r="AF26" i="3" s="1"/>
  <c r="AG21" i="3"/>
  <c r="AG24" i="3" s="1"/>
  <c r="AG14" i="3"/>
  <c r="AG38" i="3"/>
  <c r="AI15" i="3"/>
  <c r="AI8" i="3"/>
  <c r="AI9" i="3" s="1"/>
  <c r="AI32" i="3"/>
  <c r="AF28" i="3" l="1"/>
  <c r="AF27" i="3"/>
  <c r="AI21" i="3"/>
  <c r="AI24" i="3" s="1"/>
  <c r="AI38" i="3"/>
  <c r="AI14" i="3"/>
  <c r="AH14" i="3"/>
  <c r="AH38" i="3"/>
  <c r="AH21" i="3"/>
  <c r="AH24" i="3" s="1"/>
  <c r="AG25" i="3"/>
  <c r="AG26" i="3" s="1"/>
  <c r="AG28" i="3" l="1"/>
  <c r="AG27" i="3"/>
  <c r="AI25" i="3"/>
  <c r="AI26" i="3" s="1"/>
  <c r="AH25" i="3"/>
  <c r="AH26" i="3" s="1"/>
  <c r="AH27" i="3" l="1"/>
  <c r="AH28" i="3"/>
  <c r="AI28" i="3"/>
  <c r="AI27" i="3"/>
  <c r="AJ26" i="3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CS26" i="3" s="1"/>
  <c r="CT26" i="3" s="1"/>
  <c r="CU26" i="3" s="1"/>
  <c r="CV26" i="3" s="1"/>
  <c r="CW26" i="3" s="1"/>
  <c r="CX26" i="3" s="1"/>
  <c r="CY26" i="3" s="1"/>
  <c r="CZ26" i="3" s="1"/>
  <c r="AL34" i="3" s="1"/>
  <c r="AL35" i="3" s="1"/>
  <c r="AL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Giovanni Anghinoni</author>
  </authors>
  <commentList>
    <comment ref="M2" authorId="0" shapeId="0" xr:uid="{CA60CABB-B575-4124-A0D0-6CC3EF4D225C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Q1/23 has shown another decrease in the revenues (like in Q1/22)</t>
        </r>
      </text>
    </comment>
    <comment ref="N2" authorId="0" shapeId="0" xr:uid="{49DFA9D3-CB32-4AC8-9711-94CA4CF46343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Q2/23 could be the beginning of an inversion of the negative growth trend present in 2022</t>
        </r>
      </text>
    </comment>
    <comment ref="B4" authorId="0" shapeId="0" xr:uid="{2492D941-F37D-4CC6-8039-11DDE8EDC8F5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In RMB</t>
        </r>
      </text>
    </comment>
    <comment ref="D4" authorId="0" shapeId="0" xr:uid="{7C33A87A-A704-4B8D-B697-D28B0AE3118E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IoT = Internet of things</t>
        </r>
      </text>
    </comment>
    <comment ref="N9" authorId="0" shapeId="0" xr:uid="{4AA37321-DFB4-4F53-9701-AD0B548A60C8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8.000 RMB have been added to align the value with the Q2/2023 earnings release</t>
        </r>
      </text>
    </comment>
    <comment ref="A12" authorId="0" shapeId="0" xr:uid="{E8373EFD-F089-4B9F-962D-588EBCAF7150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This analysis does not include possible revenues/costs coming from the EVs</t>
        </r>
      </text>
    </comment>
    <comment ref="AL32" authorId="0" shapeId="0" xr:uid="{F4434800-D50E-4139-801A-88E1D88ED4B8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Chinese 10Y government bond yield</t>
        </r>
      </text>
    </comment>
    <comment ref="AO32" authorId="0" shapeId="0" xr:uid="{20CD9C8C-7D0A-4134-AF22-76BFC8DFC1CA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TMUBMUSD10Y</t>
        </r>
      </text>
    </comment>
    <comment ref="AL33" authorId="0" shapeId="0" xr:uid="{DB8D22A2-82CF-4AEB-B4EC-AD9ABCC0DE41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Use of the cost of equity since the analysis is based on the net income</t>
        </r>
      </text>
    </comment>
    <comment ref="AO33" authorId="0" shapeId="0" xr:uid="{89F6AEF1-487C-4B5A-AC9F-5DE77E5E0E06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www.finance.yahoo.com</t>
        </r>
      </text>
    </comment>
    <comment ref="AO34" authorId="0" shapeId="0" xr:uid="{1B19537B-1A1E-40AC-ABED-72AD1580D96D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Average yearly market return measured accordingly to the S&amp;P 500 index</t>
        </r>
      </text>
    </comment>
    <comment ref="AI36" authorId="0" shapeId="0" xr:uid="{8E2ACA5C-070B-4008-A0CA-039E1D662B5E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Value aligned to today's cost of sales to revenues of Apple (55,87%)</t>
        </r>
      </text>
    </comment>
    <comment ref="D38" authorId="0" shapeId="0" xr:uid="{CABA1A7E-B2E0-4931-84E4-AB622A315EBF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The gross margin is too low (the profit produced by selling smartphones is absent) </t>
        </r>
      </text>
    </comment>
    <comment ref="W40" authorId="0" shapeId="0" xr:uid="{301F5531-BCA7-4806-B0D1-96D10F3EB6C3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= 140,36€</t>
        </r>
      </text>
    </comment>
    <comment ref="AI40" authorId="0" shapeId="0" xr:uid="{425FA3E3-B8C7-41C2-9096-140B5BF7DA9C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Using i = 10% (2,5% of average inflation rate + 7,5% of premium) (= 375,79€)
</t>
        </r>
      </text>
    </comment>
    <comment ref="AI44" authorId="0" shapeId="0" xr:uid="{04EF624A-BA54-49E0-A300-57786A1A565E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Data obtained from www.idc.com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Giovanni Anghinoni</author>
  </authors>
  <commentList>
    <comment ref="G15" authorId="0" shapeId="0" xr:uid="{F54FFFD8-F871-498C-AD4B-BC9A7C6D5EA0}">
      <text>
        <r>
          <rPr>
            <b/>
            <sz val="9"/>
            <color indexed="81"/>
            <rFont val="Tahoma"/>
            <family val="2"/>
          </rPr>
          <t>Giovanni Anghinoni:</t>
        </r>
        <r>
          <rPr>
            <sz val="9"/>
            <color indexed="81"/>
            <rFont val="Tahoma"/>
            <family val="2"/>
          </rPr>
          <t xml:space="preserve">
Data obtained from www.idc.com</t>
        </r>
      </text>
    </comment>
  </commentList>
</comments>
</file>

<file path=xl/sharedStrings.xml><?xml version="1.0" encoding="utf-8"?>
<sst xmlns="http://schemas.openxmlformats.org/spreadsheetml/2006/main" count="108" uniqueCount="99">
  <si>
    <t>Price</t>
  </si>
  <si>
    <t>MC</t>
  </si>
  <si>
    <t>Cash</t>
  </si>
  <si>
    <t>Debt</t>
  </si>
  <si>
    <t>EV (Enterprise Value)</t>
  </si>
  <si>
    <t>Q1/22</t>
  </si>
  <si>
    <t>Q2/22</t>
  </si>
  <si>
    <t>Q3/22</t>
  </si>
  <si>
    <t>Q4/22</t>
  </si>
  <si>
    <t>Q1/23</t>
  </si>
  <si>
    <t>Q2/23</t>
  </si>
  <si>
    <t>Q3/23</t>
  </si>
  <si>
    <t>Q4/23</t>
  </si>
  <si>
    <t>Q1/24</t>
  </si>
  <si>
    <t>Q2/24</t>
  </si>
  <si>
    <t>Q3/24</t>
  </si>
  <si>
    <t>Q4/24</t>
  </si>
  <si>
    <t>Cost of sales</t>
  </si>
  <si>
    <t>Total operating expenses</t>
  </si>
  <si>
    <t>Loss from operations</t>
  </si>
  <si>
    <t>Operating income</t>
  </si>
  <si>
    <t>Net income (loss)</t>
  </si>
  <si>
    <t>Actual</t>
  </si>
  <si>
    <t>Forecasted</t>
  </si>
  <si>
    <t>Q1/21</t>
  </si>
  <si>
    <t>Q2/21</t>
  </si>
  <si>
    <t>Q3/21</t>
  </si>
  <si>
    <t>Q4/21</t>
  </si>
  <si>
    <t>Pretax income</t>
  </si>
  <si>
    <t>Gross margin</t>
  </si>
  <si>
    <t>Maturity</t>
  </si>
  <si>
    <t>Discount</t>
  </si>
  <si>
    <t>NPV</t>
  </si>
  <si>
    <t>Share</t>
  </si>
  <si>
    <t>Difference</t>
  </si>
  <si>
    <t>INCOME STATEMENT</t>
  </si>
  <si>
    <t># Shares</t>
  </si>
  <si>
    <t>Xiaomi</t>
  </si>
  <si>
    <t>Smartphones</t>
  </si>
  <si>
    <t>IoT and lifestyle products</t>
  </si>
  <si>
    <t>Internet services</t>
  </si>
  <si>
    <t>Others</t>
  </si>
  <si>
    <t>Revenues</t>
  </si>
  <si>
    <t>Gross profit</t>
  </si>
  <si>
    <t>R&amp;D</t>
  </si>
  <si>
    <t>Selling and marketing</t>
  </si>
  <si>
    <t>Administrative expenses</t>
  </si>
  <si>
    <t>Fair value changes on investments</t>
  </si>
  <si>
    <t>Net profits (losses) of investments</t>
  </si>
  <si>
    <t>Other income</t>
  </si>
  <si>
    <t>Other gains (losses)</t>
  </si>
  <si>
    <t>Operating profit</t>
  </si>
  <si>
    <t>Total non-operating expenses</t>
  </si>
  <si>
    <t>Finance income</t>
  </si>
  <si>
    <t>Finance costs</t>
  </si>
  <si>
    <t>Tax expenses</t>
  </si>
  <si>
    <t># of shares (basic)</t>
  </si>
  <si>
    <t># of shares (diluted)</t>
  </si>
  <si>
    <t>EPS (basic)</t>
  </si>
  <si>
    <t>EPS (diluted)</t>
  </si>
  <si>
    <t>Tax expenses proportion</t>
  </si>
  <si>
    <t>Notes:</t>
  </si>
  <si>
    <t>As of Q2 2023, Xiaomi has a market share in the worldwide smartphone market of 12,50% (data obtained from Statista)</t>
  </si>
  <si>
    <t>Smartphone shipments</t>
  </si>
  <si>
    <t>Total global shipments of smartphones</t>
  </si>
  <si>
    <t>Xiaomi market share (+- scenario) (60%)</t>
  </si>
  <si>
    <t>Xiaomi market share (+ scenario) (22,5%)</t>
  </si>
  <si>
    <t>Xiaomi market share (- scenario) (17,5%)</t>
  </si>
  <si>
    <t>IoT and lifestyle products growth (YoY)</t>
  </si>
  <si>
    <t>Internet services growth (YoY)</t>
  </si>
  <si>
    <t>Smartphones growth (YoY)</t>
  </si>
  <si>
    <t>Q3/23 and Q4/23 will be important to determine whether the negative trend of 2022 has already ended</t>
  </si>
  <si>
    <t>Xiaomi has decided to enter in the electric vehicle market as well with a $10 billion investment over the next decade; mass production will begin in the first half of 2024.</t>
  </si>
  <si>
    <t>On 8 February 2022, Lei released a statement on Weibo to announce plans for Xiaomi to enter the high-end smartphone market and surpass Apple as the top seller of premium smartphones in China in three years. To achieve that goal, Xiaomi will invest US$15.7 bln. in R&amp;D over the next five years and the company will benchmark its products and user experience against Apple’s product lines. Lei described the new strategy as a "life-or-death battle for our development" in his Weibo post, after Xiaomi's market share in China declined over consecutive quarters, from 17% to 14% between Q2 and Q3 2021, dipping further to 13.2% as of Q4 2021.</t>
  </si>
  <si>
    <t>Apple</t>
  </si>
  <si>
    <t>Products</t>
  </si>
  <si>
    <t>Services</t>
  </si>
  <si>
    <t>Products (CoS)</t>
  </si>
  <si>
    <t>Services (CoS)</t>
  </si>
  <si>
    <t>Cost of sales to revenues</t>
  </si>
  <si>
    <t>Products revenues breakdown:</t>
  </si>
  <si>
    <r>
      <t>iPhone</t>
    </r>
    <r>
      <rPr>
        <sz val="11"/>
        <color theme="1"/>
        <rFont val="Calibri"/>
        <family val="2"/>
      </rPr>
      <t>®</t>
    </r>
  </si>
  <si>
    <r>
      <t>Mac</t>
    </r>
    <r>
      <rPr>
        <sz val="11"/>
        <color theme="1"/>
        <rFont val="Calibri"/>
        <family val="2"/>
      </rPr>
      <t>®</t>
    </r>
  </si>
  <si>
    <r>
      <t>iPad</t>
    </r>
    <r>
      <rPr>
        <sz val="11"/>
        <color theme="1"/>
        <rFont val="Calibri"/>
        <family val="2"/>
      </rPr>
      <t>®</t>
    </r>
  </si>
  <si>
    <t>Wearables, home and accessories</t>
  </si>
  <si>
    <t>Average smartphone price (in USD)</t>
  </si>
  <si>
    <t>Average smartphone price (in RMB)</t>
  </si>
  <si>
    <t>Revenues growth</t>
  </si>
  <si>
    <t>Equity</t>
  </si>
  <si>
    <t>Risk-free rate</t>
  </si>
  <si>
    <t>Equity beta</t>
  </si>
  <si>
    <t>Market return</t>
  </si>
  <si>
    <t>Cost of equity</t>
  </si>
  <si>
    <t>WACC</t>
  </si>
  <si>
    <t>Minority interest</t>
  </si>
  <si>
    <t>EV</t>
  </si>
  <si>
    <t>Tax rate</t>
  </si>
  <si>
    <t>Assumptions table</t>
  </si>
  <si>
    <t>OPEX growth (YoY)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</si>
</sst>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.0_ ;_-[$$-409]* \-#,##0.0\ ;_-[$$-409]* &quot;-&quot;?_ ;_-@_ 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right" vertical="center"/>
    </xf>
    <xf numFmtId="10" fontId="5" fillId="0" borderId="0" xfId="1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31</xdr:row>
      <xdr:rowOff>0</xdr:rowOff>
    </xdr:from>
    <xdr:to>
      <xdr:col>49</xdr:col>
      <xdr:colOff>707202</xdr:colOff>
      <xdr:row>57</xdr:row>
      <xdr:rowOff>17145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4AD3D-8046-E650-CE96-B2A3AE15E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87340" y="5669280"/>
          <a:ext cx="7801422" cy="4779645"/>
        </a:xfrm>
        <a:prstGeom prst="rect">
          <a:avLst/>
        </a:prstGeom>
      </xdr:spPr>
    </xdr:pic>
    <xdr:clientData/>
  </xdr:twoCellAnchor>
  <xdr:twoCellAnchor editAs="oneCell">
    <xdr:from>
      <xdr:col>41</xdr:col>
      <xdr:colOff>1011555</xdr:colOff>
      <xdr:row>59</xdr:row>
      <xdr:rowOff>1905</xdr:rowOff>
    </xdr:from>
    <xdr:to>
      <xdr:col>49</xdr:col>
      <xdr:colOff>693420</xdr:colOff>
      <xdr:row>88</xdr:row>
      <xdr:rowOff>13063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F82504-92F5-9135-F158-4F0DFCB44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85435" y="10799445"/>
          <a:ext cx="7789545" cy="5314678"/>
        </a:xfrm>
        <a:prstGeom prst="rect">
          <a:avLst/>
        </a:prstGeom>
      </xdr:spPr>
    </xdr:pic>
    <xdr:clientData/>
  </xdr:twoCellAnchor>
  <xdr:twoCellAnchor>
    <xdr:from>
      <xdr:col>34</xdr:col>
      <xdr:colOff>1089660</xdr:colOff>
      <xdr:row>39</xdr:row>
      <xdr:rowOff>91440</xdr:rowOff>
    </xdr:from>
    <xdr:to>
      <xdr:col>35</xdr:col>
      <xdr:colOff>975360</xdr:colOff>
      <xdr:row>39</xdr:row>
      <xdr:rowOff>91440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154AD52-1617-AF0A-2BE8-4BA540921D33}"/>
            </a:ext>
          </a:extLst>
        </xdr:cNvPr>
        <xdr:cNvCxnSpPr/>
      </xdr:nvCxnSpPr>
      <xdr:spPr>
        <a:xfrm>
          <a:off x="35935920" y="7231380"/>
          <a:ext cx="1005840" cy="0"/>
        </a:xfrm>
        <a:prstGeom prst="straightConnector1">
          <a:avLst/>
        </a:prstGeom>
        <a:ln w="12700" cap="flat" cmpd="sng" algn="ctr">
          <a:solidFill>
            <a:schemeClr val="accent6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0EA4-0B0D-4471-9687-7CB7B4155C29}">
  <dimension ref="A1:CZ151"/>
  <sheetViews>
    <sheetView tabSelected="1" workbookViewId="0">
      <selection sqref="A1:B1"/>
    </sheetView>
  </sheetViews>
  <sheetFormatPr defaultRowHeight="14.4" x14ac:dyDescent="0.3"/>
  <cols>
    <col min="1" max="1" width="19.5546875" bestFit="1" customWidth="1"/>
    <col min="2" max="2" width="14.77734375" bestFit="1" customWidth="1"/>
    <col min="4" max="4" width="36.6640625" style="1" bestFit="1" customWidth="1"/>
    <col min="5" max="6" width="13.77734375" bestFit="1" customWidth="1"/>
    <col min="7" max="8" width="14.77734375" bestFit="1" customWidth="1"/>
    <col min="9" max="10" width="13.77734375" bestFit="1" customWidth="1"/>
    <col min="11" max="11" width="15.44140625" bestFit="1" customWidth="1"/>
    <col min="12" max="12" width="14.77734375" bestFit="1" customWidth="1"/>
    <col min="13" max="15" width="13.77734375" bestFit="1" customWidth="1"/>
    <col min="16" max="16" width="14.77734375" bestFit="1" customWidth="1"/>
    <col min="17" max="19" width="13.77734375" bestFit="1" customWidth="1"/>
    <col min="20" max="20" width="14.77734375" bestFit="1" customWidth="1"/>
    <col min="22" max="22" width="8.6640625" customWidth="1"/>
    <col min="23" max="30" width="14.77734375" style="1" bestFit="1" customWidth="1"/>
    <col min="31" max="35" width="16.33203125" style="1" bestFit="1" customWidth="1"/>
    <col min="36" max="36" width="14.77734375" bestFit="1" customWidth="1"/>
    <col min="37" max="37" width="14.77734375" style="1" bestFit="1" customWidth="1"/>
    <col min="38" max="38" width="21" style="1" bestFit="1" customWidth="1"/>
    <col min="39" max="104" width="14.77734375" bestFit="1" customWidth="1"/>
  </cols>
  <sheetData>
    <row r="1" spans="1:35" x14ac:dyDescent="0.3">
      <c r="A1" s="32" t="s">
        <v>37</v>
      </c>
      <c r="B1" s="32"/>
      <c r="E1" s="32" t="s">
        <v>22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 t="s">
        <v>23</v>
      </c>
      <c r="R1" s="32"/>
      <c r="S1" s="32"/>
      <c r="T1" s="32"/>
    </row>
    <row r="2" spans="1:35" x14ac:dyDescent="0.3">
      <c r="A2" s="1" t="s">
        <v>0</v>
      </c>
      <c r="B2" s="10">
        <v>16.059999999999999</v>
      </c>
      <c r="D2" s="5" t="s">
        <v>35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34" t="s">
        <v>11</v>
      </c>
      <c r="P2" s="6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W2" s="1">
        <v>2021</v>
      </c>
      <c r="X2" s="1">
        <f>W2+1</f>
        <v>2022</v>
      </c>
      <c r="Y2" s="1">
        <f t="shared" ref="Y2:AH2" si="0">X2+1</f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>AH2+1</f>
        <v>2033</v>
      </c>
    </row>
    <row r="3" spans="1:35" x14ac:dyDescent="0.3">
      <c r="A3" s="1" t="s">
        <v>36</v>
      </c>
      <c r="B3" s="2">
        <v>24878433000</v>
      </c>
      <c r="D3" s="1" t="s">
        <v>38</v>
      </c>
      <c r="E3" s="2">
        <v>51491000000</v>
      </c>
      <c r="F3" s="2">
        <v>59089000000</v>
      </c>
      <c r="G3" s="2">
        <v>47824900000</v>
      </c>
      <c r="H3" s="2">
        <v>50464100000</v>
      </c>
      <c r="I3" s="2">
        <v>45762700000</v>
      </c>
      <c r="J3" s="2">
        <v>42268100000</v>
      </c>
      <c r="K3" s="2">
        <v>42514200000</v>
      </c>
      <c r="L3" s="2">
        <v>36672100000</v>
      </c>
      <c r="M3" s="2">
        <v>34984700000</v>
      </c>
      <c r="N3" s="2">
        <v>36595500000</v>
      </c>
      <c r="O3" s="35">
        <v>41648900000</v>
      </c>
      <c r="P3" s="12">
        <v>44232200000</v>
      </c>
      <c r="Q3" s="2">
        <f t="shared" ref="Q3:T6" si="1">M3*1.1</f>
        <v>38483170000</v>
      </c>
      <c r="R3" s="2">
        <f t="shared" si="1"/>
        <v>40255050000</v>
      </c>
      <c r="S3" s="2">
        <f t="shared" si="1"/>
        <v>45813790000</v>
      </c>
      <c r="T3" s="2">
        <f t="shared" si="1"/>
        <v>48655420000.000008</v>
      </c>
      <c r="W3" s="2">
        <f>SUM(E3:H3)</f>
        <v>208869000000</v>
      </c>
      <c r="X3" s="2">
        <f>SUM(I3:L3)</f>
        <v>167217100000</v>
      </c>
      <c r="Y3" s="2">
        <f>Y39*Y40</f>
        <v>164519074093.74997</v>
      </c>
      <c r="Z3" s="2">
        <f t="shared" ref="Z3:AI3" si="2">Z39*Z40</f>
        <v>211544030973.56195</v>
      </c>
      <c r="AA3" s="2">
        <f t="shared" si="2"/>
        <v>249435289211.3674</v>
      </c>
      <c r="AB3" s="2">
        <f t="shared" si="2"/>
        <v>293341342337.05988</v>
      </c>
      <c r="AC3" s="2">
        <f t="shared" si="2"/>
        <v>344156226574.74341</v>
      </c>
      <c r="AD3" s="2">
        <f t="shared" si="2"/>
        <v>402901475752.73981</v>
      </c>
      <c r="AE3" s="2">
        <f t="shared" si="2"/>
        <v>470743792541.58466</v>
      </c>
      <c r="AF3" s="2">
        <f t="shared" si="2"/>
        <v>549015118442.20288</v>
      </c>
      <c r="AG3" s="2">
        <f t="shared" si="2"/>
        <v>639235423005.29236</v>
      </c>
      <c r="AH3" s="2">
        <f t="shared" si="2"/>
        <v>743138575047.49536</v>
      </c>
      <c r="AI3" s="2">
        <f t="shared" si="2"/>
        <v>862701706437.35413</v>
      </c>
    </row>
    <row r="4" spans="1:35" x14ac:dyDescent="0.3">
      <c r="A4" s="1" t="s">
        <v>1</v>
      </c>
      <c r="B4" s="2">
        <f>B2*B3</f>
        <v>399547633979.99994</v>
      </c>
      <c r="D4" s="1" t="s">
        <v>39</v>
      </c>
      <c r="E4" s="2">
        <v>18243300000</v>
      </c>
      <c r="F4" s="2">
        <v>20734700000</v>
      </c>
      <c r="G4" s="2">
        <v>20935600000</v>
      </c>
      <c r="H4" s="2">
        <v>25066600000</v>
      </c>
      <c r="I4" s="2">
        <v>19477400000</v>
      </c>
      <c r="J4" s="2">
        <v>19811600000</v>
      </c>
      <c r="K4" s="2">
        <v>19058600000</v>
      </c>
      <c r="L4" s="2">
        <v>21447300000</v>
      </c>
      <c r="M4" s="2">
        <v>16833800000</v>
      </c>
      <c r="N4" s="2">
        <v>22253900000</v>
      </c>
      <c r="O4" s="35">
        <v>20673300000</v>
      </c>
      <c r="P4" s="12">
        <v>20346800000</v>
      </c>
      <c r="Q4" s="2">
        <f t="shared" si="1"/>
        <v>18517180000</v>
      </c>
      <c r="R4" s="2">
        <f t="shared" si="1"/>
        <v>24479290000.000004</v>
      </c>
      <c r="S4" s="2">
        <f t="shared" si="1"/>
        <v>22740630000</v>
      </c>
      <c r="T4" s="2">
        <f t="shared" si="1"/>
        <v>22381480000</v>
      </c>
      <c r="W4" s="2">
        <f t="shared" ref="W4" si="3">SUM(E4:H4)</f>
        <v>84980200000</v>
      </c>
      <c r="X4" s="2">
        <f t="shared" ref="X4:X6" si="4">SUM(I4:L4)</f>
        <v>79794900000</v>
      </c>
      <c r="Y4" s="2">
        <f>SUM(M4:P4)</f>
        <v>80107800000</v>
      </c>
      <c r="Z4" s="2">
        <f>SUM(Q4:T4)</f>
        <v>88118580000</v>
      </c>
      <c r="AA4" s="2">
        <f>Z4*1.1</f>
        <v>96930438000.000015</v>
      </c>
      <c r="AB4" s="2">
        <f t="shared" ref="AB4:AI4" si="5">AA4*1.1</f>
        <v>106623481800.00003</v>
      </c>
      <c r="AC4" s="2">
        <f t="shared" si="5"/>
        <v>117285829980.00005</v>
      </c>
      <c r="AD4" s="2">
        <f t="shared" si="5"/>
        <v>129014412978.00006</v>
      </c>
      <c r="AE4" s="2">
        <f t="shared" si="5"/>
        <v>141915854275.80008</v>
      </c>
      <c r="AF4" s="2">
        <f t="shared" si="5"/>
        <v>156107439703.3801</v>
      </c>
      <c r="AG4" s="2">
        <f t="shared" si="5"/>
        <v>171718183673.71811</v>
      </c>
      <c r="AH4" s="2">
        <f t="shared" si="5"/>
        <v>188890002041.08994</v>
      </c>
      <c r="AI4" s="2">
        <f t="shared" si="5"/>
        <v>207779002245.19894</v>
      </c>
    </row>
    <row r="5" spans="1:35" x14ac:dyDescent="0.3">
      <c r="A5" s="1" t="s">
        <v>88</v>
      </c>
      <c r="B5" s="2">
        <v>155053292000</v>
      </c>
      <c r="D5" s="1" t="s">
        <v>40</v>
      </c>
      <c r="E5" s="2">
        <v>6570800000</v>
      </c>
      <c r="F5" s="2">
        <v>7033500000</v>
      </c>
      <c r="G5" s="2">
        <v>7337900000</v>
      </c>
      <c r="H5" s="2">
        <v>7269500000</v>
      </c>
      <c r="I5" s="2">
        <v>7112500000</v>
      </c>
      <c r="J5" s="2">
        <v>6971100000</v>
      </c>
      <c r="K5" s="2">
        <v>7066600000</v>
      </c>
      <c r="L5" s="2">
        <v>7171300000</v>
      </c>
      <c r="M5" s="2">
        <v>7028100000</v>
      </c>
      <c r="N5" s="2">
        <v>7444100000</v>
      </c>
      <c r="O5" s="35">
        <v>7755500000</v>
      </c>
      <c r="P5" s="12">
        <v>7879700000</v>
      </c>
      <c r="Q5" s="2">
        <f t="shared" si="1"/>
        <v>7730910000.000001</v>
      </c>
      <c r="R5" s="2">
        <f t="shared" si="1"/>
        <v>8188510000.000001</v>
      </c>
      <c r="S5" s="2">
        <f t="shared" si="1"/>
        <v>8531050000.000001</v>
      </c>
      <c r="T5" s="2">
        <f t="shared" si="1"/>
        <v>8667670000</v>
      </c>
      <c r="W5" s="2">
        <f>SUM(E5:H5)</f>
        <v>28211700000</v>
      </c>
      <c r="X5" s="2">
        <f t="shared" si="4"/>
        <v>28321500000</v>
      </c>
      <c r="Y5" s="2">
        <f>SUM(M5:P5)</f>
        <v>30107400000</v>
      </c>
      <c r="Z5" s="2">
        <f>SUM(Q5:T5)</f>
        <v>33118140000.000004</v>
      </c>
      <c r="AA5" s="2">
        <f>Z5*1.1</f>
        <v>36429954000.000008</v>
      </c>
      <c r="AB5" s="2">
        <f t="shared" ref="AB5:AI5" si="6">AA5*1.1</f>
        <v>40072949400.000015</v>
      </c>
      <c r="AC5" s="2">
        <f t="shared" si="6"/>
        <v>44080244340.000023</v>
      </c>
      <c r="AD5" s="2">
        <f t="shared" si="6"/>
        <v>48488268774.000031</v>
      </c>
      <c r="AE5" s="2">
        <f t="shared" si="6"/>
        <v>53337095651.40004</v>
      </c>
      <c r="AF5" s="2">
        <f t="shared" si="6"/>
        <v>58670805216.540047</v>
      </c>
      <c r="AG5" s="2">
        <f t="shared" si="6"/>
        <v>64537885738.194054</v>
      </c>
      <c r="AH5" s="2">
        <f t="shared" si="6"/>
        <v>70991674312.013458</v>
      </c>
      <c r="AI5" s="2">
        <f t="shared" si="6"/>
        <v>78090841743.214813</v>
      </c>
    </row>
    <row r="6" spans="1:35" x14ac:dyDescent="0.3">
      <c r="A6" s="1" t="s">
        <v>2</v>
      </c>
      <c r="B6" s="2">
        <v>31458952000</v>
      </c>
      <c r="D6" s="1" t="s">
        <v>41</v>
      </c>
      <c r="E6" s="2">
        <v>577100000</v>
      </c>
      <c r="F6" s="2">
        <v>931800000</v>
      </c>
      <c r="G6" s="2">
        <v>1964500000</v>
      </c>
      <c r="H6" s="2">
        <v>2775000000</v>
      </c>
      <c r="I6" s="2">
        <v>998900000</v>
      </c>
      <c r="J6" s="2">
        <v>1120100000</v>
      </c>
      <c r="K6" s="2">
        <v>1834900000</v>
      </c>
      <c r="L6" s="2">
        <v>756700000</v>
      </c>
      <c r="M6" s="2">
        <v>630500000</v>
      </c>
      <c r="N6" s="2">
        <v>1061400000</v>
      </c>
      <c r="O6" s="35">
        <v>816700000</v>
      </c>
      <c r="P6" s="12">
        <v>785000000</v>
      </c>
      <c r="Q6" s="2">
        <f t="shared" si="1"/>
        <v>693550000</v>
      </c>
      <c r="R6" s="2">
        <f t="shared" si="1"/>
        <v>1167540000</v>
      </c>
      <c r="S6" s="2">
        <f t="shared" si="1"/>
        <v>898370000.00000012</v>
      </c>
      <c r="T6" s="2">
        <f t="shared" si="1"/>
        <v>863500000.00000012</v>
      </c>
      <c r="W6" s="2">
        <f>SUM(E6:H6)</f>
        <v>6248400000</v>
      </c>
      <c r="X6" s="2">
        <f t="shared" si="4"/>
        <v>4710600000</v>
      </c>
      <c r="Y6" s="2">
        <f>SUM(M6:P6)</f>
        <v>3293600000</v>
      </c>
      <c r="Z6" s="2">
        <f>SUM(Q6:T6)</f>
        <v>3622960000</v>
      </c>
      <c r="AA6" s="2">
        <f t="shared" ref="AA6:AI6" si="7">Z6*1.1</f>
        <v>3985256000.0000005</v>
      </c>
      <c r="AB6" s="2">
        <f t="shared" si="7"/>
        <v>4383781600.000001</v>
      </c>
      <c r="AC6" s="2">
        <f t="shared" si="7"/>
        <v>4822159760.0000019</v>
      </c>
      <c r="AD6" s="2">
        <f t="shared" si="7"/>
        <v>5304375736.0000029</v>
      </c>
      <c r="AE6" s="2">
        <f t="shared" si="7"/>
        <v>5834813309.6000032</v>
      </c>
      <c r="AF6" s="2">
        <f t="shared" si="7"/>
        <v>6418294640.5600042</v>
      </c>
      <c r="AG6" s="2">
        <f t="shared" si="7"/>
        <v>7060124104.6160049</v>
      </c>
      <c r="AH6" s="2">
        <f t="shared" si="7"/>
        <v>7766136515.0776062</v>
      </c>
      <c r="AI6" s="2">
        <f t="shared" si="7"/>
        <v>8542750166.5853672</v>
      </c>
    </row>
    <row r="7" spans="1:35" x14ac:dyDescent="0.3">
      <c r="A7" s="1" t="s">
        <v>3</v>
      </c>
      <c r="B7" s="2">
        <f>21763554000+55106248000+20201026000+9887617000+1122048000</f>
        <v>108080493000</v>
      </c>
      <c r="D7" s="5" t="s">
        <v>42</v>
      </c>
      <c r="E7" s="2">
        <f t="shared" ref="E7:N7" si="8">SUM(E3:E6)</f>
        <v>76882200000</v>
      </c>
      <c r="F7" s="2">
        <f t="shared" si="8"/>
        <v>87789000000</v>
      </c>
      <c r="G7" s="2">
        <f t="shared" si="8"/>
        <v>78062900000</v>
      </c>
      <c r="H7" s="2">
        <f t="shared" si="8"/>
        <v>85575200000</v>
      </c>
      <c r="I7" s="2">
        <f t="shared" si="8"/>
        <v>73351500000</v>
      </c>
      <c r="J7" s="2">
        <f t="shared" si="8"/>
        <v>70170900000</v>
      </c>
      <c r="K7" s="2">
        <f t="shared" si="8"/>
        <v>70474300000</v>
      </c>
      <c r="L7" s="2">
        <f t="shared" si="8"/>
        <v>66047400000</v>
      </c>
      <c r="M7" s="2">
        <f t="shared" si="8"/>
        <v>59477100000</v>
      </c>
      <c r="N7" s="2">
        <f t="shared" si="8"/>
        <v>67354900000</v>
      </c>
      <c r="O7" s="35">
        <f>SUM(O3:O6)+12000</f>
        <v>70894412000</v>
      </c>
      <c r="P7" s="12">
        <f>SUM(P3:P6)</f>
        <v>73243700000</v>
      </c>
      <c r="Q7" s="2">
        <f t="shared" ref="Q7:T7" si="9">SUM(Q3:Q6)</f>
        <v>65424810000</v>
      </c>
      <c r="R7" s="2">
        <f t="shared" si="9"/>
        <v>74090390000</v>
      </c>
      <c r="S7" s="2">
        <f t="shared" si="9"/>
        <v>77983840000</v>
      </c>
      <c r="T7" s="2">
        <f t="shared" si="9"/>
        <v>80568070000</v>
      </c>
      <c r="W7" s="2">
        <f>SUM(W3:W6)</f>
        <v>328309300000</v>
      </c>
      <c r="X7" s="2">
        <f>SUM(X3:X6)</f>
        <v>280044100000</v>
      </c>
      <c r="Y7" s="2">
        <f>SUM(Y3:Y6)</f>
        <v>278027874093.75</v>
      </c>
      <c r="Z7" s="2">
        <f>SUM(Z3:Z6)</f>
        <v>336403710973.56195</v>
      </c>
      <c r="AA7" s="2">
        <f>SUM(AA3:AA6)</f>
        <v>386780937211.36743</v>
      </c>
      <c r="AB7" s="2">
        <f t="shared" ref="AB7:AI7" si="10">SUM(AB3:AB6)</f>
        <v>444421555137.05994</v>
      </c>
      <c r="AC7" s="2">
        <f t="shared" si="10"/>
        <v>510344460654.74347</v>
      </c>
      <c r="AD7" s="2">
        <f t="shared" si="10"/>
        <v>585708533240.73987</v>
      </c>
      <c r="AE7" s="2">
        <f t="shared" si="10"/>
        <v>671831555778.38477</v>
      </c>
      <c r="AF7" s="2">
        <f t="shared" si="10"/>
        <v>770211658002.68311</v>
      </c>
      <c r="AG7" s="2">
        <f t="shared" si="10"/>
        <v>882551616521.82056</v>
      </c>
      <c r="AH7" s="2">
        <f t="shared" si="10"/>
        <v>1010786387915.6764</v>
      </c>
      <c r="AI7" s="2">
        <f t="shared" si="10"/>
        <v>1157114300592.3533</v>
      </c>
    </row>
    <row r="8" spans="1:35" x14ac:dyDescent="0.3">
      <c r="A8" s="1" t="s">
        <v>94</v>
      </c>
      <c r="B8" s="2">
        <v>272809000</v>
      </c>
      <c r="D8" s="1" t="s">
        <v>17</v>
      </c>
      <c r="E8" s="2">
        <v>62720932000</v>
      </c>
      <c r="F8" s="2">
        <v>72640918000</v>
      </c>
      <c r="G8" s="2">
        <v>63770634000</v>
      </c>
      <c r="H8" s="2">
        <v>70915700000</v>
      </c>
      <c r="I8" s="2">
        <v>60641756000</v>
      </c>
      <c r="J8" s="2">
        <v>58402842000</v>
      </c>
      <c r="K8" s="2">
        <v>58752360000</v>
      </c>
      <c r="L8" s="2">
        <v>54669900000</v>
      </c>
      <c r="M8" s="2">
        <v>47885567000</v>
      </c>
      <c r="N8" s="2">
        <v>53193892000</v>
      </c>
      <c r="O8" s="35">
        <v>54784701000</v>
      </c>
      <c r="P8" s="12">
        <v>57629700000</v>
      </c>
      <c r="Q8" s="2">
        <f t="shared" ref="Q8:T8" si="11">Q7*AVERAGE($E$36:$N$36)</f>
        <v>53675547047.05262</v>
      </c>
      <c r="R8" s="2">
        <f t="shared" si="11"/>
        <v>60784925690.720039</v>
      </c>
      <c r="S8" s="2">
        <f t="shared" si="11"/>
        <v>63979173540.279663</v>
      </c>
      <c r="T8" s="2">
        <f t="shared" si="11"/>
        <v>66099316631.95092</v>
      </c>
      <c r="V8" s="2"/>
      <c r="W8" s="2">
        <f>SUM(E8:H8)</f>
        <v>270048184000</v>
      </c>
      <c r="X8" s="2">
        <f>SUM(I8:L8)</f>
        <v>232466858000</v>
      </c>
      <c r="Y8" s="2">
        <f>SUM(M8:P8)</f>
        <v>213493860000</v>
      </c>
      <c r="Z8" s="2">
        <f>Z7*Z36</f>
        <v>254114832539.26004</v>
      </c>
      <c r="AA8" s="2">
        <f t="shared" ref="AA8:AI8" si="12">AA7*AA36</f>
        <v>287334349036.93597</v>
      </c>
      <c r="AB8" s="2">
        <f t="shared" si="12"/>
        <v>324599518343.16888</v>
      </c>
      <c r="AC8" s="2">
        <f t="shared" si="12"/>
        <v>366369414916.5929</v>
      </c>
      <c r="AD8" s="2">
        <f t="shared" si="12"/>
        <v>413150910947.16205</v>
      </c>
      <c r="AE8" s="2">
        <f t="shared" si="12"/>
        <v>465503036681.60168</v>
      </c>
      <c r="AF8" s="2">
        <f t="shared" si="12"/>
        <v>524041638791.41083</v>
      </c>
      <c r="AG8" s="2">
        <f t="shared" si="12"/>
        <v>589444338351.724</v>
      </c>
      <c r="AH8" s="2">
        <f t="shared" si="12"/>
        <v>662455785233.68372</v>
      </c>
      <c r="AI8" s="2">
        <f t="shared" si="12"/>
        <v>743893199680.67615</v>
      </c>
    </row>
    <row r="9" spans="1:35" x14ac:dyDescent="0.3">
      <c r="A9" s="1" t="s">
        <v>95</v>
      </c>
      <c r="B9" s="2">
        <f>B4-B6+B7</f>
        <v>476169174979.99994</v>
      </c>
      <c r="D9" s="1" t="s">
        <v>43</v>
      </c>
      <c r="E9" s="2">
        <f>(E7-E8)-37000</f>
        <v>14161231000</v>
      </c>
      <c r="F9" s="2">
        <f>(F7-F8)-40000</f>
        <v>15148042000</v>
      </c>
      <c r="G9" s="2">
        <f>(G7-G8)-45000</f>
        <v>14292221000</v>
      </c>
      <c r="H9" s="2">
        <f>(H7-H8)+45000</f>
        <v>14659545000</v>
      </c>
      <c r="I9" s="2">
        <f>(I7-I8)+2000</f>
        <v>12709746000</v>
      </c>
      <c r="J9" s="2">
        <f>(J7-J8)-23000</f>
        <v>11768035000</v>
      </c>
      <c r="K9" s="2">
        <f>(K7-K8)-31000</f>
        <v>11721909000</v>
      </c>
      <c r="L9" s="2">
        <f>(L7-L8)+16000</f>
        <v>11377516000</v>
      </c>
      <c r="M9" s="2">
        <f>(M7-M8)+34000</f>
        <v>11591567000</v>
      </c>
      <c r="N9" s="2">
        <f>(N7-N8)+8000</f>
        <v>14161016000</v>
      </c>
      <c r="O9" s="35">
        <f>O7-O8</f>
        <v>16109711000</v>
      </c>
      <c r="P9" s="12">
        <f>P7-P8</f>
        <v>15614000000</v>
      </c>
      <c r="Q9" s="2">
        <f t="shared" ref="Q9:T9" si="13">Q7-Q8</f>
        <v>11749262952.94738</v>
      </c>
      <c r="R9" s="2">
        <f t="shared" si="13"/>
        <v>13305464309.279961</v>
      </c>
      <c r="S9" s="2">
        <f t="shared" si="13"/>
        <v>14004666459.720337</v>
      </c>
      <c r="T9" s="2">
        <f t="shared" si="13"/>
        <v>14468753368.04908</v>
      </c>
      <c r="V9" s="2"/>
      <c r="W9" s="2">
        <f>SUM(E9:H9)</f>
        <v>58261039000</v>
      </c>
      <c r="X9" s="2">
        <f>SUM(I9:L9)</f>
        <v>47577206000</v>
      </c>
      <c r="Y9" s="2">
        <f>SUM(M9:P9)</f>
        <v>57476294000</v>
      </c>
      <c r="Z9" s="2">
        <f>SUM(Q9:T9)</f>
        <v>53528147089.996758</v>
      </c>
      <c r="AA9" s="2">
        <f>AA7-AA8</f>
        <v>99446588174.431458</v>
      </c>
      <c r="AB9" s="2">
        <f t="shared" ref="AB9:AI9" si="14">AB7-AB8</f>
        <v>119822036793.89105</v>
      </c>
      <c r="AC9" s="2">
        <f t="shared" si="14"/>
        <v>143975045738.15057</v>
      </c>
      <c r="AD9" s="2">
        <f t="shared" si="14"/>
        <v>172557622293.57782</v>
      </c>
      <c r="AE9" s="2">
        <f t="shared" si="14"/>
        <v>206328519096.78308</v>
      </c>
      <c r="AF9" s="2">
        <f t="shared" si="14"/>
        <v>246170019211.27228</v>
      </c>
      <c r="AG9" s="2">
        <f t="shared" si="14"/>
        <v>293107278170.09656</v>
      </c>
      <c r="AH9" s="2">
        <f t="shared" si="14"/>
        <v>348330602681.99268</v>
      </c>
      <c r="AI9" s="2">
        <f t="shared" si="14"/>
        <v>413221100911.67712</v>
      </c>
    </row>
    <row r="10" spans="1:35" ht="14.4" customHeight="1" x14ac:dyDescent="0.3">
      <c r="D10" s="1" t="s">
        <v>44</v>
      </c>
      <c r="E10" s="2">
        <v>3011991000</v>
      </c>
      <c r="F10" s="2">
        <v>3064176000</v>
      </c>
      <c r="G10" s="2">
        <v>3237695000</v>
      </c>
      <c r="H10" s="2">
        <v>3853200000</v>
      </c>
      <c r="I10" s="2">
        <v>3494539000</v>
      </c>
      <c r="J10" s="2">
        <v>3763374000</v>
      </c>
      <c r="K10" s="2">
        <v>4069789000</v>
      </c>
      <c r="L10" s="2">
        <v>4700400000</v>
      </c>
      <c r="M10" s="2">
        <v>4113360000</v>
      </c>
      <c r="N10" s="2">
        <v>4554803000</v>
      </c>
      <c r="O10" s="35">
        <v>4966220000</v>
      </c>
      <c r="P10" s="12">
        <v>5463300000</v>
      </c>
      <c r="Q10" s="2">
        <f t="shared" ref="Q10:T12" si="15">M10*(1+$B$21)</f>
        <v>4524696000</v>
      </c>
      <c r="R10" s="2">
        <f t="shared" si="15"/>
        <v>5010283300</v>
      </c>
      <c r="S10" s="2">
        <f t="shared" si="15"/>
        <v>5462842000</v>
      </c>
      <c r="T10" s="2">
        <f t="shared" si="15"/>
        <v>6009630000.000001</v>
      </c>
      <c r="W10" s="2">
        <f>SUM(E10:H10)</f>
        <v>13167062000</v>
      </c>
      <c r="X10" s="2">
        <f>SUM(I10:L10)</f>
        <v>16028102000</v>
      </c>
      <c r="Y10" s="2">
        <f>SUM(M10:P10)</f>
        <v>19097683000</v>
      </c>
      <c r="Z10" s="2">
        <f>SUM(Q10:T10)</f>
        <v>21007451300</v>
      </c>
      <c r="AA10" s="2">
        <f>Z10*(1+$B$21)</f>
        <v>23108196430</v>
      </c>
      <c r="AB10" s="2">
        <f t="shared" ref="AB10:AI10" si="16">AA10*(1+$B$21)</f>
        <v>25419016073.000004</v>
      </c>
      <c r="AC10" s="2">
        <f t="shared" si="16"/>
        <v>27960917680.300007</v>
      </c>
      <c r="AD10" s="2">
        <f t="shared" si="16"/>
        <v>30757009448.330009</v>
      </c>
      <c r="AE10" s="2">
        <f t="shared" si="16"/>
        <v>33832710393.163013</v>
      </c>
      <c r="AF10" s="2">
        <f t="shared" si="16"/>
        <v>37215981432.479317</v>
      </c>
      <c r="AG10" s="2">
        <f t="shared" si="16"/>
        <v>40937579575.727249</v>
      </c>
      <c r="AH10" s="2">
        <f t="shared" si="16"/>
        <v>45031337533.29998</v>
      </c>
      <c r="AI10" s="2">
        <f t="shared" si="16"/>
        <v>49534471286.629982</v>
      </c>
    </row>
    <row r="11" spans="1:35" ht="14.4" customHeight="1" x14ac:dyDescent="0.3">
      <c r="A11" s="32" t="s">
        <v>61</v>
      </c>
      <c r="B11" s="32"/>
      <c r="D11" s="1" t="s">
        <v>45</v>
      </c>
      <c r="E11" s="2">
        <v>4163475000</v>
      </c>
      <c r="F11" s="2">
        <v>5680659000</v>
      </c>
      <c r="G11" s="2">
        <v>4882314000</v>
      </c>
      <c r="H11" s="2">
        <v>6254300000</v>
      </c>
      <c r="I11" s="2">
        <v>5256184000</v>
      </c>
      <c r="J11" s="2">
        <v>5332208000</v>
      </c>
      <c r="K11" s="2">
        <v>4882576000</v>
      </c>
      <c r="L11" s="2">
        <v>5852400000</v>
      </c>
      <c r="M11" s="2">
        <v>4103864000</v>
      </c>
      <c r="N11" s="2">
        <v>4476758000</v>
      </c>
      <c r="O11" s="35">
        <v>4736265000</v>
      </c>
      <c r="P11" s="12">
        <v>5909700000</v>
      </c>
      <c r="Q11" s="2">
        <f t="shared" si="15"/>
        <v>4514250400</v>
      </c>
      <c r="R11" s="2">
        <f t="shared" si="15"/>
        <v>4924433800</v>
      </c>
      <c r="S11" s="2">
        <f t="shared" si="15"/>
        <v>5209891500</v>
      </c>
      <c r="T11" s="2">
        <f t="shared" si="15"/>
        <v>6500670000.000001</v>
      </c>
      <c r="W11" s="2">
        <f t="shared" ref="W11:W12" si="17">SUM(E11:H11)</f>
        <v>20980748000</v>
      </c>
      <c r="X11" s="2">
        <f t="shared" ref="X11:X12" si="18">SUM(I11:L11)</f>
        <v>21323368000</v>
      </c>
      <c r="Y11" s="2">
        <f>SUM(M11:P11)</f>
        <v>19226587000</v>
      </c>
      <c r="Z11" s="2">
        <f>SUM(Q11:T11)</f>
        <v>21149245700</v>
      </c>
      <c r="AA11" s="2">
        <f t="shared" ref="AA11:AI12" si="19">Z11*(1+$B$21)</f>
        <v>23264170270</v>
      </c>
      <c r="AB11" s="2">
        <f t="shared" si="19"/>
        <v>25590587297.000004</v>
      </c>
      <c r="AC11" s="2">
        <f t="shared" si="19"/>
        <v>28149646026.700005</v>
      </c>
      <c r="AD11" s="2">
        <f t="shared" si="19"/>
        <v>30964610629.370007</v>
      </c>
      <c r="AE11" s="2">
        <f t="shared" si="19"/>
        <v>34061071692.307011</v>
      </c>
      <c r="AF11" s="2">
        <f t="shared" si="19"/>
        <v>37467178861.537712</v>
      </c>
      <c r="AG11" s="2">
        <f t="shared" si="19"/>
        <v>41213896747.69149</v>
      </c>
      <c r="AH11" s="2">
        <f t="shared" si="19"/>
        <v>45335286422.46064</v>
      </c>
      <c r="AI11" s="2">
        <f t="shared" si="19"/>
        <v>49868815064.706711</v>
      </c>
    </row>
    <row r="12" spans="1:35" x14ac:dyDescent="0.3">
      <c r="A12" s="31" t="s">
        <v>72</v>
      </c>
      <c r="B12" s="31"/>
      <c r="D12" s="1" t="s">
        <v>46</v>
      </c>
      <c r="E12" s="2">
        <v>987652000</v>
      </c>
      <c r="F12" s="2">
        <v>1150336000</v>
      </c>
      <c r="G12" s="2">
        <v>1274603000</v>
      </c>
      <c r="H12" s="2">
        <v>1326300000</v>
      </c>
      <c r="I12" s="2">
        <v>1244573000</v>
      </c>
      <c r="J12" s="2">
        <v>1315404000</v>
      </c>
      <c r="K12" s="2">
        <v>1255393000</v>
      </c>
      <c r="L12" s="2">
        <v>1298500000</v>
      </c>
      <c r="M12" s="2">
        <v>1135173000</v>
      </c>
      <c r="N12" s="2">
        <v>1143190000</v>
      </c>
      <c r="O12" s="35">
        <v>1365291000</v>
      </c>
      <c r="P12" s="12">
        <v>1483100000</v>
      </c>
      <c r="Q12" s="2">
        <f t="shared" si="15"/>
        <v>1248690300</v>
      </c>
      <c r="R12" s="2">
        <f t="shared" si="15"/>
        <v>1257509000</v>
      </c>
      <c r="S12" s="2">
        <f t="shared" si="15"/>
        <v>1501820100.0000002</v>
      </c>
      <c r="T12" s="2">
        <f t="shared" si="15"/>
        <v>1631410000.0000002</v>
      </c>
      <c r="W12" s="2">
        <f t="shared" si="17"/>
        <v>4738891000</v>
      </c>
      <c r="X12" s="2">
        <f t="shared" si="18"/>
        <v>5113870000</v>
      </c>
      <c r="Y12" s="2">
        <f>SUM(M12:P12)</f>
        <v>5126754000</v>
      </c>
      <c r="Z12" s="2">
        <f>SUM(Q12:T12)</f>
        <v>5639429400</v>
      </c>
      <c r="AA12" s="2">
        <f t="shared" si="19"/>
        <v>6203372340.000001</v>
      </c>
      <c r="AB12" s="2">
        <f t="shared" si="19"/>
        <v>6823709574.0000019</v>
      </c>
      <c r="AC12" s="2">
        <f t="shared" si="19"/>
        <v>7506080531.4000025</v>
      </c>
      <c r="AD12" s="2">
        <f t="shared" si="19"/>
        <v>8256688584.5400038</v>
      </c>
      <c r="AE12" s="2">
        <f t="shared" si="19"/>
        <v>9082357442.9940052</v>
      </c>
      <c r="AF12" s="2">
        <f t="shared" si="19"/>
        <v>9990593187.2934074</v>
      </c>
      <c r="AG12" s="2">
        <f t="shared" si="19"/>
        <v>10989652506.022749</v>
      </c>
      <c r="AH12" s="2">
        <f t="shared" si="19"/>
        <v>12088617756.625025</v>
      </c>
      <c r="AI12" s="2">
        <f t="shared" si="19"/>
        <v>13297479532.287529</v>
      </c>
    </row>
    <row r="13" spans="1:35" x14ac:dyDescent="0.3">
      <c r="A13" s="31"/>
      <c r="B13" s="31"/>
      <c r="D13" s="5" t="s">
        <v>18</v>
      </c>
      <c r="E13" s="2">
        <f t="shared" ref="E13:N13" si="20">SUM(E10:E12)</f>
        <v>8163118000</v>
      </c>
      <c r="F13" s="2">
        <f t="shared" si="20"/>
        <v>9895171000</v>
      </c>
      <c r="G13" s="2">
        <f t="shared" si="20"/>
        <v>9394612000</v>
      </c>
      <c r="H13" s="2">
        <f t="shared" si="20"/>
        <v>11433800000</v>
      </c>
      <c r="I13" s="2">
        <f t="shared" si="20"/>
        <v>9995296000</v>
      </c>
      <c r="J13" s="2">
        <f t="shared" si="20"/>
        <v>10410986000</v>
      </c>
      <c r="K13" s="2">
        <f t="shared" si="20"/>
        <v>10207758000</v>
      </c>
      <c r="L13" s="2">
        <f t="shared" si="20"/>
        <v>11851300000</v>
      </c>
      <c r="M13" s="2">
        <f t="shared" si="20"/>
        <v>9352397000</v>
      </c>
      <c r="N13" s="2">
        <f t="shared" si="20"/>
        <v>10174751000</v>
      </c>
      <c r="O13" s="35">
        <f>SUM(O10:O12)</f>
        <v>11067776000</v>
      </c>
      <c r="P13" s="12">
        <f>SUM(P10:P12)</f>
        <v>12856100000</v>
      </c>
      <c r="Q13" s="2">
        <f t="shared" ref="Q13:T13" si="21">SUM(Q10:Q12)</f>
        <v>10287636700</v>
      </c>
      <c r="R13" s="2">
        <f t="shared" si="21"/>
        <v>11192226100</v>
      </c>
      <c r="S13" s="2">
        <f t="shared" si="21"/>
        <v>12174553600</v>
      </c>
      <c r="T13" s="2">
        <f t="shared" si="21"/>
        <v>14141710000.000002</v>
      </c>
      <c r="W13" s="2">
        <f>SUM(W10:W12)</f>
        <v>38886701000</v>
      </c>
      <c r="X13" s="2">
        <f>SUM(X10:X12)</f>
        <v>42465340000</v>
      </c>
      <c r="Y13" s="2">
        <f>SUM(Y10:Y12)</f>
        <v>43451024000</v>
      </c>
      <c r="Z13" s="2">
        <f>SUM(Z10:Z12)</f>
        <v>47796126400</v>
      </c>
      <c r="AA13" s="2">
        <f>SUM(AA10:AA12)</f>
        <v>52575739040</v>
      </c>
      <c r="AB13" s="2">
        <f t="shared" ref="AB13:AI13" si="22">SUM(AB10:AB12)</f>
        <v>57833312944.000008</v>
      </c>
      <c r="AC13" s="2">
        <f t="shared" si="22"/>
        <v>63616644238.400017</v>
      </c>
      <c r="AD13" s="2">
        <f t="shared" si="22"/>
        <v>69978308662.240021</v>
      </c>
      <c r="AE13" s="2">
        <f t="shared" si="22"/>
        <v>76976139528.464035</v>
      </c>
      <c r="AF13" s="2">
        <f t="shared" si="22"/>
        <v>84673753481.31044</v>
      </c>
      <c r="AG13" s="2">
        <f t="shared" si="22"/>
        <v>93141128829.441483</v>
      </c>
      <c r="AH13" s="2">
        <f t="shared" si="22"/>
        <v>102455241712.38565</v>
      </c>
      <c r="AI13" s="2">
        <f t="shared" si="22"/>
        <v>112700765883.62424</v>
      </c>
    </row>
    <row r="14" spans="1:35" x14ac:dyDescent="0.3">
      <c r="A14" s="31"/>
      <c r="B14" s="31"/>
      <c r="D14" s="1" t="s">
        <v>19</v>
      </c>
      <c r="E14" s="2">
        <f t="shared" ref="E14:N14" si="23">E9-E13</f>
        <v>5998113000</v>
      </c>
      <c r="F14" s="2">
        <f t="shared" si="23"/>
        <v>5252871000</v>
      </c>
      <c r="G14" s="2">
        <f t="shared" si="23"/>
        <v>4897609000</v>
      </c>
      <c r="H14" s="2">
        <f t="shared" si="23"/>
        <v>3225745000</v>
      </c>
      <c r="I14" s="2">
        <f t="shared" si="23"/>
        <v>2714450000</v>
      </c>
      <c r="J14" s="2">
        <f t="shared" si="23"/>
        <v>1357049000</v>
      </c>
      <c r="K14" s="2">
        <f t="shared" si="23"/>
        <v>1514151000</v>
      </c>
      <c r="L14" s="2">
        <f t="shared" si="23"/>
        <v>-473784000</v>
      </c>
      <c r="M14" s="2">
        <f t="shared" si="23"/>
        <v>2239170000</v>
      </c>
      <c r="N14" s="2">
        <f t="shared" si="23"/>
        <v>3986265000</v>
      </c>
      <c r="O14" s="35">
        <f>O9-O13</f>
        <v>5041935000</v>
      </c>
      <c r="P14" s="12">
        <f>P9-P13</f>
        <v>2757900000</v>
      </c>
      <c r="Q14" s="2">
        <f t="shared" ref="Q14:T14" si="24">Q9-Q13</f>
        <v>1461626252.9473801</v>
      </c>
      <c r="R14" s="2">
        <f t="shared" si="24"/>
        <v>2113238209.2799606</v>
      </c>
      <c r="S14" s="2">
        <f t="shared" si="24"/>
        <v>1830112859.7203369</v>
      </c>
      <c r="T14" s="2">
        <f t="shared" si="24"/>
        <v>327043368.04907799</v>
      </c>
      <c r="W14" s="2">
        <f>W9-W13</f>
        <v>19374338000</v>
      </c>
      <c r="X14" s="2">
        <f>X9-X13</f>
        <v>5111866000</v>
      </c>
      <c r="Y14" s="2">
        <f>Y9-Y13</f>
        <v>14025270000</v>
      </c>
      <c r="Z14" s="2">
        <f>Z9-Z13</f>
        <v>5732020689.9967575</v>
      </c>
      <c r="AA14" s="2">
        <f>AA9-AA13</f>
        <v>46870849134.431458</v>
      </c>
      <c r="AB14" s="2">
        <f t="shared" ref="AB14:AI14" si="25">AB9-AB13</f>
        <v>61988723849.891045</v>
      </c>
      <c r="AC14" s="2">
        <f t="shared" si="25"/>
        <v>80358401499.750549</v>
      </c>
      <c r="AD14" s="2">
        <f t="shared" si="25"/>
        <v>102579313631.3378</v>
      </c>
      <c r="AE14" s="2">
        <f t="shared" si="25"/>
        <v>129352379568.31905</v>
      </c>
      <c r="AF14" s="2">
        <f t="shared" si="25"/>
        <v>161496265729.96185</v>
      </c>
      <c r="AG14" s="2">
        <f t="shared" si="25"/>
        <v>199966149340.65509</v>
      </c>
      <c r="AH14" s="2">
        <f t="shared" si="25"/>
        <v>245875360969.60703</v>
      </c>
      <c r="AI14" s="2">
        <f t="shared" si="25"/>
        <v>300520335028.05286</v>
      </c>
    </row>
    <row r="15" spans="1:35" x14ac:dyDescent="0.3">
      <c r="A15" s="31"/>
      <c r="B15" s="31"/>
      <c r="D15" s="1" t="s">
        <v>20</v>
      </c>
      <c r="E15" s="2">
        <f t="shared" ref="E15:N15" si="26">E7-E13</f>
        <v>68719082000</v>
      </c>
      <c r="F15" s="2">
        <f t="shared" si="26"/>
        <v>77893829000</v>
      </c>
      <c r="G15" s="2">
        <f t="shared" si="26"/>
        <v>68668288000</v>
      </c>
      <c r="H15" s="2">
        <f t="shared" si="26"/>
        <v>74141400000</v>
      </c>
      <c r="I15" s="2">
        <f t="shared" si="26"/>
        <v>63356204000</v>
      </c>
      <c r="J15" s="2">
        <f t="shared" si="26"/>
        <v>59759914000</v>
      </c>
      <c r="K15" s="2">
        <f t="shared" si="26"/>
        <v>60266542000</v>
      </c>
      <c r="L15" s="2">
        <f t="shared" si="26"/>
        <v>54196100000</v>
      </c>
      <c r="M15" s="2">
        <f t="shared" si="26"/>
        <v>50124703000</v>
      </c>
      <c r="N15" s="2">
        <f t="shared" si="26"/>
        <v>57180149000</v>
      </c>
      <c r="O15" s="35">
        <f>O7-O13</f>
        <v>59826636000</v>
      </c>
      <c r="P15" s="12">
        <f>P7-P13</f>
        <v>60387600000</v>
      </c>
      <c r="Q15" s="2">
        <f t="shared" ref="Q15:T15" si="27">Q7-Q13</f>
        <v>55137173300</v>
      </c>
      <c r="R15" s="2">
        <f t="shared" si="27"/>
        <v>62898163900</v>
      </c>
      <c r="S15" s="2">
        <f t="shared" si="27"/>
        <v>65809286400</v>
      </c>
      <c r="T15" s="2">
        <f t="shared" si="27"/>
        <v>66426360000</v>
      </c>
      <c r="W15" s="2">
        <f>W7-W13</f>
        <v>289422599000</v>
      </c>
      <c r="X15" s="2">
        <f>X7-X13</f>
        <v>237578760000</v>
      </c>
      <c r="Y15" s="2">
        <f>Y7-Y13</f>
        <v>234576850093.75</v>
      </c>
      <c r="Z15" s="2">
        <f>Z7-Z13</f>
        <v>288607584573.56195</v>
      </c>
      <c r="AA15" s="2">
        <f>AA7-AA13</f>
        <v>334205198171.36743</v>
      </c>
      <c r="AB15" s="2">
        <f t="shared" ref="AB15:AI15" si="28">AB7-AB13</f>
        <v>386588242193.05994</v>
      </c>
      <c r="AC15" s="2">
        <f t="shared" si="28"/>
        <v>446727816416.34344</v>
      </c>
      <c r="AD15" s="2">
        <f t="shared" si="28"/>
        <v>515730224578.49988</v>
      </c>
      <c r="AE15" s="2">
        <f t="shared" si="28"/>
        <v>594855416249.92078</v>
      </c>
      <c r="AF15" s="2">
        <f t="shared" si="28"/>
        <v>685537904521.37268</v>
      </c>
      <c r="AG15" s="2">
        <f t="shared" si="28"/>
        <v>789410487692.37903</v>
      </c>
      <c r="AH15" s="2">
        <f t="shared" si="28"/>
        <v>908331146203.29077</v>
      </c>
      <c r="AI15" s="2">
        <f t="shared" si="28"/>
        <v>1044413534708.729</v>
      </c>
    </row>
    <row r="16" spans="1:35" x14ac:dyDescent="0.3">
      <c r="A16" s="31"/>
      <c r="B16" s="31"/>
      <c r="D16" s="1" t="s">
        <v>47</v>
      </c>
      <c r="E16" s="2">
        <v>2063207000</v>
      </c>
      <c r="F16" s="2">
        <v>4165419000</v>
      </c>
      <c r="G16" s="2">
        <v>-1975634000</v>
      </c>
      <c r="H16" s="2">
        <v>3879100000</v>
      </c>
      <c r="I16" s="2">
        <v>-3550255000</v>
      </c>
      <c r="J16" s="2">
        <v>513577000</v>
      </c>
      <c r="K16" s="2">
        <v>-2390854000</v>
      </c>
      <c r="L16" s="2">
        <v>3765500000</v>
      </c>
      <c r="M16" s="2">
        <v>3453259000</v>
      </c>
      <c r="N16" s="2">
        <v>-275784000</v>
      </c>
      <c r="O16" s="35">
        <v>-299895000</v>
      </c>
      <c r="P16" s="12">
        <v>623500000</v>
      </c>
      <c r="Q16" s="2">
        <f>AVERAGE(E16:P16)</f>
        <v>830928333.33333337</v>
      </c>
      <c r="R16" s="2">
        <f t="shared" ref="Q16:T16" si="29">Q16</f>
        <v>830928333.33333337</v>
      </c>
      <c r="S16" s="2">
        <f t="shared" si="29"/>
        <v>830928333.33333337</v>
      </c>
      <c r="T16" s="2">
        <f t="shared" si="29"/>
        <v>830928333.33333337</v>
      </c>
      <c r="W16" s="2">
        <f>SUM(E16:H16)</f>
        <v>8132092000</v>
      </c>
      <c r="X16" s="2">
        <f>SUM(I16:L16)</f>
        <v>-1662032000</v>
      </c>
      <c r="Y16" s="2">
        <f>SUM(M16:P16)</f>
        <v>3501080000</v>
      </c>
      <c r="Z16" s="2">
        <f>SUM(Q16:T16)</f>
        <v>3323713333.3333335</v>
      </c>
      <c r="AA16" s="2">
        <f>$Z$16</f>
        <v>3323713333.3333335</v>
      </c>
      <c r="AB16" s="2">
        <f t="shared" ref="AB16:AI16" si="30">$Z$16</f>
        <v>3323713333.3333335</v>
      </c>
      <c r="AC16" s="2">
        <f t="shared" si="30"/>
        <v>3323713333.3333335</v>
      </c>
      <c r="AD16" s="2">
        <f t="shared" si="30"/>
        <v>3323713333.3333335</v>
      </c>
      <c r="AE16" s="2">
        <f t="shared" si="30"/>
        <v>3323713333.3333335</v>
      </c>
      <c r="AF16" s="2">
        <f t="shared" si="30"/>
        <v>3323713333.3333335</v>
      </c>
      <c r="AG16" s="2">
        <f t="shared" si="30"/>
        <v>3323713333.3333335</v>
      </c>
      <c r="AH16" s="2">
        <f t="shared" si="30"/>
        <v>3323713333.3333335</v>
      </c>
      <c r="AI16" s="2">
        <f t="shared" si="30"/>
        <v>3323713333.3333335</v>
      </c>
    </row>
    <row r="17" spans="1:104" x14ac:dyDescent="0.3">
      <c r="A17" s="31"/>
      <c r="B17" s="31"/>
      <c r="D17" s="1" t="s">
        <v>48</v>
      </c>
      <c r="E17" s="2">
        <v>8989000</v>
      </c>
      <c r="F17" s="2">
        <v>-26193000</v>
      </c>
      <c r="G17" s="2">
        <v>45116000</v>
      </c>
      <c r="H17" s="2">
        <v>247100000</v>
      </c>
      <c r="I17" s="2">
        <v>-201332000</v>
      </c>
      <c r="J17" s="2">
        <v>62672000</v>
      </c>
      <c r="K17" s="2">
        <v>-264996000</v>
      </c>
      <c r="L17" s="2">
        <v>3600000</v>
      </c>
      <c r="M17" s="2">
        <v>-133081000</v>
      </c>
      <c r="N17" s="2">
        <v>74046000</v>
      </c>
      <c r="O17" s="35">
        <v>20633000</v>
      </c>
      <c r="P17" s="12">
        <v>84000000</v>
      </c>
      <c r="Q17" s="2">
        <f>AVERAGE(E17:P17)</f>
        <v>-6620500</v>
      </c>
      <c r="R17" s="2">
        <f t="shared" ref="Q17:T17" si="31">Q17</f>
        <v>-6620500</v>
      </c>
      <c r="S17" s="2">
        <f t="shared" si="31"/>
        <v>-6620500</v>
      </c>
      <c r="T17" s="2">
        <f t="shared" si="31"/>
        <v>-6620500</v>
      </c>
      <c r="W17" s="2">
        <f>SUM(E17:H17)</f>
        <v>275012000</v>
      </c>
      <c r="X17" s="2">
        <f>SUM(I17:L17)</f>
        <v>-400056000</v>
      </c>
      <c r="Y17" s="2">
        <f>SUM(M17:P17)</f>
        <v>45598000</v>
      </c>
      <c r="Z17" s="2">
        <f>SUM(Q17:T17)</f>
        <v>-26482000</v>
      </c>
      <c r="AA17" s="2">
        <f>$Z$17</f>
        <v>-26482000</v>
      </c>
      <c r="AB17" s="2">
        <f t="shared" ref="AB17:AI17" si="32">$Z$17</f>
        <v>-26482000</v>
      </c>
      <c r="AC17" s="2">
        <f t="shared" si="32"/>
        <v>-26482000</v>
      </c>
      <c r="AD17" s="2">
        <f t="shared" si="32"/>
        <v>-26482000</v>
      </c>
      <c r="AE17" s="2">
        <f t="shared" si="32"/>
        <v>-26482000</v>
      </c>
      <c r="AF17" s="2">
        <f t="shared" si="32"/>
        <v>-26482000</v>
      </c>
      <c r="AG17" s="2">
        <f t="shared" si="32"/>
        <v>-26482000</v>
      </c>
      <c r="AH17" s="2">
        <f t="shared" si="32"/>
        <v>-26482000</v>
      </c>
      <c r="AI17" s="2">
        <f t="shared" si="32"/>
        <v>-26482000</v>
      </c>
    </row>
    <row r="18" spans="1:104" x14ac:dyDescent="0.3">
      <c r="A18" s="31"/>
      <c r="B18" s="31"/>
      <c r="D18" s="5" t="s">
        <v>52</v>
      </c>
      <c r="E18" s="2">
        <f t="shared" ref="E18:N18" si="33">E16+E17</f>
        <v>2072196000</v>
      </c>
      <c r="F18" s="2">
        <f t="shared" si="33"/>
        <v>4139226000</v>
      </c>
      <c r="G18" s="2">
        <f t="shared" si="33"/>
        <v>-1930518000</v>
      </c>
      <c r="H18" s="2">
        <f t="shared" si="33"/>
        <v>4126200000</v>
      </c>
      <c r="I18" s="2">
        <f t="shared" si="33"/>
        <v>-3751587000</v>
      </c>
      <c r="J18" s="2">
        <f t="shared" si="33"/>
        <v>576249000</v>
      </c>
      <c r="K18" s="2">
        <f t="shared" si="33"/>
        <v>-2655850000</v>
      </c>
      <c r="L18" s="2">
        <f t="shared" si="33"/>
        <v>3769100000</v>
      </c>
      <c r="M18" s="2">
        <f t="shared" si="33"/>
        <v>3320178000</v>
      </c>
      <c r="N18" s="2">
        <f t="shared" si="33"/>
        <v>-201738000</v>
      </c>
      <c r="O18" s="35">
        <f>O16+O17</f>
        <v>-279262000</v>
      </c>
      <c r="P18" s="12">
        <f>P16+P17</f>
        <v>707500000</v>
      </c>
      <c r="Q18" s="2">
        <f t="shared" ref="Q18:T18" si="34">Q16+Q17</f>
        <v>824307833.33333337</v>
      </c>
      <c r="R18" s="2">
        <f t="shared" si="34"/>
        <v>824307833.33333337</v>
      </c>
      <c r="S18" s="2">
        <f t="shared" si="34"/>
        <v>824307833.33333337</v>
      </c>
      <c r="T18" s="2">
        <f t="shared" si="34"/>
        <v>824307833.33333337</v>
      </c>
      <c r="W18" s="2">
        <f>W16+W17</f>
        <v>8407104000</v>
      </c>
      <c r="X18" s="2">
        <f>X16+X17</f>
        <v>-2062088000</v>
      </c>
      <c r="Y18" s="2">
        <f>Y16+Y17</f>
        <v>3546678000</v>
      </c>
      <c r="Z18" s="2">
        <f>Z16+Z17</f>
        <v>3297231333.3333335</v>
      </c>
      <c r="AA18" s="2">
        <f>AA16+AA17</f>
        <v>3297231333.3333335</v>
      </c>
      <c r="AB18" s="2">
        <f t="shared" ref="AB18:AI18" si="35">AB16+AB17</f>
        <v>3297231333.3333335</v>
      </c>
      <c r="AC18" s="2">
        <f t="shared" si="35"/>
        <v>3297231333.3333335</v>
      </c>
      <c r="AD18" s="2">
        <f t="shared" si="35"/>
        <v>3297231333.3333335</v>
      </c>
      <c r="AE18" s="2">
        <f t="shared" si="35"/>
        <v>3297231333.3333335</v>
      </c>
      <c r="AF18" s="2">
        <f t="shared" si="35"/>
        <v>3297231333.3333335</v>
      </c>
      <c r="AG18" s="2">
        <f t="shared" si="35"/>
        <v>3297231333.3333335</v>
      </c>
      <c r="AH18" s="2">
        <f t="shared" si="35"/>
        <v>3297231333.3333335</v>
      </c>
      <c r="AI18" s="2">
        <f t="shared" si="35"/>
        <v>3297231333.3333335</v>
      </c>
    </row>
    <row r="19" spans="1:104" x14ac:dyDescent="0.3">
      <c r="A19" s="28"/>
      <c r="B19" s="28"/>
      <c r="D19" s="1" t="s">
        <v>49</v>
      </c>
      <c r="E19" s="2">
        <v>152053000</v>
      </c>
      <c r="F19" s="2">
        <v>234612000</v>
      </c>
      <c r="G19" s="2">
        <v>234886000</v>
      </c>
      <c r="H19" s="2">
        <v>205300000</v>
      </c>
      <c r="I19" s="2">
        <v>164927000</v>
      </c>
      <c r="J19" s="2">
        <v>186177000</v>
      </c>
      <c r="K19" s="2">
        <v>195671000</v>
      </c>
      <c r="L19" s="2">
        <v>588700000</v>
      </c>
      <c r="M19" s="2">
        <v>164834000</v>
      </c>
      <c r="N19" s="2">
        <v>184776000</v>
      </c>
      <c r="O19" s="35">
        <v>128734000</v>
      </c>
      <c r="P19" s="12">
        <v>261700000</v>
      </c>
      <c r="Q19" s="2">
        <f>AVERAGE(E19:P19)</f>
        <v>225197500</v>
      </c>
      <c r="R19" s="2">
        <f t="shared" ref="Q19:T19" si="36">Q19</f>
        <v>225197500</v>
      </c>
      <c r="S19" s="2">
        <f t="shared" si="36"/>
        <v>225197500</v>
      </c>
      <c r="T19" s="2">
        <f t="shared" si="36"/>
        <v>225197500</v>
      </c>
      <c r="W19" s="2">
        <f>SUM(E19:H19)</f>
        <v>826851000</v>
      </c>
      <c r="X19" s="2">
        <f>SUM(I19:L19)</f>
        <v>1135475000</v>
      </c>
      <c r="Y19" s="2">
        <f>SUM(M19:P19)</f>
        <v>740044000</v>
      </c>
      <c r="Z19" s="2">
        <f>SUM(Q19:T19)</f>
        <v>900790000</v>
      </c>
      <c r="AA19" s="2">
        <f>$Z$19</f>
        <v>900790000</v>
      </c>
      <c r="AB19" s="2">
        <f t="shared" ref="AB19:AI19" si="37">$Z$19</f>
        <v>900790000</v>
      </c>
      <c r="AC19" s="2">
        <f t="shared" si="37"/>
        <v>900790000</v>
      </c>
      <c r="AD19" s="2">
        <f t="shared" si="37"/>
        <v>900790000</v>
      </c>
      <c r="AE19" s="2">
        <f t="shared" si="37"/>
        <v>900790000</v>
      </c>
      <c r="AF19" s="2">
        <f t="shared" si="37"/>
        <v>900790000</v>
      </c>
      <c r="AG19" s="2">
        <f t="shared" si="37"/>
        <v>900790000</v>
      </c>
      <c r="AH19" s="2">
        <f t="shared" si="37"/>
        <v>900790000</v>
      </c>
      <c r="AI19" s="2">
        <f t="shared" si="37"/>
        <v>900790000</v>
      </c>
    </row>
    <row r="20" spans="1:104" x14ac:dyDescent="0.3">
      <c r="A20" s="32" t="s">
        <v>97</v>
      </c>
      <c r="B20" s="32"/>
      <c r="D20" s="1" t="s">
        <v>50</v>
      </c>
      <c r="E20" s="2">
        <v>-64699000</v>
      </c>
      <c r="F20" s="2">
        <v>1099047000</v>
      </c>
      <c r="G20" s="2">
        <v>-472296000</v>
      </c>
      <c r="H20" s="2">
        <v>-3141600000</v>
      </c>
      <c r="I20" s="2">
        <v>-39053000</v>
      </c>
      <c r="J20" s="2">
        <v>-386447000</v>
      </c>
      <c r="K20" s="2">
        <v>-414983000</v>
      </c>
      <c r="L20" s="2">
        <v>-528300000</v>
      </c>
      <c r="M20" s="2">
        <v>176027000</v>
      </c>
      <c r="N20" s="2">
        <v>71223000</v>
      </c>
      <c r="O20" s="35">
        <v>119806000</v>
      </c>
      <c r="P20" s="12">
        <v>1329600000</v>
      </c>
      <c r="Q20" s="2">
        <f>AVERAGE(E20:P20)</f>
        <v>-187639583.33333334</v>
      </c>
      <c r="R20" s="2">
        <f t="shared" ref="Q20:T20" si="38">Q20</f>
        <v>-187639583.33333334</v>
      </c>
      <c r="S20" s="2">
        <f t="shared" si="38"/>
        <v>-187639583.33333334</v>
      </c>
      <c r="T20" s="2">
        <f t="shared" si="38"/>
        <v>-187639583.33333334</v>
      </c>
      <c r="W20" s="2">
        <f>SUM(E20:H20)</f>
        <v>-2579548000</v>
      </c>
      <c r="X20" s="2">
        <f>SUM(I20:L20)</f>
        <v>-1368783000</v>
      </c>
      <c r="Y20" s="2">
        <f>SUM(M20:P20)</f>
        <v>1696656000</v>
      </c>
      <c r="Z20" s="2">
        <f>SUM(Q20:T20)</f>
        <v>-750558333.33333337</v>
      </c>
      <c r="AA20" s="2">
        <f>$Z$20</f>
        <v>-750558333.33333337</v>
      </c>
      <c r="AB20" s="2">
        <f t="shared" ref="AB20:AI20" si="39">$Z$20</f>
        <v>-750558333.33333337</v>
      </c>
      <c r="AC20" s="2">
        <f t="shared" si="39"/>
        <v>-750558333.33333337</v>
      </c>
      <c r="AD20" s="2">
        <f t="shared" si="39"/>
        <v>-750558333.33333337</v>
      </c>
      <c r="AE20" s="2">
        <f t="shared" si="39"/>
        <v>-750558333.33333337</v>
      </c>
      <c r="AF20" s="2">
        <f t="shared" si="39"/>
        <v>-750558333.33333337</v>
      </c>
      <c r="AG20" s="2">
        <f t="shared" si="39"/>
        <v>-750558333.33333337</v>
      </c>
      <c r="AH20" s="2">
        <f t="shared" si="39"/>
        <v>-750558333.33333337</v>
      </c>
      <c r="AI20" s="2">
        <f t="shared" si="39"/>
        <v>-750558333.33333337</v>
      </c>
    </row>
    <row r="21" spans="1:104" x14ac:dyDescent="0.3">
      <c r="A21" s="1" t="s">
        <v>98</v>
      </c>
      <c r="B21" s="9">
        <v>0.1</v>
      </c>
      <c r="D21" s="5" t="s">
        <v>51</v>
      </c>
      <c r="E21" s="2">
        <f t="shared" ref="E21:N21" si="40">E9-E13+E18+E19+E20</f>
        <v>8157663000</v>
      </c>
      <c r="F21" s="2">
        <f t="shared" si="40"/>
        <v>10725756000</v>
      </c>
      <c r="G21" s="2">
        <f t="shared" si="40"/>
        <v>2729681000</v>
      </c>
      <c r="H21" s="2">
        <f t="shared" si="40"/>
        <v>4415645000</v>
      </c>
      <c r="I21" s="2">
        <f t="shared" si="40"/>
        <v>-911263000</v>
      </c>
      <c r="J21" s="2">
        <f t="shared" si="40"/>
        <v>1733028000</v>
      </c>
      <c r="K21" s="2">
        <f t="shared" si="40"/>
        <v>-1361011000</v>
      </c>
      <c r="L21" s="2">
        <f t="shared" si="40"/>
        <v>3355716000</v>
      </c>
      <c r="M21" s="2">
        <f t="shared" si="40"/>
        <v>5900209000</v>
      </c>
      <c r="N21" s="2">
        <f t="shared" si="40"/>
        <v>4040526000</v>
      </c>
      <c r="O21" s="35">
        <f>O9-O13+O18+O19+O20</f>
        <v>5011213000</v>
      </c>
      <c r="P21" s="12">
        <f>P9-P13+P18+P19+P20</f>
        <v>5056700000</v>
      </c>
      <c r="Q21" s="2">
        <f t="shared" ref="Q21:T21" si="41">Q9-Q13+Q18+Q19+Q20</f>
        <v>2323492002.9473801</v>
      </c>
      <c r="R21" s="2">
        <f t="shared" si="41"/>
        <v>2975103959.2799606</v>
      </c>
      <c r="S21" s="2">
        <f t="shared" si="41"/>
        <v>2691978609.7203369</v>
      </c>
      <c r="T21" s="2">
        <f t="shared" si="41"/>
        <v>1188909118.0490782</v>
      </c>
      <c r="W21" s="2">
        <f>W9-W13+W18+W19+W20</f>
        <v>26028745000</v>
      </c>
      <c r="X21" s="2">
        <f>X9-X13+X18+X19+X20</f>
        <v>2816470000</v>
      </c>
      <c r="Y21" s="2">
        <f>Y9-Y13+Y18+Y19+Y20</f>
        <v>20008648000</v>
      </c>
      <c r="Z21" s="2">
        <f>Z9-Z13+Z18+Z19+Z20</f>
        <v>9179483689.9967575</v>
      </c>
      <c r="AA21" s="2">
        <f>AA9-AA13+AA18+AA19+AA20</f>
        <v>50318312134.431458</v>
      </c>
      <c r="AB21" s="2">
        <f t="shared" ref="AB21:AI21" si="42">AB9-AB13+AB18+AB19+AB20</f>
        <v>65436186849.891045</v>
      </c>
      <c r="AC21" s="2">
        <f t="shared" si="42"/>
        <v>83805864499.750549</v>
      </c>
      <c r="AD21" s="2">
        <f t="shared" si="42"/>
        <v>106026776631.3378</v>
      </c>
      <c r="AE21" s="2">
        <f t="shared" si="42"/>
        <v>132799842568.31905</v>
      </c>
      <c r="AF21" s="2">
        <f t="shared" si="42"/>
        <v>164943728729.96185</v>
      </c>
      <c r="AG21" s="2">
        <f t="shared" si="42"/>
        <v>203413612340.65509</v>
      </c>
      <c r="AH21" s="2">
        <f t="shared" si="42"/>
        <v>249322823969.60703</v>
      </c>
      <c r="AI21" s="2">
        <f t="shared" si="42"/>
        <v>303967798028.05286</v>
      </c>
    </row>
    <row r="22" spans="1:104" x14ac:dyDescent="0.3">
      <c r="A22" s="1" t="s">
        <v>96</v>
      </c>
      <c r="B22" s="4">
        <f>T37</f>
        <v>0.2628829451319824</v>
      </c>
      <c r="D22" s="1" t="s">
        <v>53</v>
      </c>
      <c r="E22" s="2">
        <v>275208000</v>
      </c>
      <c r="F22" s="2">
        <v>322651000</v>
      </c>
      <c r="G22" s="2">
        <v>317991000</v>
      </c>
      <c r="H22" s="2">
        <v>0</v>
      </c>
      <c r="I22" s="2">
        <v>265702000</v>
      </c>
      <c r="J22" s="2">
        <v>379991000</v>
      </c>
      <c r="K22" s="2">
        <v>455128000</v>
      </c>
      <c r="L22" s="2">
        <v>44800000</v>
      </c>
      <c r="M22" s="2">
        <v>678150000</v>
      </c>
      <c r="N22" s="2">
        <v>851273000</v>
      </c>
      <c r="O22" s="35">
        <v>971589000</v>
      </c>
      <c r="P22" s="12">
        <v>640800000</v>
      </c>
      <c r="Q22" s="2">
        <f>AVERAGE(E22:P22)</f>
        <v>433606916.66666669</v>
      </c>
      <c r="R22" s="2">
        <f t="shared" ref="Q22:T22" si="43">Q22</f>
        <v>433606916.66666669</v>
      </c>
      <c r="S22" s="2">
        <f t="shared" si="43"/>
        <v>433606916.66666669</v>
      </c>
      <c r="T22" s="2">
        <f t="shared" si="43"/>
        <v>433606916.66666669</v>
      </c>
      <c r="W22" s="2">
        <f>SUM(E22:H22)</f>
        <v>915850000</v>
      </c>
      <c r="X22" s="2">
        <f>SUM(I22:L22)</f>
        <v>1145621000</v>
      </c>
      <c r="Y22" s="2">
        <f>SUM(M22:P22)</f>
        <v>3141812000</v>
      </c>
      <c r="Z22" s="2">
        <f>SUM(Q22:T22)</f>
        <v>1734427666.6666667</v>
      </c>
      <c r="AA22" s="2">
        <f>$Z$22</f>
        <v>1734427666.6666667</v>
      </c>
      <c r="AB22" s="2">
        <f t="shared" ref="AB22:AI22" si="44">$Z$22</f>
        <v>1734427666.6666667</v>
      </c>
      <c r="AC22" s="2">
        <f t="shared" si="44"/>
        <v>1734427666.6666667</v>
      </c>
      <c r="AD22" s="2">
        <f t="shared" si="44"/>
        <v>1734427666.6666667</v>
      </c>
      <c r="AE22" s="2">
        <f t="shared" si="44"/>
        <v>1734427666.6666667</v>
      </c>
      <c r="AF22" s="2">
        <f t="shared" si="44"/>
        <v>1734427666.6666667</v>
      </c>
      <c r="AG22" s="2">
        <f t="shared" si="44"/>
        <v>1734427666.6666667</v>
      </c>
      <c r="AH22" s="2">
        <f t="shared" si="44"/>
        <v>1734427666.6666667</v>
      </c>
      <c r="AI22" s="2">
        <f t="shared" si="44"/>
        <v>1734427666.6666667</v>
      </c>
    </row>
    <row r="23" spans="1:104" x14ac:dyDescent="0.3">
      <c r="D23" s="1" t="s">
        <v>54</v>
      </c>
      <c r="E23" s="2">
        <v>634009000</v>
      </c>
      <c r="F23" s="2">
        <v>-1369865000</v>
      </c>
      <c r="G23" s="2">
        <v>-1260559000</v>
      </c>
      <c r="H23" s="2">
        <v>-531100000</v>
      </c>
      <c r="I23" s="2">
        <v>229631000</v>
      </c>
      <c r="J23" s="2">
        <v>-376180000</v>
      </c>
      <c r="K23" s="2">
        <v>-284812000</v>
      </c>
      <c r="L23" s="2">
        <v>0</v>
      </c>
      <c r="M23" s="2">
        <v>-1107646000</v>
      </c>
      <c r="N23" s="2">
        <v>63882000</v>
      </c>
      <c r="O23" s="35">
        <v>-95602000</v>
      </c>
      <c r="P23" s="12">
        <v>0</v>
      </c>
      <c r="Q23" s="2">
        <f>AVERAGE(E23:P23)</f>
        <v>-341520166.66666669</v>
      </c>
      <c r="R23" s="2">
        <f t="shared" ref="Q23:T23" si="45">Q23</f>
        <v>-341520166.66666669</v>
      </c>
      <c r="S23" s="2">
        <f t="shared" si="45"/>
        <v>-341520166.66666669</v>
      </c>
      <c r="T23" s="2">
        <f t="shared" si="45"/>
        <v>-341520166.66666669</v>
      </c>
      <c r="W23" s="2">
        <f>SUM(E23:H23)</f>
        <v>-2527515000</v>
      </c>
      <c r="X23" s="2">
        <f>SUM(I23:L23)</f>
        <v>-431361000</v>
      </c>
      <c r="Y23" s="2">
        <f>SUM(M23:P23)</f>
        <v>-1139366000</v>
      </c>
      <c r="Z23" s="2">
        <f>SUM(Q23:T23)</f>
        <v>-1366080666.6666667</v>
      </c>
      <c r="AA23" s="2">
        <f>$Z$23</f>
        <v>-1366080666.6666667</v>
      </c>
      <c r="AB23" s="2">
        <f t="shared" ref="AB23:AI23" si="46">$Z$23</f>
        <v>-1366080666.6666667</v>
      </c>
      <c r="AC23" s="2">
        <f t="shared" si="46"/>
        <v>-1366080666.6666667</v>
      </c>
      <c r="AD23" s="2">
        <f t="shared" si="46"/>
        <v>-1366080666.6666667</v>
      </c>
      <c r="AE23" s="2">
        <f t="shared" si="46"/>
        <v>-1366080666.6666667</v>
      </c>
      <c r="AF23" s="2">
        <f t="shared" si="46"/>
        <v>-1366080666.6666667</v>
      </c>
      <c r="AG23" s="2">
        <f t="shared" si="46"/>
        <v>-1366080666.6666667</v>
      </c>
      <c r="AH23" s="2">
        <f t="shared" si="46"/>
        <v>-1366080666.6666667</v>
      </c>
      <c r="AI23" s="2">
        <f t="shared" si="46"/>
        <v>-1366080666.6666667</v>
      </c>
    </row>
    <row r="24" spans="1:104" x14ac:dyDescent="0.3">
      <c r="D24" s="5" t="s">
        <v>28</v>
      </c>
      <c r="E24" s="2">
        <f t="shared" ref="E24:N24" si="47">E21+E22+E23</f>
        <v>9066880000</v>
      </c>
      <c r="F24" s="2">
        <f t="shared" si="47"/>
        <v>9678542000</v>
      </c>
      <c r="G24" s="2">
        <f t="shared" si="47"/>
        <v>1787113000</v>
      </c>
      <c r="H24" s="2">
        <f t="shared" si="47"/>
        <v>3884545000</v>
      </c>
      <c r="I24" s="2">
        <f t="shared" si="47"/>
        <v>-415930000</v>
      </c>
      <c r="J24" s="2">
        <f t="shared" si="47"/>
        <v>1736839000</v>
      </c>
      <c r="K24" s="2">
        <f t="shared" si="47"/>
        <v>-1190695000</v>
      </c>
      <c r="L24" s="2">
        <f t="shared" si="47"/>
        <v>3400516000</v>
      </c>
      <c r="M24" s="2">
        <f t="shared" si="47"/>
        <v>5470713000</v>
      </c>
      <c r="N24" s="2">
        <f t="shared" si="47"/>
        <v>4955681000</v>
      </c>
      <c r="O24" s="35">
        <f>O21+O22+O23</f>
        <v>5887200000</v>
      </c>
      <c r="P24" s="12">
        <f>P21+P22+P23</f>
        <v>5697500000</v>
      </c>
      <c r="Q24" s="2">
        <f t="shared" ref="Q24:T24" si="48">Q21+Q22+Q23</f>
        <v>2415578752.9473801</v>
      </c>
      <c r="R24" s="2">
        <f t="shared" si="48"/>
        <v>3067190709.2799606</v>
      </c>
      <c r="S24" s="2">
        <f t="shared" si="48"/>
        <v>2784065359.7203369</v>
      </c>
      <c r="T24" s="2">
        <f t="shared" si="48"/>
        <v>1280995868.0490782</v>
      </c>
      <c r="W24" s="2">
        <f>W21+W22+W23</f>
        <v>24417080000</v>
      </c>
      <c r="X24" s="2">
        <f>X21+X22+X23</f>
        <v>3530730000</v>
      </c>
      <c r="Y24" s="2">
        <f>Y21+Y22+Y23</f>
        <v>22011094000</v>
      </c>
      <c r="Z24" s="2">
        <f>Z21+Z22+Z23</f>
        <v>9547830689.9967575</v>
      </c>
      <c r="AA24" s="2">
        <f>AA21+AA22+AA23</f>
        <v>50686659134.431458</v>
      </c>
      <c r="AB24" s="2">
        <f t="shared" ref="AB24:AI24" si="49">AB21+AB22+AB23</f>
        <v>65804533849.891045</v>
      </c>
      <c r="AC24" s="2">
        <f t="shared" si="49"/>
        <v>84174211499.750549</v>
      </c>
      <c r="AD24" s="2">
        <f t="shared" si="49"/>
        <v>106395123631.3378</v>
      </c>
      <c r="AE24" s="2">
        <f t="shared" si="49"/>
        <v>133168189568.31905</v>
      </c>
      <c r="AF24" s="2">
        <f t="shared" si="49"/>
        <v>165312075729.96185</v>
      </c>
      <c r="AG24" s="2">
        <f t="shared" si="49"/>
        <v>203781959340.65509</v>
      </c>
      <c r="AH24" s="2">
        <f t="shared" si="49"/>
        <v>249691170969.60703</v>
      </c>
      <c r="AI24" s="2">
        <f t="shared" si="49"/>
        <v>304336145028.05286</v>
      </c>
    </row>
    <row r="25" spans="1:104" x14ac:dyDescent="0.3">
      <c r="D25" s="1" t="s">
        <v>55</v>
      </c>
      <c r="E25" s="2">
        <v>-1277973000</v>
      </c>
      <c r="F25" s="2">
        <v>-1415234000</v>
      </c>
      <c r="G25" s="2">
        <v>-998596000</v>
      </c>
      <c r="H25" s="2">
        <v>-1442000000</v>
      </c>
      <c r="I25" s="2">
        <v>-114624000</v>
      </c>
      <c r="J25" s="2">
        <v>-371462000</v>
      </c>
      <c r="K25" s="2">
        <v>-283227000</v>
      </c>
      <c r="L25" s="2">
        <v>-662000000</v>
      </c>
      <c r="M25" s="2">
        <v>-1254575000</v>
      </c>
      <c r="N25" s="2">
        <v>-1290157000</v>
      </c>
      <c r="O25" s="35">
        <v>-1018128000</v>
      </c>
      <c r="P25" s="12">
        <v>-974000000</v>
      </c>
      <c r="Q25" s="2">
        <f t="shared" ref="Q25:T25" si="50">-(Q24*AVERAGE($E$37:$N$37))</f>
        <v>-635014456.77304864</v>
      </c>
      <c r="R25" s="2">
        <f t="shared" si="50"/>
        <v>-806312126.93697011</v>
      </c>
      <c r="S25" s="2">
        <f t="shared" si="50"/>
        <v>-731883301.20321417</v>
      </c>
      <c r="T25" s="2">
        <f t="shared" si="50"/>
        <v>-336751966.49464202</v>
      </c>
      <c r="W25" s="2">
        <f>SUM(E25:H25)</f>
        <v>-5133803000</v>
      </c>
      <c r="X25" s="2">
        <f>SUM(I25:L25)</f>
        <v>-1431313000</v>
      </c>
      <c r="Y25" s="2">
        <f>SUM(M25:P25)</f>
        <v>-4536860000</v>
      </c>
      <c r="Z25" s="2">
        <f>SUM(Q25:T25)</f>
        <v>-2509961851.4078751</v>
      </c>
      <c r="AA25" s="2">
        <f>-(AA24*$T$37)</f>
        <v>-13324658232.16024</v>
      </c>
      <c r="AB25" s="2">
        <f t="shared" ref="AB25:AI25" si="51">-(AB24*$T$37)</f>
        <v>-17298889661.496586</v>
      </c>
      <c r="AC25" s="2">
        <f t="shared" si="51"/>
        <v>-22127964623.216805</v>
      </c>
      <c r="AD25" s="2">
        <f t="shared" si="51"/>
        <v>-27969463447.887459</v>
      </c>
      <c r="AE25" s="2">
        <f t="shared" si="51"/>
        <v>-35007645871.613846</v>
      </c>
      <c r="AF25" s="2">
        <f t="shared" si="51"/>
        <v>-43457725333.773682</v>
      </c>
      <c r="AG25" s="2">
        <f t="shared" si="51"/>
        <v>-53570801636.237305</v>
      </c>
      <c r="AH25" s="2">
        <f t="shared" si="51"/>
        <v>-65639550397.943642</v>
      </c>
      <c r="AI25" s="2">
        <f t="shared" si="51"/>
        <v>-80004782115.088654</v>
      </c>
    </row>
    <row r="26" spans="1:104" x14ac:dyDescent="0.3">
      <c r="D26" s="5" t="s">
        <v>21</v>
      </c>
      <c r="E26" s="2">
        <f t="shared" ref="E26:N26" si="52">E24+E25</f>
        <v>7788907000</v>
      </c>
      <c r="F26" s="2">
        <f t="shared" si="52"/>
        <v>8263308000</v>
      </c>
      <c r="G26" s="2">
        <f t="shared" si="52"/>
        <v>788517000</v>
      </c>
      <c r="H26" s="2">
        <f t="shared" si="52"/>
        <v>2442545000</v>
      </c>
      <c r="I26" s="2">
        <f t="shared" si="52"/>
        <v>-530554000</v>
      </c>
      <c r="J26" s="2">
        <f t="shared" si="52"/>
        <v>1365377000</v>
      </c>
      <c r="K26" s="2">
        <f t="shared" si="52"/>
        <v>-1473922000</v>
      </c>
      <c r="L26" s="2">
        <f t="shared" si="52"/>
        <v>2738516000</v>
      </c>
      <c r="M26" s="2">
        <f t="shared" si="52"/>
        <v>4216138000</v>
      </c>
      <c r="N26" s="2">
        <f t="shared" si="52"/>
        <v>3665524000</v>
      </c>
      <c r="O26" s="35">
        <f>O24+O25</f>
        <v>4869072000</v>
      </c>
      <c r="P26" s="12">
        <f>P24+P25</f>
        <v>4723500000</v>
      </c>
      <c r="Q26" s="2">
        <f t="shared" ref="Q26:T26" si="53">Q24+Q25</f>
        <v>1780564296.1743314</v>
      </c>
      <c r="R26" s="2">
        <f t="shared" si="53"/>
        <v>2260878582.3429904</v>
      </c>
      <c r="S26" s="2">
        <f t="shared" si="53"/>
        <v>2052182058.5171227</v>
      </c>
      <c r="T26" s="2">
        <f t="shared" si="53"/>
        <v>944243901.55443621</v>
      </c>
      <c r="W26" s="2">
        <f>W24+W25</f>
        <v>19283277000</v>
      </c>
      <c r="X26" s="2">
        <f>X24+X25</f>
        <v>2099417000</v>
      </c>
      <c r="Y26" s="2">
        <f>Y24+Y25</f>
        <v>17474234000</v>
      </c>
      <c r="Z26" s="2">
        <f>Z24+Z25</f>
        <v>7037868838.5888824</v>
      </c>
      <c r="AA26" s="2">
        <f>AA24+AA25</f>
        <v>37362000902.271217</v>
      </c>
      <c r="AB26" s="2">
        <f t="shared" ref="AB26:AI26" si="54">AB24+AB25</f>
        <v>48505644188.394455</v>
      </c>
      <c r="AC26" s="2">
        <f t="shared" si="54"/>
        <v>62046246876.533745</v>
      </c>
      <c r="AD26" s="2">
        <f t="shared" si="54"/>
        <v>78425660183.450348</v>
      </c>
      <c r="AE26" s="2">
        <f t="shared" si="54"/>
        <v>98160543696.7052</v>
      </c>
      <c r="AF26" s="2">
        <f t="shared" si="54"/>
        <v>121854350396.18817</v>
      </c>
      <c r="AG26" s="2">
        <f t="shared" si="54"/>
        <v>150211157704.41779</v>
      </c>
      <c r="AH26" s="2">
        <f t="shared" si="54"/>
        <v>184051620571.66339</v>
      </c>
      <c r="AI26" s="2">
        <f t="shared" si="54"/>
        <v>224331362912.9642</v>
      </c>
      <c r="AJ26" s="2">
        <f t="shared" ref="AJ26:BO26" si="55">AI26*(1+$AL$32)</f>
        <v>229266652897.04941</v>
      </c>
      <c r="AK26" s="2">
        <f t="shared" si="55"/>
        <v>234310519260.78448</v>
      </c>
      <c r="AL26" s="2">
        <f t="shared" si="55"/>
        <v>239465350684.52176</v>
      </c>
      <c r="AM26" s="2">
        <f t="shared" si="55"/>
        <v>244733588399.58124</v>
      </c>
      <c r="AN26" s="2">
        <f t="shared" si="55"/>
        <v>250117727344.37204</v>
      </c>
      <c r="AO26" s="2">
        <f t="shared" si="55"/>
        <v>255620317345.94824</v>
      </c>
      <c r="AP26" s="2">
        <f t="shared" si="55"/>
        <v>261243964327.55911</v>
      </c>
      <c r="AQ26" s="2">
        <f t="shared" si="55"/>
        <v>266991331542.76541</v>
      </c>
      <c r="AR26" s="2">
        <f t="shared" si="55"/>
        <v>272865140836.70627</v>
      </c>
      <c r="AS26" s="2">
        <f t="shared" si="55"/>
        <v>278868173935.11383</v>
      </c>
      <c r="AT26" s="2">
        <f t="shared" si="55"/>
        <v>285003273761.68634</v>
      </c>
      <c r="AU26" s="2">
        <f t="shared" si="55"/>
        <v>291273345784.44342</v>
      </c>
      <c r="AV26" s="2">
        <f t="shared" si="55"/>
        <v>297681359391.70117</v>
      </c>
      <c r="AW26" s="2">
        <f t="shared" si="55"/>
        <v>304230349298.3186</v>
      </c>
      <c r="AX26" s="2">
        <f t="shared" si="55"/>
        <v>310923416982.88159</v>
      </c>
      <c r="AY26" s="2">
        <f t="shared" si="55"/>
        <v>317763732156.505</v>
      </c>
      <c r="AZ26" s="2">
        <f t="shared" si="55"/>
        <v>324754534263.94812</v>
      </c>
      <c r="BA26" s="2">
        <f t="shared" si="55"/>
        <v>331899134017.755</v>
      </c>
      <c r="BB26" s="2">
        <f t="shared" si="55"/>
        <v>339200914966.14563</v>
      </c>
      <c r="BC26" s="2">
        <f t="shared" si="55"/>
        <v>346663335095.40082</v>
      </c>
      <c r="BD26" s="2">
        <f t="shared" si="55"/>
        <v>354289928467.49963</v>
      </c>
      <c r="BE26" s="2">
        <f t="shared" si="55"/>
        <v>362084306893.78461</v>
      </c>
      <c r="BF26" s="2">
        <f t="shared" si="55"/>
        <v>370050161645.44788</v>
      </c>
      <c r="BG26" s="2">
        <f t="shared" si="55"/>
        <v>378191265201.64777</v>
      </c>
      <c r="BH26" s="2">
        <f t="shared" si="55"/>
        <v>386511473036.08405</v>
      </c>
      <c r="BI26" s="2">
        <f t="shared" si="55"/>
        <v>395014725442.87793</v>
      </c>
      <c r="BJ26" s="2">
        <f t="shared" si="55"/>
        <v>403705049402.62128</v>
      </c>
      <c r="BK26" s="2">
        <f t="shared" si="55"/>
        <v>412586560489.47894</v>
      </c>
      <c r="BL26" s="2">
        <f t="shared" si="55"/>
        <v>421663464820.2475</v>
      </c>
      <c r="BM26" s="2">
        <f t="shared" si="55"/>
        <v>430940061046.29297</v>
      </c>
      <c r="BN26" s="2">
        <f t="shared" si="55"/>
        <v>440420742389.3114</v>
      </c>
      <c r="BO26" s="2">
        <f t="shared" si="55"/>
        <v>450109998721.87628</v>
      </c>
      <c r="BP26" s="2">
        <f t="shared" ref="BP26:CZ26" si="56">BO26*(1+$AL$32)</f>
        <v>460012418693.75757</v>
      </c>
      <c r="BQ26" s="2">
        <f t="shared" si="56"/>
        <v>470132691905.02026</v>
      </c>
      <c r="BR26" s="2">
        <f t="shared" si="56"/>
        <v>480475611126.93073</v>
      </c>
      <c r="BS26" s="2">
        <f t="shared" si="56"/>
        <v>491046074571.72321</v>
      </c>
      <c r="BT26" s="2">
        <f t="shared" si="56"/>
        <v>501849088212.30115</v>
      </c>
      <c r="BU26" s="2">
        <f t="shared" si="56"/>
        <v>512889768152.9718</v>
      </c>
      <c r="BV26" s="2">
        <f t="shared" si="56"/>
        <v>524173343052.33722</v>
      </c>
      <c r="BW26" s="2">
        <f t="shared" si="56"/>
        <v>535705156599.48865</v>
      </c>
      <c r="BX26" s="2">
        <f t="shared" si="56"/>
        <v>547490670044.67743</v>
      </c>
      <c r="BY26" s="2">
        <f t="shared" si="56"/>
        <v>559535464785.6604</v>
      </c>
      <c r="BZ26" s="2">
        <f t="shared" si="56"/>
        <v>571845245010.94495</v>
      </c>
      <c r="CA26" s="2">
        <f t="shared" si="56"/>
        <v>584425840401.18579</v>
      </c>
      <c r="CB26" s="2">
        <f t="shared" si="56"/>
        <v>597283208890.01184</v>
      </c>
      <c r="CC26" s="2">
        <f t="shared" si="56"/>
        <v>610423439485.59216</v>
      </c>
      <c r="CD26" s="2">
        <f t="shared" si="56"/>
        <v>623852755154.27515</v>
      </c>
      <c r="CE26" s="2">
        <f t="shared" si="56"/>
        <v>637577515767.66919</v>
      </c>
      <c r="CF26" s="2">
        <f t="shared" si="56"/>
        <v>651604221114.55798</v>
      </c>
      <c r="CG26" s="2">
        <f t="shared" si="56"/>
        <v>665939513979.07825</v>
      </c>
      <c r="CH26" s="2">
        <f t="shared" si="56"/>
        <v>680590183286.61804</v>
      </c>
      <c r="CI26" s="2">
        <f t="shared" si="56"/>
        <v>695563167318.92371</v>
      </c>
      <c r="CJ26" s="2">
        <f t="shared" si="56"/>
        <v>710865556999.94006</v>
      </c>
      <c r="CK26" s="2">
        <f t="shared" si="56"/>
        <v>726504599253.93872</v>
      </c>
      <c r="CL26" s="2">
        <f t="shared" si="56"/>
        <v>742487700437.52539</v>
      </c>
      <c r="CM26" s="2">
        <f t="shared" si="56"/>
        <v>758822429847.151</v>
      </c>
      <c r="CN26" s="2">
        <f t="shared" si="56"/>
        <v>775516523303.78833</v>
      </c>
      <c r="CO26" s="2">
        <f t="shared" si="56"/>
        <v>792577886816.47168</v>
      </c>
      <c r="CP26" s="2">
        <f t="shared" si="56"/>
        <v>810014600326.43408</v>
      </c>
      <c r="CQ26" s="2">
        <f t="shared" si="56"/>
        <v>827834921533.6156</v>
      </c>
      <c r="CR26" s="2">
        <f t="shared" si="56"/>
        <v>846047289807.3551</v>
      </c>
      <c r="CS26" s="2">
        <f t="shared" si="56"/>
        <v>864660330183.11694</v>
      </c>
      <c r="CT26" s="2">
        <f t="shared" si="56"/>
        <v>883682857447.14551</v>
      </c>
      <c r="CU26" s="2">
        <f t="shared" si="56"/>
        <v>903123880310.98267</v>
      </c>
      <c r="CV26" s="2">
        <f t="shared" si="56"/>
        <v>922992605677.82434</v>
      </c>
      <c r="CW26" s="2">
        <f t="shared" si="56"/>
        <v>943298443002.73645</v>
      </c>
      <c r="CX26" s="2">
        <f t="shared" si="56"/>
        <v>964051008748.79663</v>
      </c>
      <c r="CY26" s="2">
        <f t="shared" si="56"/>
        <v>985260130941.27014</v>
      </c>
      <c r="CZ26" s="2">
        <f t="shared" si="56"/>
        <v>1006935853821.9781</v>
      </c>
    </row>
    <row r="27" spans="1:104" x14ac:dyDescent="0.3">
      <c r="D27" s="1" t="s">
        <v>58</v>
      </c>
      <c r="E27" s="3">
        <f>$E$26/E29</f>
        <v>0.31371064392768322</v>
      </c>
      <c r="F27" s="3">
        <f>$F$26/F29</f>
        <v>0.3328179003360518</v>
      </c>
      <c r="G27" s="3">
        <f>$G$26/G29</f>
        <v>3.1758778968335989E-2</v>
      </c>
      <c r="H27" s="3">
        <f>$H$26/H29</f>
        <v>9.8377392973409875E-2</v>
      </c>
      <c r="I27" s="3">
        <f>$I$26/I29</f>
        <v>-2.1379319376738405E-2</v>
      </c>
      <c r="J27" s="3">
        <f>$J$26/J29</f>
        <v>5.5019528554403417E-2</v>
      </c>
      <c r="K27" s="3">
        <f>$K$26/K29</f>
        <v>-5.9364557789581864E-2</v>
      </c>
      <c r="L27" s="3">
        <f>$L$26/L29</f>
        <v>0.11029809673761201</v>
      </c>
      <c r="M27" s="3">
        <f>$M$26/M29</f>
        <v>0.16946959641710552</v>
      </c>
      <c r="N27" s="3">
        <f>$N$26/N29</f>
        <v>0.14733741469971198</v>
      </c>
      <c r="O27" s="36">
        <f>O26/O29</f>
        <v>0.19537996025125917</v>
      </c>
      <c r="P27" s="7">
        <f>P26/P29</f>
        <v>0.18986324420030795</v>
      </c>
      <c r="Q27" s="3">
        <f t="shared" ref="Q27:T27" si="57">Q26/Q29</f>
        <v>7.1570596756408714E-2</v>
      </c>
      <c r="R27" s="3">
        <f t="shared" si="57"/>
        <v>9.0877049303828353E-2</v>
      </c>
      <c r="S27" s="3">
        <f t="shared" si="57"/>
        <v>8.2488397019101753E-2</v>
      </c>
      <c r="T27" s="3">
        <f t="shared" si="57"/>
        <v>3.7954315754309617E-2</v>
      </c>
      <c r="V27" s="16"/>
      <c r="W27" s="3">
        <f>W26/W29</f>
        <v>0.77666471620548083</v>
      </c>
      <c r="X27" s="3">
        <f>X26/X29</f>
        <v>8.4557365872095391E-2</v>
      </c>
      <c r="Y27" s="3">
        <f>Y26/Y29</f>
        <v>0.70238483267816743</v>
      </c>
      <c r="Z27" s="3">
        <f>Z26/Z29</f>
        <v>0.28289035883364849</v>
      </c>
      <c r="AA27" s="3">
        <f t="shared" ref="AA27:AI27" si="58">AA26/AA29</f>
        <v>1.501782724911622</v>
      </c>
      <c r="AB27" s="3">
        <f t="shared" si="58"/>
        <v>1.9497065666633608</v>
      </c>
      <c r="AC27" s="3">
        <f t="shared" si="58"/>
        <v>2.4939772885428013</v>
      </c>
      <c r="AD27" s="3">
        <f t="shared" si="58"/>
        <v>3.1523553024199855</v>
      </c>
      <c r="AE27" s="3">
        <f t="shared" si="58"/>
        <v>3.9456079768651509</v>
      </c>
      <c r="AF27" s="3">
        <f t="shared" si="58"/>
        <v>4.897991380574017</v>
      </c>
      <c r="AG27" s="3">
        <f t="shared" si="58"/>
        <v>6.037806227764337</v>
      </c>
      <c r="AH27" s="3">
        <f t="shared" si="58"/>
        <v>7.39803911973328</v>
      </c>
      <c r="AI27" s="3">
        <f t="shared" si="58"/>
        <v>9.0171017970852176</v>
      </c>
    </row>
    <row r="28" spans="1:104" x14ac:dyDescent="0.3">
      <c r="D28" s="1" t="s">
        <v>59</v>
      </c>
      <c r="E28" s="3">
        <f>$E$26/E30</f>
        <v>0.30789378490257274</v>
      </c>
      <c r="F28" s="3">
        <f>$F$26/F30</f>
        <v>0.32664675235379093</v>
      </c>
      <c r="G28" s="3">
        <f>$G$26/G30</f>
        <v>3.1169904017344402E-2</v>
      </c>
      <c r="H28" s="3">
        <f>$H$26/H30</f>
        <v>9.6553267980328247E-2</v>
      </c>
      <c r="I28" s="3">
        <f>$I$26/I30</f>
        <v>-2.107434371024261E-2</v>
      </c>
      <c r="J28" s="3">
        <f>$J$26/J30</f>
        <v>5.4234675814450413E-2</v>
      </c>
      <c r="K28" s="3">
        <f>$K$26/K30</f>
        <v>-5.8263813296418845E-2</v>
      </c>
      <c r="L28" s="3">
        <f>$L$26/L30</f>
        <v>0.10825293667728397</v>
      </c>
      <c r="M28" s="3">
        <f>$M$26/M30</f>
        <v>0.16714746419510068</v>
      </c>
      <c r="N28" s="3">
        <f>$N$26/N30</f>
        <v>0.14531854544283945</v>
      </c>
      <c r="O28" s="36">
        <f>O26/O30</f>
        <v>0.1925718818598269</v>
      </c>
      <c r="P28" s="7">
        <f>P26/P30</f>
        <v>0.18726167101872807</v>
      </c>
      <c r="Q28" s="3">
        <f t="shared" ref="Q28:T28" si="59">Q26/Q30</f>
        <v>7.0589911179822329E-2</v>
      </c>
      <c r="R28" s="3">
        <f t="shared" si="59"/>
        <v>8.9631819900497803E-2</v>
      </c>
      <c r="S28" s="3">
        <f t="shared" si="59"/>
        <v>8.1358111890032725E-2</v>
      </c>
      <c r="T28" s="3">
        <f t="shared" si="59"/>
        <v>3.7434252324405018E-2</v>
      </c>
      <c r="W28" s="3">
        <f>W26/W30</f>
        <v>0.7622637092540363</v>
      </c>
      <c r="X28" s="3">
        <f>X26/X30</f>
        <v>8.2989493419141414E-2</v>
      </c>
      <c r="Y28" s="3">
        <f>Y26/Y30</f>
        <v>0.69276050780401666</v>
      </c>
      <c r="Z28" s="3">
        <f>Z26/Z30</f>
        <v>0.27901409529475796</v>
      </c>
      <c r="AA28" s="3">
        <f t="shared" ref="AA28:AI28" si="60">AA26/AA30</f>
        <v>1.4812047679819063</v>
      </c>
      <c r="AB28" s="3">
        <f t="shared" si="60"/>
        <v>1.9229909991655767</v>
      </c>
      <c r="AC28" s="3">
        <f t="shared" si="60"/>
        <v>2.4598039315211699</v>
      </c>
      <c r="AD28" s="3">
        <f t="shared" si="60"/>
        <v>3.109160617486999</v>
      </c>
      <c r="AE28" s="3">
        <f t="shared" si="60"/>
        <v>3.891543863819602</v>
      </c>
      <c r="AF28" s="3">
        <f t="shared" si="60"/>
        <v>4.8308773740005941</v>
      </c>
      <c r="AG28" s="3">
        <f t="shared" si="60"/>
        <v>5.9550740758731795</v>
      </c>
      <c r="AH28" s="3">
        <f t="shared" si="60"/>
        <v>7.2966685766813999</v>
      </c>
      <c r="AI28" s="3">
        <f t="shared" si="60"/>
        <v>8.8935462858029855</v>
      </c>
    </row>
    <row r="29" spans="1:104" x14ac:dyDescent="0.3">
      <c r="D29" s="1" t="s">
        <v>56</v>
      </c>
      <c r="E29" s="2">
        <v>24828316000</v>
      </c>
      <c r="F29" s="2">
        <v>24828316000</v>
      </c>
      <c r="G29" s="2">
        <v>24828316000</v>
      </c>
      <c r="H29" s="2">
        <v>24828316000</v>
      </c>
      <c r="I29" s="2">
        <v>24816225000</v>
      </c>
      <c r="J29" s="2">
        <v>24816225000</v>
      </c>
      <c r="K29" s="2">
        <v>24828316000</v>
      </c>
      <c r="L29" s="2">
        <v>24828316000</v>
      </c>
      <c r="M29" s="2">
        <v>24878433000</v>
      </c>
      <c r="N29" s="2">
        <v>24878433000</v>
      </c>
      <c r="O29" s="35">
        <v>24921041000</v>
      </c>
      <c r="P29" s="12">
        <v>24878433000</v>
      </c>
      <c r="Q29" s="2">
        <v>24878433000</v>
      </c>
      <c r="R29" s="2">
        <v>24878433000</v>
      </c>
      <c r="S29" s="2">
        <v>24878433000</v>
      </c>
      <c r="T29" s="2">
        <v>24878433000</v>
      </c>
      <c r="W29" s="2">
        <f>H29</f>
        <v>24828316000</v>
      </c>
      <c r="X29" s="2">
        <f>L29</f>
        <v>24828316000</v>
      </c>
      <c r="Y29" s="2">
        <f>P29</f>
        <v>24878433000</v>
      </c>
      <c r="Z29" s="2">
        <f>$Y$29</f>
        <v>24878433000</v>
      </c>
      <c r="AA29" s="2">
        <f t="shared" ref="AA29:AI29" si="61">$Y$29</f>
        <v>24878433000</v>
      </c>
      <c r="AB29" s="2">
        <f t="shared" si="61"/>
        <v>24878433000</v>
      </c>
      <c r="AC29" s="2">
        <f t="shared" si="61"/>
        <v>24878433000</v>
      </c>
      <c r="AD29" s="2">
        <f t="shared" si="61"/>
        <v>24878433000</v>
      </c>
      <c r="AE29" s="2">
        <f t="shared" si="61"/>
        <v>24878433000</v>
      </c>
      <c r="AF29" s="2">
        <f t="shared" si="61"/>
        <v>24878433000</v>
      </c>
      <c r="AG29" s="2">
        <f t="shared" si="61"/>
        <v>24878433000</v>
      </c>
      <c r="AH29" s="2">
        <f t="shared" si="61"/>
        <v>24878433000</v>
      </c>
      <c r="AI29" s="2">
        <f t="shared" si="61"/>
        <v>24878433000</v>
      </c>
    </row>
    <row r="30" spans="1:104" x14ac:dyDescent="0.3">
      <c r="D30" s="1" t="s">
        <v>57</v>
      </c>
      <c r="E30" s="2">
        <v>25297383000</v>
      </c>
      <c r="F30" s="2">
        <v>25297383000</v>
      </c>
      <c r="G30" s="2">
        <v>25297383000</v>
      </c>
      <c r="H30" s="2">
        <v>25297383000</v>
      </c>
      <c r="I30" s="2">
        <v>25175351000</v>
      </c>
      <c r="J30" s="2">
        <v>25175351000</v>
      </c>
      <c r="K30" s="2">
        <v>25297383000</v>
      </c>
      <c r="L30" s="2">
        <v>25297383000</v>
      </c>
      <c r="M30" s="2">
        <v>25224062000</v>
      </c>
      <c r="N30" s="2">
        <v>25224062000</v>
      </c>
      <c r="O30" s="35">
        <v>25284439000</v>
      </c>
      <c r="P30" s="12">
        <v>25224062000</v>
      </c>
      <c r="Q30" s="2">
        <v>25224062000</v>
      </c>
      <c r="R30" s="2">
        <v>25224062000</v>
      </c>
      <c r="S30" s="2">
        <v>25224062000</v>
      </c>
      <c r="T30" s="2">
        <v>25224062000</v>
      </c>
      <c r="W30" s="2">
        <f>H30</f>
        <v>25297383000</v>
      </c>
      <c r="X30" s="2">
        <f>L30</f>
        <v>25297383000</v>
      </c>
      <c r="Y30" s="2">
        <f>P30</f>
        <v>25224062000</v>
      </c>
      <c r="Z30" s="2">
        <f>$Y$30</f>
        <v>25224062000</v>
      </c>
      <c r="AA30" s="2">
        <f t="shared" ref="AA30:AI30" si="62">$Y$30</f>
        <v>25224062000</v>
      </c>
      <c r="AB30" s="2">
        <f t="shared" si="62"/>
        <v>25224062000</v>
      </c>
      <c r="AC30" s="2">
        <f t="shared" si="62"/>
        <v>25224062000</v>
      </c>
      <c r="AD30" s="2">
        <f t="shared" si="62"/>
        <v>25224062000</v>
      </c>
      <c r="AE30" s="2">
        <f t="shared" si="62"/>
        <v>25224062000</v>
      </c>
      <c r="AF30" s="2">
        <f t="shared" si="62"/>
        <v>25224062000</v>
      </c>
      <c r="AG30" s="2">
        <f t="shared" si="62"/>
        <v>25224062000</v>
      </c>
      <c r="AH30" s="2">
        <f t="shared" si="62"/>
        <v>25224062000</v>
      </c>
      <c r="AI30" s="2">
        <f t="shared" si="62"/>
        <v>25224062000</v>
      </c>
    </row>
    <row r="31" spans="1:104" x14ac:dyDescent="0.3">
      <c r="O31" s="37"/>
      <c r="P31" s="15"/>
    </row>
    <row r="32" spans="1:104" ht="15" customHeight="1" x14ac:dyDescent="0.3">
      <c r="D32" s="1" t="s">
        <v>87</v>
      </c>
      <c r="E32" s="4"/>
      <c r="F32" s="4"/>
      <c r="G32" s="4"/>
      <c r="H32" s="4"/>
      <c r="I32" s="4">
        <f>(I7/E7)-1</f>
        <v>-4.5923503749892736E-2</v>
      </c>
      <c r="J32" s="4">
        <f t="shared" ref="J32:N32" si="63">(J7/F7)-1</f>
        <v>-0.20068687420975295</v>
      </c>
      <c r="K32" s="4">
        <f t="shared" si="63"/>
        <v>-9.721135135896819E-2</v>
      </c>
      <c r="L32" s="4">
        <f t="shared" si="63"/>
        <v>-0.22819461713206635</v>
      </c>
      <c r="M32" s="4">
        <f t="shared" si="63"/>
        <v>-0.18914950614506865</v>
      </c>
      <c r="N32" s="13">
        <f t="shared" si="63"/>
        <v>-4.013059544626052E-2</v>
      </c>
      <c r="O32" s="13">
        <f t="shared" ref="O32" si="64">(O7/K7)-1</f>
        <v>5.9612085540403648E-3</v>
      </c>
      <c r="P32" s="8">
        <f t="shared" ref="P32" si="65">(P7/L7)-1</f>
        <v>0.10895659783731082</v>
      </c>
      <c r="Q32" s="13">
        <f t="shared" ref="Q32" si="66">(Q7/M7)-1</f>
        <v>0.10000000000000009</v>
      </c>
      <c r="R32" s="13">
        <f t="shared" ref="R32" si="67">(R7/N7)-1</f>
        <v>0.10000000000000009</v>
      </c>
      <c r="S32" s="13">
        <f t="shared" ref="S32" si="68">(S7/O7)-1</f>
        <v>9.9999813807610138E-2</v>
      </c>
      <c r="T32" s="13">
        <f t="shared" ref="T32" si="69">(T7/P7)-1</f>
        <v>0.10000000000000009</v>
      </c>
      <c r="X32" s="4">
        <f>(X7/W7)-1</f>
        <v>-0.14701137007084475</v>
      </c>
      <c r="Y32" s="4">
        <f t="shared" ref="Y32:AI32" si="70">(Y7/X7)-1</f>
        <v>-7.1996728595603576E-3</v>
      </c>
      <c r="Z32" s="4">
        <f t="shared" si="70"/>
        <v>0.20996397238978926</v>
      </c>
      <c r="AA32" s="4">
        <f t="shared" si="70"/>
        <v>0.14975229046080485</v>
      </c>
      <c r="AB32" s="4">
        <f t="shared" si="70"/>
        <v>0.1490265221995497</v>
      </c>
      <c r="AC32" s="4">
        <f t="shared" si="70"/>
        <v>0.14833417676456495</v>
      </c>
      <c r="AD32" s="4">
        <f t="shared" si="70"/>
        <v>0.14767295110700029</v>
      </c>
      <c r="AE32" s="4">
        <f t="shared" si="70"/>
        <v>0.14704075090237123</v>
      </c>
      <c r="AF32" s="4">
        <f t="shared" si="70"/>
        <v>0.1464356673605709</v>
      </c>
      <c r="AG32" s="4">
        <f t="shared" si="70"/>
        <v>0.14585595706309884</v>
      </c>
      <c r="AH32" s="4">
        <f t="shared" si="70"/>
        <v>0.14530002437617795</v>
      </c>
      <c r="AI32" s="4">
        <f t="shared" si="70"/>
        <v>0.14476640606371527</v>
      </c>
      <c r="AK32" s="1" t="s">
        <v>30</v>
      </c>
      <c r="AL32" s="4">
        <v>2.1999999999999999E-2</v>
      </c>
      <c r="AN32" s="1" t="s">
        <v>89</v>
      </c>
      <c r="AO32" s="4">
        <v>4.0620000000000003E-2</v>
      </c>
      <c r="AV32" s="19"/>
    </row>
    <row r="33" spans="1:53" ht="14.4" customHeight="1" x14ac:dyDescent="0.3">
      <c r="D33" s="1" t="s">
        <v>70</v>
      </c>
      <c r="E33" s="4"/>
      <c r="F33" s="4"/>
      <c r="G33" s="4"/>
      <c r="H33" s="4"/>
      <c r="I33" s="4">
        <f>(I3/E3)-1</f>
        <v>-0.11124856771086211</v>
      </c>
      <c r="J33" s="4">
        <f t="shared" ref="J33:N33" si="71">(J3/F3)-1</f>
        <v>-0.28467058166494608</v>
      </c>
      <c r="K33" s="4">
        <f t="shared" si="71"/>
        <v>-0.11104466501759547</v>
      </c>
      <c r="L33" s="4">
        <f t="shared" si="71"/>
        <v>-0.27330319970038108</v>
      </c>
      <c r="M33" s="4">
        <f t="shared" si="71"/>
        <v>-0.23551932031982381</v>
      </c>
      <c r="N33" s="13">
        <f t="shared" si="71"/>
        <v>-0.13420522805614632</v>
      </c>
      <c r="O33" s="13"/>
      <c r="P33" s="8"/>
      <c r="Q33" s="13"/>
      <c r="R33" s="13"/>
      <c r="S33" s="13"/>
      <c r="T33" s="13"/>
      <c r="X33" s="4"/>
      <c r="Y33" s="4"/>
      <c r="Z33" s="4"/>
      <c r="AK33" s="1" t="s">
        <v>31</v>
      </c>
      <c r="AL33" s="4">
        <f>AO35</f>
        <v>0.11068840000000001</v>
      </c>
      <c r="AN33" s="1" t="s">
        <v>90</v>
      </c>
      <c r="AO33" s="1">
        <v>1.18</v>
      </c>
      <c r="AY33" s="31" t="s">
        <v>62</v>
      </c>
      <c r="AZ33" s="31"/>
      <c r="BA33" s="31"/>
    </row>
    <row r="34" spans="1:53" x14ac:dyDescent="0.3">
      <c r="D34" s="1" t="s">
        <v>68</v>
      </c>
      <c r="E34" s="4"/>
      <c r="F34" s="4"/>
      <c r="G34" s="4"/>
      <c r="H34" s="4"/>
      <c r="I34" s="4">
        <f>(I4/E4)-1</f>
        <v>6.764675250639951E-2</v>
      </c>
      <c r="J34" s="4">
        <f t="shared" ref="J34:N34" si="72">(J4/F4)-1</f>
        <v>-4.4519573468629892E-2</v>
      </c>
      <c r="K34" s="4">
        <f t="shared" si="72"/>
        <v>-8.9655897132157714E-2</v>
      </c>
      <c r="L34" s="4">
        <f t="shared" si="72"/>
        <v>-0.14438735209402154</v>
      </c>
      <c r="M34" s="4">
        <f t="shared" si="72"/>
        <v>-0.13572653434236603</v>
      </c>
      <c r="N34" s="13">
        <f t="shared" si="72"/>
        <v>0.12327626239173006</v>
      </c>
      <c r="O34" s="13"/>
      <c r="P34" s="8"/>
      <c r="Q34" s="13"/>
      <c r="R34" s="13"/>
      <c r="S34" s="13"/>
      <c r="T34" s="13"/>
      <c r="X34" s="4"/>
      <c r="Y34" s="4"/>
      <c r="Z34" s="4"/>
      <c r="AK34" s="1" t="s">
        <v>32</v>
      </c>
      <c r="AL34" s="11">
        <f>NPV(AL33,Z26:CZ26)+B6-B7</f>
        <v>1310115588907.7158</v>
      </c>
      <c r="AN34" s="1" t="s">
        <v>91</v>
      </c>
      <c r="AO34" s="9">
        <v>0.1</v>
      </c>
      <c r="AV34" s="28"/>
      <c r="AW34" s="29"/>
      <c r="AX34" s="29"/>
      <c r="AY34" s="31"/>
      <c r="AZ34" s="31"/>
      <c r="BA34" s="31"/>
    </row>
    <row r="35" spans="1:53" x14ac:dyDescent="0.3">
      <c r="D35" s="1" t="s">
        <v>69</v>
      </c>
      <c r="E35" s="4"/>
      <c r="F35" s="4"/>
      <c r="G35" s="4"/>
      <c r="H35" s="4"/>
      <c r="I35" s="4">
        <f>(I5/E5)-1</f>
        <v>8.2440494308151147E-2</v>
      </c>
      <c r="J35" s="4">
        <f t="shared" ref="J35:N35" si="73">(J5/F5)-1</f>
        <v>-8.8718276818084973E-3</v>
      </c>
      <c r="K35" s="4">
        <f t="shared" si="73"/>
        <v>-3.697243080445356E-2</v>
      </c>
      <c r="L35" s="4">
        <f t="shared" si="73"/>
        <v>-1.3508494394387505E-2</v>
      </c>
      <c r="M35" s="4">
        <f t="shared" si="73"/>
        <v>-1.1866432337434119E-2</v>
      </c>
      <c r="N35" s="13">
        <f t="shared" si="73"/>
        <v>6.785155857755587E-2</v>
      </c>
      <c r="O35" s="13"/>
      <c r="P35" s="8"/>
      <c r="Q35" s="13"/>
      <c r="R35" s="13"/>
      <c r="S35" s="13"/>
      <c r="T35" s="13"/>
      <c r="X35" s="4"/>
      <c r="Y35" s="4"/>
      <c r="Z35" s="4"/>
      <c r="AK35" s="1" t="s">
        <v>33</v>
      </c>
      <c r="AL35" s="10">
        <f>AL34/B3</f>
        <v>52.660695667919107</v>
      </c>
      <c r="AN35" s="11" t="s">
        <v>92</v>
      </c>
      <c r="AO35" s="4">
        <f>AO32+AO33*(AO34-AO32)</f>
        <v>0.11068840000000001</v>
      </c>
      <c r="AV35" s="28"/>
      <c r="AW35" s="29"/>
      <c r="AX35" s="29"/>
      <c r="AY35" s="31"/>
      <c r="AZ35" s="31"/>
      <c r="BA35" s="31"/>
    </row>
    <row r="36" spans="1:53" x14ac:dyDescent="0.3">
      <c r="D36" s="1" t="s">
        <v>79</v>
      </c>
      <c r="E36" s="4">
        <f>E8/E7</f>
        <v>0.81580563511449988</v>
      </c>
      <c r="F36" s="4">
        <f t="shared" ref="F36:N36" si="74">F8/F7</f>
        <v>0.82744897424506492</v>
      </c>
      <c r="G36" s="4">
        <f t="shared" si="74"/>
        <v>0.81691346337376658</v>
      </c>
      <c r="H36" s="4">
        <f t="shared" si="74"/>
        <v>0.82869452832128931</v>
      </c>
      <c r="I36" s="4">
        <f t="shared" si="74"/>
        <v>0.82672823323313094</v>
      </c>
      <c r="J36" s="4">
        <f t="shared" si="74"/>
        <v>0.83229432713560747</v>
      </c>
      <c r="K36" s="4">
        <f t="shared" si="74"/>
        <v>0.83367071400496351</v>
      </c>
      <c r="L36" s="4">
        <f t="shared" si="74"/>
        <v>0.82773735226519141</v>
      </c>
      <c r="M36" s="4">
        <f t="shared" si="74"/>
        <v>0.80510931097851102</v>
      </c>
      <c r="N36" s="13">
        <f t="shared" si="74"/>
        <v>0.78975534073987197</v>
      </c>
      <c r="O36" s="13">
        <f t="shared" ref="O36:T36" si="75">O8/O7</f>
        <v>0.77276472791677853</v>
      </c>
      <c r="P36" s="8">
        <f t="shared" si="75"/>
        <v>0.78682125561652405</v>
      </c>
      <c r="Q36" s="13">
        <f t="shared" si="75"/>
        <v>0.82041578794118963</v>
      </c>
      <c r="R36" s="13">
        <f t="shared" si="75"/>
        <v>0.82041578794118963</v>
      </c>
      <c r="S36" s="13">
        <f t="shared" si="75"/>
        <v>0.82041578794118963</v>
      </c>
      <c r="T36" s="13">
        <f t="shared" si="75"/>
        <v>0.82041578794118963</v>
      </c>
      <c r="W36" s="4">
        <f>W8/W7</f>
        <v>0.82254198708352155</v>
      </c>
      <c r="X36" s="4">
        <f t="shared" ref="X36:Y36" si="76">X8/X7</f>
        <v>0.830108036555671</v>
      </c>
      <c r="Y36" s="4">
        <f t="shared" si="76"/>
        <v>0.76788653186626399</v>
      </c>
      <c r="Z36" s="4">
        <f>Y36-0.0125</f>
        <v>0.75538653186626403</v>
      </c>
      <c r="AA36" s="4">
        <f t="shared" ref="AA36:AI36" si="77">Z36-0.0125</f>
        <v>0.74288653186626408</v>
      </c>
      <c r="AB36" s="4">
        <f t="shared" si="77"/>
        <v>0.73038653186626412</v>
      </c>
      <c r="AC36" s="4">
        <f t="shared" si="77"/>
        <v>0.71788653186626417</v>
      </c>
      <c r="AD36" s="4">
        <f t="shared" si="77"/>
        <v>0.70538653186626421</v>
      </c>
      <c r="AE36" s="4">
        <f t="shared" si="77"/>
        <v>0.69288653186626425</v>
      </c>
      <c r="AF36" s="4">
        <f t="shared" si="77"/>
        <v>0.6803865318662643</v>
      </c>
      <c r="AG36" s="4">
        <f t="shared" si="77"/>
        <v>0.66788653186626434</v>
      </c>
      <c r="AH36" s="4">
        <f t="shared" si="77"/>
        <v>0.65538653186626439</v>
      </c>
      <c r="AI36" s="4">
        <f t="shared" si="77"/>
        <v>0.64288653186626443</v>
      </c>
      <c r="AK36" s="1" t="s">
        <v>34</v>
      </c>
      <c r="AL36" s="23">
        <f>(AL35/B2)-1</f>
        <v>2.2789972395964577</v>
      </c>
      <c r="AN36" s="1" t="s">
        <v>93</v>
      </c>
      <c r="AO36" s="4">
        <f>AO35*(B5/(B5+B7))+AO32*(B7/(B5+B7))</f>
        <v>8.1908259830157509E-2</v>
      </c>
    </row>
    <row r="37" spans="1:53" x14ac:dyDescent="0.3">
      <c r="A37" s="17"/>
      <c r="B37" s="18"/>
      <c r="D37" s="1" t="s">
        <v>60</v>
      </c>
      <c r="E37" s="4">
        <f>ABS(E25/E24)</f>
        <v>0.14094958795087176</v>
      </c>
      <c r="F37" s="4">
        <f t="shared" ref="F37:N37" si="78">ABS(F25/F24)</f>
        <v>0.14622388372132911</v>
      </c>
      <c r="G37" s="4">
        <f t="shared" si="78"/>
        <v>0.55877608187059236</v>
      </c>
      <c r="H37" s="4">
        <f t="shared" si="78"/>
        <v>0.37121464676043142</v>
      </c>
      <c r="I37" s="4">
        <f t="shared" si="78"/>
        <v>0.27558483398648809</v>
      </c>
      <c r="J37" s="4">
        <f t="shared" si="78"/>
        <v>0.21387244298406474</v>
      </c>
      <c r="K37" s="4">
        <f t="shared" si="78"/>
        <v>0.2378669600527423</v>
      </c>
      <c r="L37" s="4">
        <f t="shared" si="78"/>
        <v>0.19467633735586012</v>
      </c>
      <c r="M37" s="4">
        <f t="shared" si="78"/>
        <v>0.22932568387338176</v>
      </c>
      <c r="N37" s="13">
        <f t="shared" si="78"/>
        <v>0.26033899276406208</v>
      </c>
      <c r="O37" s="13">
        <f t="shared" ref="O37:T37" si="79">ABS(O25/O24)</f>
        <v>0.17293925805136567</v>
      </c>
      <c r="P37" s="8">
        <f t="shared" si="79"/>
        <v>0.17095217200526547</v>
      </c>
      <c r="Q37" s="13">
        <f t="shared" si="79"/>
        <v>0.2628829451319824</v>
      </c>
      <c r="R37" s="13">
        <f t="shared" si="79"/>
        <v>0.2628829451319824</v>
      </c>
      <c r="S37" s="13">
        <f t="shared" si="79"/>
        <v>0.2628829451319824</v>
      </c>
      <c r="T37" s="13">
        <f t="shared" si="79"/>
        <v>0.2628829451319824</v>
      </c>
      <c r="W37" s="13"/>
      <c r="X37" s="13"/>
    </row>
    <row r="38" spans="1:53" x14ac:dyDescent="0.3">
      <c r="A38" s="17"/>
      <c r="B38" s="18"/>
      <c r="D38" s="1" t="s">
        <v>29</v>
      </c>
      <c r="E38" s="4">
        <f>E9/E7</f>
        <v>0.18419388362976086</v>
      </c>
      <c r="F38" s="4">
        <f t="shared" ref="F38:T38" si="80">F9/F7</f>
        <v>0.17255057011698505</v>
      </c>
      <c r="G38" s="4">
        <f t="shared" si="80"/>
        <v>0.18308596016801834</v>
      </c>
      <c r="H38" s="4">
        <f t="shared" si="80"/>
        <v>0.17130599753199524</v>
      </c>
      <c r="I38" s="4">
        <f t="shared" si="80"/>
        <v>0.17327179403284187</v>
      </c>
      <c r="J38" s="4">
        <f t="shared" si="80"/>
        <v>0.1677053450931939</v>
      </c>
      <c r="K38" s="4">
        <f t="shared" si="80"/>
        <v>0.16632884611837223</v>
      </c>
      <c r="L38" s="4">
        <f t="shared" si="80"/>
        <v>0.17226288998507133</v>
      </c>
      <c r="M38" s="4">
        <f t="shared" si="80"/>
        <v>0.19489126067007301</v>
      </c>
      <c r="N38" s="13">
        <f t="shared" si="80"/>
        <v>0.21024477803396635</v>
      </c>
      <c r="O38" s="13">
        <f t="shared" si="80"/>
        <v>0.22723527208322145</v>
      </c>
      <c r="P38" s="8">
        <f t="shared" si="80"/>
        <v>0.21317874438347598</v>
      </c>
      <c r="Q38" s="4">
        <f t="shared" si="80"/>
        <v>0.17958421205881042</v>
      </c>
      <c r="R38" s="4">
        <f t="shared" si="80"/>
        <v>0.17958421205881034</v>
      </c>
      <c r="S38" s="4">
        <f t="shared" si="80"/>
        <v>0.17958421205881034</v>
      </c>
      <c r="T38" s="4">
        <f t="shared" si="80"/>
        <v>0.17958421205881039</v>
      </c>
      <c r="W38" s="4">
        <f>W9/W7</f>
        <v>0.17745777838154447</v>
      </c>
      <c r="X38" s="4">
        <f t="shared" ref="X38:AI38" si="81">X9/X7</f>
        <v>0.16989183489314719</v>
      </c>
      <c r="Y38" s="4">
        <f t="shared" si="81"/>
        <v>0.20672853104152858</v>
      </c>
      <c r="Z38" s="4">
        <f t="shared" si="81"/>
        <v>0.15911877706427427</v>
      </c>
      <c r="AA38" s="4">
        <f t="shared" si="81"/>
        <v>0.25711346813373598</v>
      </c>
      <c r="AB38" s="4">
        <f t="shared" si="81"/>
        <v>0.26961346813373588</v>
      </c>
      <c r="AC38" s="4">
        <f t="shared" si="81"/>
        <v>0.28211346813373583</v>
      </c>
      <c r="AD38" s="4">
        <f t="shared" si="81"/>
        <v>0.29461346813373573</v>
      </c>
      <c r="AE38" s="4">
        <f t="shared" si="81"/>
        <v>0.30711346813373575</v>
      </c>
      <c r="AF38" s="4">
        <f t="shared" si="81"/>
        <v>0.3196134681337357</v>
      </c>
      <c r="AG38" s="4">
        <f t="shared" si="81"/>
        <v>0.33211346813373566</v>
      </c>
      <c r="AH38" s="4">
        <f t="shared" si="81"/>
        <v>0.34461346813373561</v>
      </c>
      <c r="AI38" s="4">
        <f t="shared" si="81"/>
        <v>0.35711346813373562</v>
      </c>
      <c r="AK38" s="29"/>
      <c r="AL38" s="29"/>
    </row>
    <row r="39" spans="1:53" x14ac:dyDescent="0.3">
      <c r="A39" s="17"/>
      <c r="B39" s="18"/>
      <c r="D39" s="1" t="s">
        <v>63</v>
      </c>
      <c r="E39" s="2">
        <v>49000000</v>
      </c>
      <c r="F39" s="2">
        <v>52800000</v>
      </c>
      <c r="G39" s="2">
        <v>45300000</v>
      </c>
      <c r="H39" s="2">
        <v>44100000</v>
      </c>
      <c r="I39" s="2">
        <v>39200000</v>
      </c>
      <c r="J39" s="2">
        <v>39600000</v>
      </c>
      <c r="K39" s="2">
        <v>40500000</v>
      </c>
      <c r="L39" s="2">
        <v>32700000</v>
      </c>
      <c r="M39" s="2">
        <v>30500000</v>
      </c>
      <c r="N39" s="2">
        <v>33200000</v>
      </c>
      <c r="O39" s="35">
        <v>41500000</v>
      </c>
      <c r="P39" s="35">
        <v>40700000</v>
      </c>
      <c r="W39" s="2">
        <f>SUM(E39:H39)</f>
        <v>191200000</v>
      </c>
      <c r="X39" s="2">
        <f>SUM(I39:L39)</f>
        <v>152000000</v>
      </c>
      <c r="Y39" s="2">
        <f>SUM(M39:P39)</f>
        <v>145900000</v>
      </c>
      <c r="Z39" s="2">
        <f t="shared" ref="Z39:AI39" si="82">Z44*((Z41*0.225)+(Z42*0.6)+(Z43*0.175))</f>
        <v>170548194.31649998</v>
      </c>
      <c r="AA39" s="2">
        <f t="shared" si="82"/>
        <v>182814888.04882875</v>
      </c>
      <c r="AB39" s="2">
        <f t="shared" si="82"/>
        <v>195449360.93989918</v>
      </c>
      <c r="AC39" s="2">
        <f t="shared" si="82"/>
        <v>208460572.40661994</v>
      </c>
      <c r="AD39" s="2">
        <f t="shared" si="82"/>
        <v>221857680.19789749</v>
      </c>
      <c r="AE39" s="2">
        <f t="shared" si="82"/>
        <v>235650044.54865301</v>
      </c>
      <c r="AF39" s="2">
        <f t="shared" si="82"/>
        <v>249847232.41775709</v>
      </c>
      <c r="AG39" s="2">
        <f t="shared" si="82"/>
        <v>264459021.81153607</v>
      </c>
      <c r="AH39" s="2">
        <f t="shared" si="82"/>
        <v>279495406.19453478</v>
      </c>
      <c r="AI39" s="2">
        <f t="shared" si="82"/>
        <v>294966598.98925197</v>
      </c>
      <c r="AK39" s="29"/>
      <c r="AL39" s="29"/>
    </row>
    <row r="40" spans="1:53" ht="14.4" customHeight="1" x14ac:dyDescent="0.3">
      <c r="A40" s="17"/>
      <c r="B40" s="18"/>
      <c r="D40" s="1" t="s">
        <v>86</v>
      </c>
      <c r="G40" s="14"/>
      <c r="W40" s="24">
        <f>W3/W39</f>
        <v>1092.4110878661088</v>
      </c>
      <c r="X40" s="24">
        <f>X3/X39</f>
        <v>1100.1125</v>
      </c>
      <c r="Y40" s="25">
        <f>X40*1.025</f>
        <v>1127.6153124999998</v>
      </c>
      <c r="Z40" s="25">
        <f>Y40*1.1</f>
        <v>1240.37684375</v>
      </c>
      <c r="AA40" s="25">
        <f t="shared" ref="AA40:AI40" si="83">Z40*1.1</f>
        <v>1364.4145281250001</v>
      </c>
      <c r="AB40" s="25">
        <f t="shared" si="83"/>
        <v>1500.8559809375001</v>
      </c>
      <c r="AC40" s="25">
        <f t="shared" si="83"/>
        <v>1650.9415790312503</v>
      </c>
      <c r="AD40" s="25">
        <f t="shared" si="83"/>
        <v>1816.0357369343756</v>
      </c>
      <c r="AE40" s="25">
        <f t="shared" si="83"/>
        <v>1997.6393106278133</v>
      </c>
      <c r="AF40" s="25">
        <f t="shared" si="83"/>
        <v>2197.4032416905948</v>
      </c>
      <c r="AG40" s="25">
        <f t="shared" si="83"/>
        <v>2417.1435658596542</v>
      </c>
      <c r="AH40" s="25">
        <f t="shared" si="83"/>
        <v>2658.8579224456198</v>
      </c>
      <c r="AI40" s="25">
        <f t="shared" si="83"/>
        <v>2924.7437146901821</v>
      </c>
      <c r="AJ40" s="27"/>
      <c r="AK40" s="31" t="s">
        <v>73</v>
      </c>
      <c r="AL40" s="31"/>
      <c r="AM40" s="31"/>
    </row>
    <row r="41" spans="1:53" x14ac:dyDescent="0.3">
      <c r="A41" s="17"/>
      <c r="B41" s="18"/>
      <c r="D41" s="1" t="s">
        <v>66</v>
      </c>
      <c r="G41" s="14"/>
      <c r="W41" s="26">
        <v>0.14099999999999999</v>
      </c>
      <c r="X41" s="26">
        <v>0.128</v>
      </c>
      <c r="Y41" s="26">
        <f>X41+0.0125</f>
        <v>0.14050000000000001</v>
      </c>
      <c r="Z41" s="26">
        <f t="shared" ref="Z41:AI41" si="84">Y41+0.0125</f>
        <v>0.15300000000000002</v>
      </c>
      <c r="AA41" s="26">
        <f t="shared" si="84"/>
        <v>0.16550000000000004</v>
      </c>
      <c r="AB41" s="26">
        <f t="shared" si="84"/>
        <v>0.17800000000000005</v>
      </c>
      <c r="AC41" s="26">
        <f t="shared" si="84"/>
        <v>0.19050000000000006</v>
      </c>
      <c r="AD41" s="26">
        <f t="shared" si="84"/>
        <v>0.20300000000000007</v>
      </c>
      <c r="AE41" s="26">
        <f t="shared" si="84"/>
        <v>0.21550000000000008</v>
      </c>
      <c r="AF41" s="26">
        <f t="shared" si="84"/>
        <v>0.22800000000000009</v>
      </c>
      <c r="AG41" s="26">
        <f t="shared" si="84"/>
        <v>0.2405000000000001</v>
      </c>
      <c r="AH41" s="26">
        <f t="shared" si="84"/>
        <v>0.25300000000000011</v>
      </c>
      <c r="AI41" s="26">
        <f t="shared" si="84"/>
        <v>0.26550000000000012</v>
      </c>
      <c r="AJ41" s="27"/>
      <c r="AK41" s="31"/>
      <c r="AL41" s="31"/>
      <c r="AM41" s="31"/>
    </row>
    <row r="42" spans="1:53" x14ac:dyDescent="0.3">
      <c r="A42" s="17"/>
      <c r="B42" s="18"/>
      <c r="D42" s="1" t="s">
        <v>65</v>
      </c>
      <c r="G42" s="14"/>
      <c r="W42" s="26">
        <v>0.14099999999999999</v>
      </c>
      <c r="X42" s="26">
        <v>0.128</v>
      </c>
      <c r="Y42" s="26">
        <f>X42+0.0075</f>
        <v>0.13550000000000001</v>
      </c>
      <c r="Z42" s="26">
        <f t="shared" ref="Z42:AI42" si="85">Y42+0.0075</f>
        <v>0.14300000000000002</v>
      </c>
      <c r="AA42" s="26">
        <f t="shared" si="85"/>
        <v>0.15050000000000002</v>
      </c>
      <c r="AB42" s="26">
        <f t="shared" si="85"/>
        <v>0.15800000000000003</v>
      </c>
      <c r="AC42" s="26">
        <f t="shared" si="85"/>
        <v>0.16550000000000004</v>
      </c>
      <c r="AD42" s="26">
        <f t="shared" si="85"/>
        <v>0.17300000000000004</v>
      </c>
      <c r="AE42" s="26">
        <f t="shared" si="85"/>
        <v>0.18050000000000005</v>
      </c>
      <c r="AF42" s="26">
        <f t="shared" si="85"/>
        <v>0.18800000000000006</v>
      </c>
      <c r="AG42" s="26">
        <f t="shared" si="85"/>
        <v>0.19550000000000006</v>
      </c>
      <c r="AH42" s="26">
        <f t="shared" si="85"/>
        <v>0.20300000000000007</v>
      </c>
      <c r="AI42" s="26">
        <f t="shared" si="85"/>
        <v>0.21050000000000008</v>
      </c>
      <c r="AJ42" s="27"/>
      <c r="AK42" s="31"/>
      <c r="AL42" s="31"/>
      <c r="AM42" s="31"/>
    </row>
    <row r="43" spans="1:53" x14ac:dyDescent="0.3">
      <c r="A43" s="17"/>
      <c r="B43" s="18"/>
      <c r="D43" s="1" t="s">
        <v>67</v>
      </c>
      <c r="G43" s="14"/>
      <c r="W43" s="26">
        <v>0.14099999999999999</v>
      </c>
      <c r="X43" s="26">
        <v>0.128</v>
      </c>
      <c r="Y43" s="26">
        <f>X43+0.0025</f>
        <v>0.1305</v>
      </c>
      <c r="Z43" s="26">
        <f t="shared" ref="Z43:AI43" si="86">Y43+0.0025</f>
        <v>0.13300000000000001</v>
      </c>
      <c r="AA43" s="26">
        <f t="shared" si="86"/>
        <v>0.13550000000000001</v>
      </c>
      <c r="AB43" s="26">
        <f t="shared" si="86"/>
        <v>0.13800000000000001</v>
      </c>
      <c r="AC43" s="26">
        <f t="shared" si="86"/>
        <v>0.14050000000000001</v>
      </c>
      <c r="AD43" s="26">
        <f t="shared" si="86"/>
        <v>0.14300000000000002</v>
      </c>
      <c r="AE43" s="26">
        <f t="shared" si="86"/>
        <v>0.14550000000000002</v>
      </c>
      <c r="AF43" s="26">
        <f t="shared" si="86"/>
        <v>0.14800000000000002</v>
      </c>
      <c r="AG43" s="26">
        <f t="shared" si="86"/>
        <v>0.15050000000000002</v>
      </c>
      <c r="AH43" s="26">
        <f t="shared" si="86"/>
        <v>0.15300000000000002</v>
      </c>
      <c r="AI43" s="26">
        <f t="shared" si="86"/>
        <v>0.15550000000000003</v>
      </c>
      <c r="AJ43" s="27"/>
      <c r="AK43" s="31"/>
      <c r="AL43" s="31"/>
      <c r="AM43" s="31"/>
    </row>
    <row r="44" spans="1:53" x14ac:dyDescent="0.3">
      <c r="A44" s="17"/>
      <c r="B44" s="18"/>
      <c r="D44" s="1" t="s">
        <v>64</v>
      </c>
      <c r="W44" s="2">
        <v>1351400000</v>
      </c>
      <c r="X44" s="2">
        <v>1193400000</v>
      </c>
      <c r="Y44" s="2">
        <f>X44*(1-0.047)</f>
        <v>1137310200</v>
      </c>
      <c r="Z44" s="2">
        <f>Y44*1.045</f>
        <v>1188489159</v>
      </c>
      <c r="AA44" s="2">
        <f>Z44*1.017</f>
        <v>1208693474.7029998</v>
      </c>
      <c r="AB44" s="2">
        <f t="shared" ref="AB44:AI44" si="87">AA44*1.017</f>
        <v>1229241263.7729506</v>
      </c>
      <c r="AC44" s="2">
        <f t="shared" si="87"/>
        <v>1250138365.2570908</v>
      </c>
      <c r="AD44" s="2">
        <f t="shared" si="87"/>
        <v>1271390717.4664612</v>
      </c>
      <c r="AE44" s="2">
        <f t="shared" si="87"/>
        <v>1293004359.6633909</v>
      </c>
      <c r="AF44" s="2">
        <f t="shared" si="87"/>
        <v>1314985433.7776685</v>
      </c>
      <c r="AG44" s="2">
        <f t="shared" si="87"/>
        <v>1337340186.1518886</v>
      </c>
      <c r="AH44" s="2">
        <f t="shared" si="87"/>
        <v>1360074969.3164706</v>
      </c>
      <c r="AI44" s="2">
        <f t="shared" si="87"/>
        <v>1383196243.7948506</v>
      </c>
      <c r="AJ44" s="27"/>
      <c r="AK44" s="31"/>
      <c r="AL44" s="31"/>
      <c r="AM44" s="31"/>
    </row>
    <row r="45" spans="1:53" x14ac:dyDescent="0.3">
      <c r="A45" s="17"/>
      <c r="B45" s="18"/>
      <c r="O45" s="33" t="s">
        <v>71</v>
      </c>
      <c r="P45" s="33"/>
      <c r="V45" s="1"/>
      <c r="AJ45" s="27"/>
      <c r="AK45" s="31"/>
      <c r="AL45" s="31"/>
      <c r="AM45" s="31"/>
    </row>
    <row r="46" spans="1:53" x14ac:dyDescent="0.3">
      <c r="A46" s="17"/>
      <c r="B46" s="18"/>
      <c r="O46" s="33"/>
      <c r="P46" s="33"/>
      <c r="V46" s="1"/>
      <c r="W46" s="2"/>
      <c r="Y46" s="2"/>
      <c r="AK46" s="31"/>
      <c r="AL46" s="31"/>
      <c r="AM46" s="31"/>
    </row>
    <row r="47" spans="1:53" x14ac:dyDescent="0.3">
      <c r="A47" s="17"/>
      <c r="B47" s="18"/>
      <c r="O47" s="33"/>
      <c r="P47" s="33"/>
      <c r="AK47" s="31"/>
      <c r="AL47" s="31"/>
      <c r="AM47" s="31"/>
    </row>
    <row r="48" spans="1:53" x14ac:dyDescent="0.3">
      <c r="A48" s="17"/>
      <c r="B48" s="18"/>
      <c r="O48" s="33"/>
      <c r="P48" s="33"/>
      <c r="W48" s="4"/>
      <c r="AK48" s="31"/>
      <c r="AL48" s="31"/>
      <c r="AM48" s="31"/>
    </row>
    <row r="49" spans="1:39" x14ac:dyDescent="0.3">
      <c r="A49" s="17"/>
      <c r="B49" s="18"/>
      <c r="W49" s="4"/>
      <c r="AK49" s="31"/>
      <c r="AL49" s="31"/>
      <c r="AM49" s="31"/>
    </row>
    <row r="50" spans="1:39" x14ac:dyDescent="0.3">
      <c r="A50" s="17"/>
      <c r="B50" s="18"/>
      <c r="AK50" s="31"/>
      <c r="AL50" s="31"/>
      <c r="AM50" s="31"/>
    </row>
    <row r="51" spans="1:39" x14ac:dyDescent="0.3">
      <c r="A51" s="17"/>
      <c r="B51" s="18"/>
      <c r="AK51" s="31"/>
      <c r="AL51" s="31"/>
      <c r="AM51" s="31"/>
    </row>
    <row r="52" spans="1:39" x14ac:dyDescent="0.3">
      <c r="A52" s="17"/>
      <c r="B52" s="18"/>
    </row>
    <row r="53" spans="1:39" x14ac:dyDescent="0.3">
      <c r="A53" s="17"/>
      <c r="B53" s="18"/>
    </row>
    <row r="54" spans="1:39" x14ac:dyDescent="0.3">
      <c r="A54" s="17"/>
      <c r="B54" s="18"/>
    </row>
    <row r="55" spans="1:39" x14ac:dyDescent="0.3">
      <c r="A55" s="17"/>
      <c r="B55" s="22"/>
      <c r="C55" s="21"/>
    </row>
    <row r="56" spans="1:39" x14ac:dyDescent="0.3">
      <c r="A56" s="17"/>
      <c r="B56" s="22"/>
      <c r="C56" s="21"/>
    </row>
    <row r="57" spans="1:39" x14ac:dyDescent="0.3">
      <c r="A57" s="17"/>
      <c r="B57" s="22"/>
      <c r="C57" s="21"/>
    </row>
    <row r="58" spans="1:39" x14ac:dyDescent="0.3">
      <c r="A58" s="17"/>
      <c r="B58" s="22"/>
      <c r="C58" s="21"/>
    </row>
    <row r="59" spans="1:39" x14ac:dyDescent="0.3">
      <c r="A59" s="17"/>
      <c r="B59" s="22"/>
      <c r="C59" s="21"/>
    </row>
    <row r="60" spans="1:39" x14ac:dyDescent="0.3">
      <c r="A60" s="17"/>
      <c r="B60" s="22"/>
      <c r="C60" s="21"/>
    </row>
    <row r="61" spans="1:39" x14ac:dyDescent="0.3">
      <c r="A61" s="17"/>
      <c r="B61" s="22"/>
      <c r="C61" s="21"/>
    </row>
    <row r="62" spans="1:39" x14ac:dyDescent="0.3">
      <c r="A62" s="17"/>
      <c r="B62" s="22"/>
      <c r="C62" s="21"/>
    </row>
    <row r="63" spans="1:39" x14ac:dyDescent="0.3">
      <c r="A63" s="17"/>
      <c r="B63" s="22"/>
      <c r="C63" s="21"/>
    </row>
    <row r="64" spans="1:39" x14ac:dyDescent="0.3">
      <c r="A64" s="17"/>
      <c r="B64" s="22"/>
      <c r="C64" s="21"/>
    </row>
    <row r="65" spans="1:3" x14ac:dyDescent="0.3">
      <c r="A65" s="17"/>
      <c r="B65" s="22"/>
      <c r="C65" s="21"/>
    </row>
    <row r="66" spans="1:3" x14ac:dyDescent="0.3">
      <c r="A66" s="17"/>
      <c r="B66" s="22"/>
      <c r="C66" s="21"/>
    </row>
    <row r="67" spans="1:3" x14ac:dyDescent="0.3">
      <c r="A67" s="17"/>
      <c r="B67" s="22"/>
      <c r="C67" s="21"/>
    </row>
    <row r="68" spans="1:3" x14ac:dyDescent="0.3">
      <c r="A68" s="17"/>
      <c r="B68" s="22"/>
      <c r="C68" s="21"/>
    </row>
    <row r="69" spans="1:3" x14ac:dyDescent="0.3">
      <c r="A69" s="17"/>
      <c r="B69" s="22"/>
      <c r="C69" s="21"/>
    </row>
    <row r="70" spans="1:3" x14ac:dyDescent="0.3">
      <c r="A70" s="17"/>
      <c r="B70" s="22"/>
      <c r="C70" s="21"/>
    </row>
    <row r="71" spans="1:3" x14ac:dyDescent="0.3">
      <c r="A71" s="17"/>
      <c r="B71" s="22"/>
      <c r="C71" s="21"/>
    </row>
    <row r="72" spans="1:3" x14ac:dyDescent="0.3">
      <c r="A72" s="17"/>
      <c r="B72" s="22"/>
      <c r="C72" s="21"/>
    </row>
    <row r="73" spans="1:3" x14ac:dyDescent="0.3">
      <c r="A73" s="17"/>
      <c r="B73" s="22"/>
      <c r="C73" s="21"/>
    </row>
    <row r="74" spans="1:3" x14ac:dyDescent="0.3">
      <c r="A74" s="17"/>
      <c r="B74" s="22"/>
      <c r="C74" s="21"/>
    </row>
    <row r="75" spans="1:3" x14ac:dyDescent="0.3">
      <c r="A75" s="17"/>
      <c r="B75" s="22"/>
      <c r="C75" s="21"/>
    </row>
    <row r="76" spans="1:3" x14ac:dyDescent="0.3">
      <c r="A76" s="17"/>
      <c r="B76" s="22"/>
      <c r="C76" s="21"/>
    </row>
    <row r="77" spans="1:3" x14ac:dyDescent="0.3">
      <c r="A77" s="17"/>
      <c r="B77" s="22"/>
      <c r="C77" s="21"/>
    </row>
    <row r="78" spans="1:3" x14ac:dyDescent="0.3">
      <c r="A78" s="17"/>
      <c r="B78" s="22"/>
      <c r="C78" s="21"/>
    </row>
    <row r="79" spans="1:3" x14ac:dyDescent="0.3">
      <c r="A79" s="17"/>
      <c r="B79" s="22"/>
      <c r="C79" s="21"/>
    </row>
    <row r="80" spans="1:3" x14ac:dyDescent="0.3">
      <c r="A80" s="17"/>
      <c r="B80" s="22"/>
      <c r="C80" s="21"/>
    </row>
    <row r="81" spans="1:16" x14ac:dyDescent="0.3">
      <c r="A81" s="17"/>
      <c r="B81" s="22"/>
      <c r="C81" s="21"/>
    </row>
    <row r="82" spans="1:16" x14ac:dyDescent="0.3">
      <c r="A82" s="17"/>
      <c r="B82" s="22"/>
      <c r="C82" s="21"/>
    </row>
    <row r="83" spans="1:16" x14ac:dyDescent="0.3">
      <c r="A83" s="17"/>
      <c r="B83" s="22"/>
      <c r="C83" s="21"/>
    </row>
    <row r="84" spans="1:16" x14ac:dyDescent="0.3">
      <c r="A84" s="17"/>
      <c r="B84" s="22"/>
      <c r="C84" s="21"/>
    </row>
    <row r="85" spans="1:16" x14ac:dyDescent="0.3">
      <c r="A85" s="17"/>
      <c r="B85" s="22"/>
      <c r="C85" s="21"/>
    </row>
    <row r="86" spans="1:16" x14ac:dyDescent="0.3">
      <c r="A86" s="17"/>
      <c r="B86" s="22"/>
      <c r="C86" s="21"/>
    </row>
    <row r="87" spans="1:16" x14ac:dyDescent="0.3">
      <c r="A87" s="17"/>
      <c r="B87" s="22"/>
      <c r="C87" s="21"/>
    </row>
    <row r="88" spans="1:16" x14ac:dyDescent="0.3">
      <c r="A88" s="17"/>
      <c r="B88" s="22"/>
      <c r="C88" s="21"/>
    </row>
    <row r="89" spans="1:16" x14ac:dyDescent="0.3">
      <c r="A89" s="17"/>
      <c r="B89" s="22"/>
      <c r="C89" s="21"/>
    </row>
    <row r="90" spans="1:16" x14ac:dyDescent="0.3">
      <c r="A90" s="17"/>
      <c r="B90" s="22"/>
      <c r="C90" s="21"/>
    </row>
    <row r="91" spans="1:16" x14ac:dyDescent="0.3">
      <c r="A91" s="17"/>
      <c r="B91" s="22"/>
      <c r="C91" s="21"/>
    </row>
    <row r="92" spans="1:16" x14ac:dyDescent="0.3">
      <c r="A92" s="17"/>
      <c r="B92" s="22"/>
      <c r="C92" s="21"/>
    </row>
    <row r="93" spans="1:16" x14ac:dyDescent="0.3">
      <c r="A93" s="17"/>
      <c r="B93" s="22"/>
      <c r="C93" s="21"/>
    </row>
    <row r="94" spans="1:16" x14ac:dyDescent="0.3">
      <c r="A94" s="17"/>
      <c r="B94" s="22"/>
      <c r="C94" s="21"/>
    </row>
    <row r="96" spans="1:16" x14ac:dyDescent="0.3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x14ac:dyDescent="0.3">
      <c r="A97" s="17"/>
      <c r="B97" s="19"/>
      <c r="C97" s="18"/>
      <c r="D97" s="19"/>
      <c r="E97" s="18"/>
      <c r="F97" s="18"/>
      <c r="G97" s="18"/>
      <c r="H97" s="18"/>
      <c r="I97" s="18"/>
      <c r="J97" s="18"/>
      <c r="K97" s="18"/>
      <c r="L97" s="19"/>
      <c r="M97" s="19"/>
      <c r="N97" s="19"/>
      <c r="O97" s="18"/>
      <c r="P97" s="19"/>
    </row>
    <row r="98" spans="1:16" x14ac:dyDescent="0.3">
      <c r="A98" s="17"/>
      <c r="B98" s="19"/>
      <c r="C98" s="18"/>
      <c r="D98" s="19"/>
      <c r="E98" s="18"/>
      <c r="F98" s="18"/>
      <c r="G98" s="18"/>
      <c r="H98" s="18"/>
      <c r="I98" s="18"/>
      <c r="J98" s="18"/>
      <c r="K98" s="18"/>
      <c r="L98" s="19"/>
      <c r="M98" s="19"/>
      <c r="N98" s="19"/>
      <c r="O98" s="18"/>
      <c r="P98" s="19"/>
    </row>
    <row r="99" spans="1:16" x14ac:dyDescent="0.3">
      <c r="A99" s="17"/>
      <c r="B99" s="19"/>
      <c r="C99" s="18"/>
      <c r="D99" s="20"/>
      <c r="E99" s="18"/>
      <c r="F99" s="18"/>
      <c r="G99" s="18"/>
      <c r="H99" s="18"/>
      <c r="I99" s="18"/>
      <c r="J99" s="18"/>
      <c r="K99" s="18"/>
      <c r="L99" s="19"/>
      <c r="M99" s="19"/>
      <c r="N99" s="19"/>
      <c r="O99" s="18"/>
      <c r="P99" s="19"/>
    </row>
    <row r="100" spans="1:16" x14ac:dyDescent="0.3">
      <c r="A100" s="17"/>
      <c r="B100" s="19"/>
      <c r="C100" s="18"/>
      <c r="D100" s="20"/>
      <c r="E100" s="18"/>
      <c r="F100" s="18"/>
      <c r="G100" s="18"/>
      <c r="H100" s="18"/>
      <c r="I100" s="18"/>
      <c r="J100" s="18"/>
      <c r="K100" s="18"/>
      <c r="L100" s="20"/>
      <c r="M100" s="19"/>
      <c r="N100" s="20"/>
      <c r="O100" s="18"/>
      <c r="P100" s="19"/>
    </row>
    <row r="101" spans="1:16" x14ac:dyDescent="0.3">
      <c r="A101" s="17"/>
      <c r="B101" s="19"/>
      <c r="C101" s="18"/>
      <c r="D101" s="19"/>
      <c r="E101" s="18"/>
      <c r="F101" s="18"/>
      <c r="G101" s="18"/>
      <c r="H101" s="18"/>
      <c r="I101" s="18"/>
      <c r="J101" s="18"/>
      <c r="K101" s="18"/>
      <c r="L101" s="19"/>
      <c r="M101" s="19"/>
      <c r="N101" s="19"/>
      <c r="O101" s="18"/>
      <c r="P101" s="19"/>
    </row>
    <row r="102" spans="1:16" x14ac:dyDescent="0.3">
      <c r="A102" s="17"/>
      <c r="B102" s="19"/>
      <c r="C102" s="18"/>
      <c r="D102" s="19"/>
      <c r="E102" s="18"/>
      <c r="F102" s="18"/>
      <c r="G102" s="18"/>
      <c r="H102" s="18"/>
      <c r="I102" s="18"/>
      <c r="J102" s="18"/>
      <c r="K102" s="18"/>
      <c r="L102" s="19"/>
      <c r="M102" s="19"/>
      <c r="N102" s="19"/>
      <c r="O102" s="18"/>
      <c r="P102" s="19"/>
    </row>
    <row r="103" spans="1:16" x14ac:dyDescent="0.3">
      <c r="A103" s="17"/>
      <c r="B103" s="20"/>
      <c r="C103" s="18"/>
      <c r="D103" s="19"/>
      <c r="E103" s="18"/>
      <c r="F103" s="18"/>
      <c r="G103" s="18"/>
      <c r="H103" s="18"/>
      <c r="I103" s="19"/>
      <c r="J103" s="18"/>
      <c r="K103" s="18"/>
      <c r="L103" s="19"/>
      <c r="M103" s="19"/>
      <c r="N103" s="19"/>
      <c r="O103" s="18"/>
      <c r="P103" s="19"/>
    </row>
    <row r="104" spans="1:16" x14ac:dyDescent="0.3">
      <c r="A104" s="17"/>
      <c r="B104" s="19"/>
      <c r="C104" s="18"/>
      <c r="D104" s="19"/>
      <c r="E104" s="18"/>
      <c r="F104" s="18"/>
      <c r="G104" s="18"/>
      <c r="H104" s="18"/>
      <c r="I104" s="19"/>
      <c r="J104" s="18"/>
      <c r="K104" s="18"/>
      <c r="L104" s="19"/>
      <c r="M104" s="19"/>
      <c r="N104" s="19"/>
      <c r="O104" s="18"/>
      <c r="P104" s="19"/>
    </row>
    <row r="105" spans="1:16" x14ac:dyDescent="0.3">
      <c r="A105" s="17"/>
      <c r="B105" s="19"/>
      <c r="C105" s="19"/>
      <c r="D105" s="20"/>
      <c r="E105" s="18"/>
      <c r="F105" s="18"/>
      <c r="G105" s="18"/>
      <c r="H105" s="18"/>
      <c r="I105" s="20"/>
      <c r="J105" s="18"/>
      <c r="K105" s="19"/>
      <c r="L105" s="19"/>
      <c r="M105" s="19"/>
      <c r="N105" s="19"/>
      <c r="O105" s="18"/>
      <c r="P105" s="19"/>
    </row>
    <row r="106" spans="1:16" x14ac:dyDescent="0.3">
      <c r="A106" s="17"/>
      <c r="B106" s="19"/>
      <c r="C106" s="19"/>
      <c r="D106" s="20"/>
      <c r="E106" s="18"/>
      <c r="F106" s="18"/>
      <c r="G106" s="19"/>
      <c r="H106" s="18"/>
      <c r="I106" s="20"/>
      <c r="J106" s="18"/>
      <c r="K106" s="19"/>
      <c r="L106" s="19"/>
      <c r="M106" s="19"/>
      <c r="N106" s="19"/>
      <c r="O106" s="18"/>
      <c r="P106" s="19"/>
    </row>
    <row r="107" spans="1:16" x14ac:dyDescent="0.3">
      <c r="A107" s="17"/>
      <c r="B107" s="19"/>
      <c r="C107" s="19"/>
      <c r="D107" s="19"/>
      <c r="E107" s="18"/>
      <c r="F107" s="18"/>
      <c r="G107" s="19"/>
      <c r="H107" s="19"/>
      <c r="I107" s="19"/>
      <c r="J107" s="18"/>
      <c r="K107" s="19"/>
      <c r="L107" s="19"/>
      <c r="M107" s="19"/>
      <c r="N107" s="19"/>
      <c r="O107" s="18"/>
      <c r="P107" s="20"/>
    </row>
    <row r="108" spans="1:16" x14ac:dyDescent="0.3">
      <c r="A108" s="17"/>
      <c r="B108" s="20"/>
      <c r="C108" s="19"/>
      <c r="D108" s="19"/>
      <c r="E108" s="18"/>
      <c r="F108" s="18"/>
      <c r="G108" s="19"/>
      <c r="H108" s="19"/>
      <c r="I108" s="19"/>
      <c r="J108" s="18"/>
      <c r="K108" s="19"/>
      <c r="L108" s="19"/>
      <c r="M108" s="20"/>
      <c r="N108" s="18"/>
      <c r="O108" s="18"/>
      <c r="P108" s="19"/>
    </row>
    <row r="109" spans="1:16" x14ac:dyDescent="0.3">
      <c r="A109" s="17"/>
      <c r="B109" s="19"/>
      <c r="C109" s="19"/>
      <c r="D109" s="19"/>
      <c r="E109" s="18"/>
      <c r="F109" s="18"/>
      <c r="G109" s="19"/>
      <c r="H109" s="19"/>
      <c r="I109" s="19"/>
      <c r="J109" s="18"/>
      <c r="K109" s="19"/>
      <c r="L109" s="18"/>
      <c r="M109" s="18"/>
      <c r="N109" s="18"/>
      <c r="O109" s="18"/>
      <c r="P109" s="19"/>
    </row>
    <row r="110" spans="1:16" x14ac:dyDescent="0.3">
      <c r="A110" s="17"/>
      <c r="B110" s="19"/>
      <c r="C110" s="19"/>
      <c r="D110" s="19"/>
      <c r="E110" s="18"/>
      <c r="F110" s="18"/>
      <c r="G110" s="19"/>
      <c r="H110" s="19"/>
      <c r="I110" s="19"/>
      <c r="J110" s="18"/>
      <c r="K110" s="18"/>
      <c r="L110" s="18"/>
      <c r="M110" s="18"/>
      <c r="N110" s="18"/>
      <c r="O110" s="18"/>
      <c r="P110" s="19"/>
    </row>
    <row r="111" spans="1:16" x14ac:dyDescent="0.3">
      <c r="A111" s="17"/>
      <c r="B111" s="19"/>
      <c r="C111" s="19"/>
      <c r="D111" s="20"/>
      <c r="E111" s="18"/>
      <c r="F111" s="18"/>
      <c r="G111" s="20"/>
      <c r="H111" s="19"/>
      <c r="I111" s="19"/>
      <c r="J111" s="18"/>
      <c r="K111" s="18"/>
      <c r="L111" s="18"/>
      <c r="M111" s="18"/>
      <c r="N111" s="18"/>
      <c r="O111" s="18"/>
      <c r="P111" s="19"/>
    </row>
    <row r="112" spans="1:16" x14ac:dyDescent="0.3">
      <c r="A112" s="17"/>
      <c r="B112" s="19"/>
      <c r="C112" s="19"/>
      <c r="D112" s="19"/>
      <c r="E112" s="19"/>
      <c r="F112" s="18"/>
      <c r="G112" s="19"/>
      <c r="H112" s="19"/>
      <c r="I112" s="18"/>
      <c r="J112" s="18"/>
      <c r="K112" s="18"/>
      <c r="L112" s="18"/>
      <c r="M112" s="18"/>
      <c r="N112" s="18"/>
      <c r="O112" s="18"/>
      <c r="P112" s="19"/>
    </row>
    <row r="113" spans="1:16" x14ac:dyDescent="0.3">
      <c r="A113" s="17"/>
      <c r="B113" s="19"/>
      <c r="C113" s="19"/>
      <c r="D113" s="19"/>
      <c r="E113" s="19"/>
      <c r="F113" s="18"/>
      <c r="G113" s="19"/>
      <c r="H113" s="19"/>
      <c r="I113" s="18"/>
      <c r="J113" s="18"/>
      <c r="K113" s="18"/>
      <c r="L113" s="18"/>
      <c r="M113" s="18"/>
      <c r="N113" s="18"/>
      <c r="O113" s="18"/>
      <c r="P113" s="19"/>
    </row>
    <row r="114" spans="1:16" x14ac:dyDescent="0.3">
      <c r="A114" s="17"/>
      <c r="B114" s="19"/>
      <c r="C114" s="19"/>
      <c r="D114" s="19"/>
      <c r="E114" s="18"/>
      <c r="F114" s="18"/>
      <c r="G114" s="19"/>
      <c r="H114" s="19"/>
      <c r="I114" s="18"/>
      <c r="J114" s="18"/>
      <c r="K114" s="18"/>
      <c r="L114" s="18"/>
      <c r="M114" s="18"/>
      <c r="N114" s="18"/>
      <c r="O114" s="18"/>
      <c r="P114" s="19"/>
    </row>
    <row r="115" spans="1:16" x14ac:dyDescent="0.3">
      <c r="A115" s="17"/>
      <c r="B115" s="19"/>
      <c r="C115" s="19"/>
      <c r="D115" s="19"/>
      <c r="E115" s="19"/>
      <c r="F115" s="18"/>
      <c r="G115" s="19"/>
      <c r="H115" s="19"/>
      <c r="I115" s="18"/>
      <c r="J115" s="18"/>
      <c r="K115" s="18"/>
      <c r="L115" s="18"/>
      <c r="M115" s="18"/>
      <c r="N115" s="18"/>
      <c r="O115" s="18"/>
      <c r="P115" s="19"/>
    </row>
    <row r="116" spans="1:16" x14ac:dyDescent="0.3">
      <c r="A116" s="17"/>
      <c r="B116" s="19"/>
      <c r="C116" s="20"/>
      <c r="D116" s="19"/>
      <c r="E116" s="19"/>
      <c r="F116" s="18"/>
      <c r="G116" s="19"/>
      <c r="H116" s="19"/>
      <c r="I116" s="18"/>
      <c r="J116" s="18"/>
      <c r="K116" s="18"/>
      <c r="L116" s="18"/>
      <c r="M116" s="18"/>
      <c r="N116" s="18"/>
      <c r="O116" s="18"/>
      <c r="P116" s="19"/>
    </row>
    <row r="117" spans="1:16" x14ac:dyDescent="0.3">
      <c r="A117" s="17"/>
      <c r="B117" s="19"/>
      <c r="C117" s="19"/>
      <c r="D117" s="19"/>
      <c r="E117" s="19"/>
      <c r="F117" s="18"/>
      <c r="G117" s="18"/>
      <c r="H117" s="19"/>
      <c r="I117" s="18"/>
      <c r="J117" s="18"/>
      <c r="K117" s="18"/>
      <c r="L117" s="18"/>
      <c r="M117" s="18"/>
      <c r="N117" s="18"/>
      <c r="O117" s="18"/>
      <c r="P117" s="19"/>
    </row>
    <row r="118" spans="1:16" x14ac:dyDescent="0.3">
      <c r="A118" s="17"/>
      <c r="B118" s="19"/>
      <c r="C118" s="19"/>
      <c r="D118" s="19"/>
      <c r="E118" s="18"/>
      <c r="F118" s="19"/>
      <c r="G118" s="19"/>
      <c r="H118" s="19"/>
      <c r="I118" s="18"/>
      <c r="J118" s="19"/>
      <c r="K118" s="18"/>
      <c r="L118" s="18"/>
      <c r="M118" s="18"/>
      <c r="N118" s="18"/>
      <c r="O118" s="18"/>
      <c r="P118" s="19"/>
    </row>
    <row r="119" spans="1:16" x14ac:dyDescent="0.3">
      <c r="A119" s="17"/>
      <c r="B119" s="19"/>
      <c r="C119" s="19"/>
      <c r="D119" s="19"/>
      <c r="E119" s="19"/>
      <c r="F119" s="19"/>
      <c r="G119" s="18"/>
      <c r="H119" s="19"/>
      <c r="I119" s="18"/>
      <c r="J119" s="19"/>
      <c r="K119" s="18"/>
      <c r="L119" s="18"/>
      <c r="M119" s="18"/>
      <c r="N119" s="18"/>
      <c r="O119" s="18"/>
      <c r="P119" s="19"/>
    </row>
    <row r="120" spans="1:16" x14ac:dyDescent="0.3">
      <c r="A120" s="17"/>
      <c r="B120" s="19"/>
      <c r="C120" s="19"/>
      <c r="D120" s="19"/>
      <c r="E120" s="19"/>
      <c r="F120" s="19"/>
      <c r="G120" s="18"/>
      <c r="H120" s="19"/>
      <c r="I120" s="18"/>
      <c r="J120" s="19"/>
      <c r="K120" s="18"/>
      <c r="L120" s="18"/>
      <c r="M120" s="18"/>
      <c r="N120" s="18"/>
      <c r="O120" s="18"/>
      <c r="P120" s="19"/>
    </row>
    <row r="121" spans="1:16" x14ac:dyDescent="0.3">
      <c r="A121" s="17"/>
      <c r="B121" s="19"/>
      <c r="C121" s="19"/>
      <c r="D121" s="19"/>
      <c r="E121" s="19"/>
      <c r="F121" s="19"/>
      <c r="G121" s="18"/>
      <c r="H121" s="19"/>
      <c r="I121" s="18"/>
      <c r="J121" s="20"/>
      <c r="K121" s="18"/>
      <c r="L121" s="18"/>
      <c r="M121" s="18"/>
      <c r="N121" s="18"/>
      <c r="O121" s="18"/>
      <c r="P121" s="19"/>
    </row>
    <row r="122" spans="1:16" x14ac:dyDescent="0.3">
      <c r="A122" s="17"/>
      <c r="B122" s="19"/>
      <c r="C122" s="19"/>
      <c r="D122" s="19"/>
      <c r="E122" s="18"/>
      <c r="F122" s="19"/>
      <c r="G122" s="18"/>
      <c r="H122" s="18"/>
      <c r="I122" s="18"/>
      <c r="J122" s="19"/>
      <c r="K122" s="18"/>
      <c r="L122" s="18"/>
      <c r="M122" s="18"/>
      <c r="N122" s="18"/>
      <c r="O122" s="18"/>
      <c r="P122" s="19"/>
    </row>
    <row r="123" spans="1:16" x14ac:dyDescent="0.3">
      <c r="A123" s="17"/>
      <c r="B123" s="19"/>
      <c r="C123" s="19"/>
      <c r="D123" s="19"/>
      <c r="E123" s="19"/>
      <c r="F123" s="19"/>
      <c r="G123" s="18"/>
      <c r="H123" s="18"/>
      <c r="I123" s="18"/>
      <c r="J123" s="19"/>
      <c r="K123" s="18"/>
      <c r="L123" s="18"/>
      <c r="M123" s="18"/>
      <c r="N123" s="18"/>
      <c r="O123" s="18"/>
      <c r="P123" s="20"/>
    </row>
    <row r="124" spans="1:16" x14ac:dyDescent="0.3">
      <c r="A124" s="17"/>
      <c r="B124" s="19"/>
      <c r="C124" s="19"/>
      <c r="D124" s="19"/>
      <c r="E124" s="19"/>
      <c r="F124" s="19"/>
      <c r="G124" s="18"/>
      <c r="H124" s="18"/>
      <c r="I124" s="18"/>
      <c r="J124" s="19"/>
      <c r="K124" s="18"/>
      <c r="L124" s="18"/>
      <c r="M124" s="18"/>
      <c r="N124" s="18"/>
      <c r="O124" s="18"/>
      <c r="P124" s="19"/>
    </row>
    <row r="125" spans="1:16" x14ac:dyDescent="0.3">
      <c r="A125" s="17"/>
      <c r="B125" s="20"/>
      <c r="C125" s="19"/>
      <c r="D125" s="19"/>
      <c r="E125" s="19"/>
      <c r="F125" s="19"/>
      <c r="G125" s="18"/>
      <c r="H125" s="18"/>
      <c r="I125" s="18"/>
      <c r="J125" s="19"/>
      <c r="K125" s="18"/>
      <c r="L125" s="18"/>
      <c r="M125" s="18"/>
      <c r="N125" s="18"/>
      <c r="O125" s="18"/>
      <c r="P125" s="19"/>
    </row>
    <row r="126" spans="1:16" x14ac:dyDescent="0.3">
      <c r="A126" s="17"/>
      <c r="B126" s="19"/>
      <c r="C126" s="20"/>
      <c r="D126" s="19"/>
      <c r="E126" s="19"/>
      <c r="F126" s="19"/>
      <c r="G126" s="18"/>
      <c r="H126" s="18"/>
      <c r="I126" s="18"/>
      <c r="J126" s="19"/>
      <c r="K126" s="18"/>
      <c r="L126" s="18"/>
      <c r="M126" s="18"/>
      <c r="N126" s="18"/>
      <c r="O126" s="18"/>
      <c r="P126" s="20"/>
    </row>
    <row r="127" spans="1:16" x14ac:dyDescent="0.3">
      <c r="A127" s="17"/>
      <c r="B127" s="19"/>
      <c r="C127" s="20"/>
      <c r="D127" s="19"/>
      <c r="E127" s="19"/>
      <c r="F127" s="20"/>
      <c r="G127" s="18"/>
      <c r="H127" s="18"/>
      <c r="I127" s="18"/>
      <c r="J127" s="18"/>
      <c r="K127" s="18"/>
      <c r="L127" s="18"/>
      <c r="M127" s="18"/>
      <c r="N127" s="18"/>
      <c r="O127" s="18"/>
      <c r="P127" s="19"/>
    </row>
    <row r="128" spans="1:16" x14ac:dyDescent="0.3">
      <c r="A128" s="17"/>
      <c r="B128" s="19"/>
      <c r="C128" s="19"/>
      <c r="D128" s="19"/>
      <c r="E128" s="19"/>
      <c r="F128" s="19"/>
      <c r="G128" s="18"/>
      <c r="H128" s="18"/>
      <c r="I128" s="18"/>
      <c r="J128" s="18"/>
      <c r="K128" s="18"/>
      <c r="L128" s="18"/>
      <c r="M128" s="18"/>
      <c r="N128" s="18"/>
      <c r="O128" s="18"/>
      <c r="P128" s="19"/>
    </row>
    <row r="129" spans="1:16" x14ac:dyDescent="0.3">
      <c r="A129" s="17"/>
      <c r="B129" s="19"/>
      <c r="C129" s="19"/>
      <c r="D129" s="19"/>
      <c r="E129" s="19"/>
      <c r="F129" s="19"/>
      <c r="G129" s="18"/>
      <c r="H129" s="18"/>
      <c r="I129" s="18"/>
      <c r="J129" s="18"/>
      <c r="K129" s="18"/>
      <c r="L129" s="18"/>
      <c r="M129" s="18"/>
      <c r="N129" s="18"/>
      <c r="O129" s="18"/>
      <c r="P129" s="19"/>
    </row>
    <row r="130" spans="1:16" x14ac:dyDescent="0.3">
      <c r="A130" s="17"/>
      <c r="B130" s="19"/>
      <c r="C130" s="19"/>
      <c r="D130" s="19"/>
      <c r="E130" s="19"/>
      <c r="F130" s="19"/>
      <c r="G130" s="18"/>
      <c r="H130" s="18"/>
      <c r="I130" s="18"/>
      <c r="J130" s="19"/>
      <c r="K130" s="18"/>
      <c r="L130" s="18"/>
      <c r="M130" s="18"/>
      <c r="N130" s="18"/>
      <c r="O130" s="18"/>
      <c r="P130" s="19"/>
    </row>
    <row r="131" spans="1:16" x14ac:dyDescent="0.3">
      <c r="A131" s="17"/>
      <c r="B131" s="20"/>
      <c r="C131" s="19"/>
      <c r="D131" s="19"/>
      <c r="E131" s="19"/>
      <c r="F131" s="19"/>
      <c r="G131" s="18"/>
      <c r="H131" s="18"/>
      <c r="I131" s="18"/>
      <c r="J131" s="18"/>
      <c r="K131" s="18"/>
      <c r="L131" s="18"/>
      <c r="M131" s="18"/>
      <c r="N131" s="18"/>
      <c r="O131" s="18"/>
      <c r="P131" s="19"/>
    </row>
    <row r="132" spans="1:16" x14ac:dyDescent="0.3">
      <c r="A132" s="17"/>
      <c r="B132" s="19"/>
      <c r="C132" s="19"/>
      <c r="D132" s="19"/>
      <c r="E132" s="19"/>
      <c r="F132" s="19"/>
      <c r="G132" s="18"/>
      <c r="H132" s="18"/>
      <c r="I132" s="18"/>
      <c r="J132" s="18"/>
      <c r="K132" s="18"/>
      <c r="L132" s="18"/>
      <c r="M132" s="18"/>
      <c r="N132" s="18"/>
      <c r="O132" s="18"/>
      <c r="P132" s="19"/>
    </row>
    <row r="133" spans="1:16" x14ac:dyDescent="0.3">
      <c r="A133" s="17"/>
      <c r="B133" s="19"/>
      <c r="C133" s="19"/>
      <c r="D133" s="19"/>
      <c r="E133" s="19"/>
      <c r="F133" s="19"/>
      <c r="G133" s="18"/>
      <c r="H133" s="18"/>
      <c r="I133" s="18"/>
      <c r="J133" s="18"/>
      <c r="K133" s="18"/>
      <c r="L133" s="18"/>
      <c r="M133" s="18"/>
      <c r="N133" s="18"/>
      <c r="O133" s="18"/>
      <c r="P133" s="19"/>
    </row>
    <row r="134" spans="1:16" x14ac:dyDescent="0.3">
      <c r="A134" s="17"/>
      <c r="B134" s="19"/>
      <c r="C134" s="20"/>
      <c r="D134" s="19"/>
      <c r="E134" s="20"/>
      <c r="F134" s="19"/>
      <c r="G134" s="18"/>
      <c r="H134" s="18"/>
      <c r="I134" s="18"/>
      <c r="J134" s="19"/>
      <c r="K134" s="18"/>
      <c r="L134" s="18"/>
      <c r="M134" s="18"/>
      <c r="N134" s="18"/>
      <c r="O134" s="18"/>
      <c r="P134" s="19"/>
    </row>
    <row r="135" spans="1:16" x14ac:dyDescent="0.3">
      <c r="A135" s="17"/>
      <c r="B135" s="19"/>
      <c r="C135" s="19"/>
      <c r="D135" s="19"/>
      <c r="E135" s="19"/>
      <c r="F135" s="19"/>
      <c r="G135" s="18"/>
      <c r="H135" s="18"/>
      <c r="I135" s="18"/>
      <c r="J135" s="18"/>
      <c r="K135" s="18"/>
      <c r="L135" s="18"/>
      <c r="M135" s="18"/>
      <c r="N135" s="18"/>
      <c r="O135" s="18"/>
      <c r="P135" s="20"/>
    </row>
    <row r="136" spans="1:16" x14ac:dyDescent="0.3">
      <c r="A136" s="17"/>
      <c r="B136" s="19"/>
      <c r="C136" s="19"/>
      <c r="D136" s="20"/>
      <c r="E136" s="19"/>
      <c r="F136" s="19"/>
      <c r="G136" s="18"/>
      <c r="H136" s="18"/>
      <c r="I136" s="18"/>
      <c r="J136" s="18"/>
      <c r="K136" s="18"/>
      <c r="L136" s="18"/>
      <c r="M136" s="18"/>
      <c r="N136" s="18"/>
      <c r="O136" s="18"/>
      <c r="P136" s="19"/>
    </row>
    <row r="137" spans="1:16" x14ac:dyDescent="0.3">
      <c r="A137" s="17"/>
      <c r="B137" s="19"/>
      <c r="C137" s="19"/>
      <c r="D137" s="20"/>
      <c r="E137" s="19"/>
      <c r="F137" s="19"/>
      <c r="G137" s="18"/>
      <c r="H137" s="18"/>
      <c r="I137" s="18"/>
      <c r="J137" s="18"/>
      <c r="K137" s="18"/>
      <c r="L137" s="18"/>
      <c r="M137" s="18"/>
      <c r="N137" s="18"/>
      <c r="O137" s="18"/>
      <c r="P137" s="19"/>
    </row>
    <row r="138" spans="1:16" x14ac:dyDescent="0.3">
      <c r="A138" s="17"/>
      <c r="B138" s="19"/>
      <c r="C138" s="19"/>
      <c r="D138" s="19"/>
      <c r="E138" s="19"/>
      <c r="F138" s="18"/>
      <c r="G138" s="18"/>
      <c r="H138" s="18"/>
      <c r="I138" s="18"/>
      <c r="J138" s="20"/>
      <c r="K138" s="18"/>
      <c r="L138" s="18"/>
      <c r="M138" s="18"/>
      <c r="N138" s="18"/>
      <c r="O138" s="18"/>
      <c r="P138" s="19"/>
    </row>
    <row r="139" spans="1:16" x14ac:dyDescent="0.3">
      <c r="A139" s="17"/>
      <c r="B139" s="19"/>
      <c r="C139" s="20"/>
      <c r="D139" s="19"/>
      <c r="E139" s="19"/>
      <c r="F139" s="19"/>
      <c r="G139" s="18"/>
      <c r="H139" s="18"/>
      <c r="I139" s="18"/>
      <c r="J139" s="18"/>
      <c r="K139" s="18"/>
      <c r="L139" s="18"/>
      <c r="M139" s="18"/>
      <c r="N139" s="18"/>
      <c r="O139" s="18"/>
      <c r="P139" s="19"/>
    </row>
    <row r="140" spans="1:16" x14ac:dyDescent="0.3">
      <c r="A140" s="17"/>
      <c r="B140" s="19"/>
      <c r="C140" s="18"/>
      <c r="D140" s="19"/>
      <c r="E140" s="19"/>
      <c r="F140" s="19"/>
      <c r="G140" s="18"/>
      <c r="H140" s="18"/>
      <c r="I140" s="18"/>
      <c r="J140" s="19"/>
      <c r="K140" s="18"/>
      <c r="L140" s="18"/>
      <c r="M140" s="18"/>
      <c r="N140" s="18"/>
      <c r="O140" s="18"/>
      <c r="P140" s="20"/>
    </row>
    <row r="141" spans="1:16" x14ac:dyDescent="0.3">
      <c r="A141" s="17"/>
      <c r="B141" s="19"/>
      <c r="C141" s="19"/>
      <c r="D141" s="19"/>
      <c r="E141" s="19"/>
      <c r="F141" s="19"/>
      <c r="G141" s="18"/>
      <c r="H141" s="18"/>
      <c r="I141" s="18"/>
      <c r="J141" s="18"/>
      <c r="K141" s="18"/>
      <c r="L141" s="18"/>
      <c r="M141" s="18"/>
      <c r="N141" s="18"/>
      <c r="O141" s="18"/>
      <c r="P141" s="19"/>
    </row>
    <row r="142" spans="1:16" x14ac:dyDescent="0.3">
      <c r="A142" s="17"/>
      <c r="B142" s="19"/>
      <c r="C142" s="18"/>
      <c r="D142" s="20"/>
      <c r="E142" s="19"/>
      <c r="F142" s="19"/>
      <c r="G142" s="18"/>
      <c r="H142" s="18"/>
      <c r="I142" s="18"/>
      <c r="J142" s="19"/>
      <c r="K142" s="18"/>
      <c r="L142" s="18"/>
      <c r="M142" s="18"/>
      <c r="N142" s="18"/>
      <c r="O142" s="18"/>
      <c r="P142" s="19"/>
    </row>
    <row r="143" spans="1:16" x14ac:dyDescent="0.3">
      <c r="A143" s="17"/>
      <c r="B143" s="19"/>
      <c r="C143" s="18"/>
      <c r="D143" s="19"/>
      <c r="E143" s="19"/>
      <c r="F143" s="19"/>
      <c r="G143" s="18"/>
      <c r="H143" s="18"/>
      <c r="I143" s="18"/>
      <c r="J143" s="19"/>
      <c r="K143" s="18"/>
      <c r="L143" s="18"/>
      <c r="M143" s="18"/>
      <c r="N143" s="18"/>
      <c r="O143" s="18"/>
      <c r="P143" s="19"/>
    </row>
    <row r="144" spans="1:16" x14ac:dyDescent="0.3">
      <c r="A144" s="17"/>
      <c r="B144" s="19"/>
      <c r="C144" s="18"/>
      <c r="D144" s="19"/>
      <c r="E144" s="19"/>
      <c r="F144" s="20"/>
      <c r="G144" s="18"/>
      <c r="H144" s="18"/>
      <c r="I144" s="18"/>
      <c r="J144" s="19"/>
      <c r="K144" s="18"/>
      <c r="L144" s="18"/>
      <c r="M144" s="18"/>
      <c r="N144" s="18"/>
      <c r="O144" s="18"/>
      <c r="P144" s="19"/>
    </row>
    <row r="145" spans="1:16" x14ac:dyDescent="0.3">
      <c r="A145" s="17"/>
      <c r="B145" s="20"/>
      <c r="C145" s="18"/>
      <c r="D145" s="19"/>
      <c r="E145" s="19"/>
      <c r="F145" s="19"/>
      <c r="G145" s="18"/>
      <c r="H145" s="18"/>
      <c r="I145" s="18"/>
      <c r="J145" s="19"/>
      <c r="K145" s="18"/>
      <c r="L145" s="18"/>
      <c r="M145" s="18"/>
      <c r="N145" s="18"/>
      <c r="O145" s="18"/>
      <c r="P145" s="20"/>
    </row>
    <row r="146" spans="1:16" x14ac:dyDescent="0.3">
      <c r="A146" s="17"/>
      <c r="B146" s="19"/>
      <c r="C146" s="18"/>
      <c r="D146" s="20"/>
      <c r="E146" s="19"/>
      <c r="F146" s="19"/>
      <c r="G146" s="18"/>
      <c r="H146" s="18"/>
      <c r="I146" s="18"/>
      <c r="J146" s="19"/>
      <c r="K146" s="18"/>
      <c r="L146" s="18"/>
      <c r="M146" s="18"/>
      <c r="N146" s="18"/>
      <c r="O146" s="18"/>
      <c r="P146" s="19"/>
    </row>
    <row r="147" spans="1:16" x14ac:dyDescent="0.3">
      <c r="A147" s="17"/>
      <c r="B147" s="19"/>
      <c r="C147" s="18"/>
      <c r="D147" s="19"/>
      <c r="E147" s="19"/>
      <c r="F147" s="19"/>
      <c r="G147" s="18"/>
      <c r="H147" s="18"/>
      <c r="I147" s="18"/>
      <c r="J147" s="19"/>
      <c r="K147" s="18"/>
      <c r="L147" s="18"/>
      <c r="M147" s="18"/>
      <c r="N147" s="18"/>
      <c r="O147" s="18"/>
      <c r="P147" s="19"/>
    </row>
    <row r="148" spans="1:16" x14ac:dyDescent="0.3">
      <c r="A148" s="17"/>
      <c r="B148" s="19"/>
      <c r="C148" s="18"/>
      <c r="D148" s="19"/>
      <c r="E148" s="19"/>
      <c r="F148" s="19"/>
      <c r="G148" s="18"/>
      <c r="H148" s="18"/>
      <c r="I148" s="18"/>
      <c r="J148" s="19"/>
      <c r="K148" s="18"/>
      <c r="L148" s="18"/>
      <c r="M148" s="18"/>
      <c r="N148" s="18"/>
      <c r="O148" s="18"/>
      <c r="P148" s="20"/>
    </row>
    <row r="149" spans="1:16" x14ac:dyDescent="0.3">
      <c r="A149" s="17"/>
      <c r="B149" s="19"/>
      <c r="C149" s="18"/>
      <c r="D149" s="19"/>
      <c r="E149" s="20"/>
      <c r="F149" s="19"/>
      <c r="G149" s="18"/>
      <c r="H149" s="18"/>
      <c r="I149" s="18"/>
      <c r="J149" s="19"/>
      <c r="K149" s="18"/>
      <c r="L149" s="18"/>
      <c r="M149" s="18"/>
      <c r="N149" s="18"/>
      <c r="O149" s="18"/>
      <c r="P149" s="19"/>
    </row>
    <row r="150" spans="1:16" x14ac:dyDescent="0.3">
      <c r="A150" s="17"/>
      <c r="B150" s="19"/>
      <c r="C150" s="18"/>
      <c r="D150" s="19"/>
      <c r="E150" s="19"/>
      <c r="F150" s="19"/>
      <c r="G150" s="18"/>
      <c r="H150" s="18"/>
      <c r="I150" s="18"/>
      <c r="J150" s="19"/>
      <c r="K150" s="18"/>
      <c r="L150" s="18"/>
      <c r="M150" s="18"/>
      <c r="N150" s="18"/>
      <c r="O150" s="18"/>
      <c r="P150" s="19"/>
    </row>
    <row r="151" spans="1:16" x14ac:dyDescent="0.3">
      <c r="A151" s="17"/>
      <c r="B151" s="19"/>
      <c r="C151" s="18"/>
      <c r="D151" s="20"/>
      <c r="E151" s="19"/>
      <c r="F151" s="19"/>
      <c r="G151" s="18"/>
      <c r="H151" s="18"/>
      <c r="I151" s="18"/>
      <c r="J151" s="18"/>
      <c r="K151" s="18"/>
      <c r="L151" s="18"/>
      <c r="M151" s="18"/>
      <c r="N151" s="18"/>
      <c r="O151" s="19"/>
      <c r="P151" s="19"/>
    </row>
  </sheetData>
  <mergeCells count="9">
    <mergeCell ref="AY33:BA35"/>
    <mergeCell ref="A12:B18"/>
    <mergeCell ref="A20:B20"/>
    <mergeCell ref="O45:P48"/>
    <mergeCell ref="A1:B1"/>
    <mergeCell ref="A11:B11"/>
    <mergeCell ref="AK40:AM51"/>
    <mergeCell ref="Q1:T1"/>
    <mergeCell ref="E1:P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388F-20A4-4CC6-896A-11B4D7672DED}">
  <dimension ref="A1:G18"/>
  <sheetViews>
    <sheetView workbookViewId="0">
      <selection sqref="A1:B1"/>
    </sheetView>
  </sheetViews>
  <sheetFormatPr defaultRowHeight="14.4" x14ac:dyDescent="0.3"/>
  <cols>
    <col min="1" max="1" width="18.109375" bestFit="1" customWidth="1"/>
    <col min="2" max="2" width="16.33203125" bestFit="1" customWidth="1"/>
    <col min="4" max="4" width="29.6640625" style="1" bestFit="1" customWidth="1"/>
    <col min="5" max="5" width="14.77734375" style="1" bestFit="1" customWidth="1"/>
    <col min="6" max="7" width="14.77734375" bestFit="1" customWidth="1"/>
  </cols>
  <sheetData>
    <row r="1" spans="1:7" x14ac:dyDescent="0.3">
      <c r="A1" s="32" t="s">
        <v>74</v>
      </c>
      <c r="B1" s="32"/>
      <c r="E1" s="1">
        <v>2021</v>
      </c>
      <c r="F1" s="1">
        <v>2022</v>
      </c>
      <c r="G1" s="1">
        <v>2023</v>
      </c>
    </row>
    <row r="2" spans="1:7" x14ac:dyDescent="0.3">
      <c r="A2" s="1" t="s">
        <v>0</v>
      </c>
      <c r="B2" s="10">
        <v>190.76</v>
      </c>
      <c r="D2" s="1" t="s">
        <v>75</v>
      </c>
      <c r="E2" s="2">
        <v>297392000000</v>
      </c>
      <c r="F2" s="2">
        <v>316199000000</v>
      </c>
      <c r="G2" s="2">
        <v>298085000000</v>
      </c>
    </row>
    <row r="3" spans="1:7" x14ac:dyDescent="0.3">
      <c r="A3" s="1" t="s">
        <v>36</v>
      </c>
      <c r="B3" s="2">
        <v>15634232000</v>
      </c>
      <c r="D3" s="1" t="s">
        <v>76</v>
      </c>
      <c r="E3" s="2">
        <v>68425000000</v>
      </c>
      <c r="F3" s="2">
        <v>78129000000</v>
      </c>
      <c r="G3" s="2">
        <v>85200000000</v>
      </c>
    </row>
    <row r="4" spans="1:7" x14ac:dyDescent="0.3">
      <c r="A4" s="1" t="s">
        <v>1</v>
      </c>
      <c r="B4" s="2">
        <f>B2*B3</f>
        <v>2982386096320</v>
      </c>
      <c r="D4" s="5" t="s">
        <v>42</v>
      </c>
      <c r="E4" s="2">
        <f>E2+E3</f>
        <v>365817000000</v>
      </c>
      <c r="F4" s="2">
        <f>F2+F3</f>
        <v>394328000000</v>
      </c>
      <c r="G4" s="2">
        <f>G2+G3</f>
        <v>383285000000</v>
      </c>
    </row>
    <row r="5" spans="1:7" x14ac:dyDescent="0.3">
      <c r="A5" s="1" t="s">
        <v>2</v>
      </c>
      <c r="B5" s="2">
        <v>28408000000</v>
      </c>
      <c r="D5" s="1" t="s">
        <v>77</v>
      </c>
      <c r="E5" s="2">
        <v>192266000000</v>
      </c>
      <c r="F5" s="2">
        <v>201471000000</v>
      </c>
      <c r="G5" s="2">
        <v>189282000000</v>
      </c>
    </row>
    <row r="6" spans="1:7" x14ac:dyDescent="0.3">
      <c r="A6" s="1" t="s">
        <v>3</v>
      </c>
      <c r="B6" s="2">
        <f>46699000000+8158000000+7216000000+98071000000</f>
        <v>160144000000</v>
      </c>
      <c r="D6" s="1" t="s">
        <v>78</v>
      </c>
      <c r="E6" s="2">
        <v>20715000000</v>
      </c>
      <c r="F6" s="2">
        <v>22075000000</v>
      </c>
      <c r="G6" s="2">
        <v>24855000000</v>
      </c>
    </row>
    <row r="7" spans="1:7" x14ac:dyDescent="0.3">
      <c r="A7" s="1" t="s">
        <v>4</v>
      </c>
      <c r="B7" s="2">
        <f>B4-B5+B6</f>
        <v>3114122096320</v>
      </c>
      <c r="D7" s="5" t="s">
        <v>17</v>
      </c>
      <c r="E7" s="2">
        <f>E5+E6</f>
        <v>212981000000</v>
      </c>
      <c r="F7" s="2">
        <f>F5+F6</f>
        <v>223546000000</v>
      </c>
      <c r="G7" s="2">
        <f>G5+G6</f>
        <v>214137000000</v>
      </c>
    </row>
    <row r="8" spans="1:7" x14ac:dyDescent="0.3">
      <c r="A8" s="1"/>
      <c r="B8" s="2"/>
      <c r="D8" s="1" t="s">
        <v>79</v>
      </c>
      <c r="E8" s="4">
        <f>E7/E4</f>
        <v>0.58220640374832222</v>
      </c>
      <c r="F8" s="4">
        <f>F7/F4</f>
        <v>0.56690369438639909</v>
      </c>
      <c r="G8" s="4">
        <f>G7/G4</f>
        <v>0.55868870422792438</v>
      </c>
    </row>
    <row r="9" spans="1:7" x14ac:dyDescent="0.3">
      <c r="B9" s="2"/>
      <c r="F9" s="1"/>
      <c r="G9" s="1"/>
    </row>
    <row r="10" spans="1:7" x14ac:dyDescent="0.3">
      <c r="D10" s="1" t="s">
        <v>80</v>
      </c>
      <c r="F10" s="1"/>
      <c r="G10" s="1"/>
    </row>
    <row r="11" spans="1:7" x14ac:dyDescent="0.3">
      <c r="D11" s="1" t="s">
        <v>81</v>
      </c>
      <c r="E11" s="2">
        <v>191973000000</v>
      </c>
      <c r="F11" s="2">
        <v>205489000000</v>
      </c>
      <c r="G11" s="2">
        <v>200583000000</v>
      </c>
    </row>
    <row r="12" spans="1:7" x14ac:dyDescent="0.3">
      <c r="D12" s="1" t="s">
        <v>82</v>
      </c>
      <c r="E12" s="2">
        <v>35190000000</v>
      </c>
      <c r="F12" s="2">
        <v>40177000000</v>
      </c>
      <c r="G12" s="2">
        <v>29357000000</v>
      </c>
    </row>
    <row r="13" spans="1:7" x14ac:dyDescent="0.3">
      <c r="D13" s="1" t="s">
        <v>83</v>
      </c>
      <c r="E13" s="2">
        <v>31862000000</v>
      </c>
      <c r="F13" s="2">
        <v>29292000000</v>
      </c>
      <c r="G13" s="2">
        <v>28300000000</v>
      </c>
    </row>
    <row r="14" spans="1:7" x14ac:dyDescent="0.3">
      <c r="D14" s="1" t="s">
        <v>84</v>
      </c>
      <c r="E14" s="2">
        <v>38367000000</v>
      </c>
      <c r="F14" s="2">
        <v>41241000000</v>
      </c>
      <c r="G14" s="2">
        <v>39845000000</v>
      </c>
    </row>
    <row r="15" spans="1:7" x14ac:dyDescent="0.3">
      <c r="D15" s="1" t="s">
        <v>63</v>
      </c>
      <c r="E15" s="2">
        <v>239900000</v>
      </c>
      <c r="F15" s="2">
        <v>237100000</v>
      </c>
      <c r="G15" s="2">
        <v>223600000</v>
      </c>
    </row>
    <row r="16" spans="1:7" x14ac:dyDescent="0.3">
      <c r="D16" s="1" t="s">
        <v>85</v>
      </c>
      <c r="E16" s="11">
        <f>E11/E15</f>
        <v>800.22092538557729</v>
      </c>
      <c r="F16" s="11">
        <f>F11/F15</f>
        <v>866.67650780261488</v>
      </c>
      <c r="G16" s="11">
        <f>G11/G15</f>
        <v>897.06171735241503</v>
      </c>
    </row>
    <row r="18" spans="5:5" x14ac:dyDescent="0.3">
      <c r="E18" s="30"/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1810.HK</vt:lpstr>
      <vt:lpstr>Competitors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Anghinoni</dc:creator>
  <cp:lastModifiedBy>Giovanni Anghinoni</cp:lastModifiedBy>
  <dcterms:created xsi:type="dcterms:W3CDTF">2015-06-05T18:17:20Z</dcterms:created>
  <dcterms:modified xsi:type="dcterms:W3CDTF">2024-04-09T09:04:33Z</dcterms:modified>
</cp:coreProperties>
</file>