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_amez\Desktop\TERMOQUIMICA\REDLICH KWONG\"/>
    </mc:Choice>
  </mc:AlternateContent>
  <xr:revisionPtr revIDLastSave="0" documentId="13_ncr:1_{353D4AAD-922B-4C45-8954-CAC0A8F21A7B}" xr6:coauthVersionLast="47" xr6:coauthVersionMax="47" xr10:uidLastSave="{00000000-0000-0000-0000-000000000000}"/>
  <bookViews>
    <workbookView xWindow="-120" yWindow="-120" windowWidth="29040" windowHeight="15720" xr2:uid="{37122CDA-BC94-408A-95C6-6537EAD91C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1" l="1"/>
  <c r="M57" i="1"/>
  <c r="A65" i="1"/>
  <c r="G65" i="1"/>
  <c r="A62" i="1"/>
  <c r="S54" i="1"/>
  <c r="G59" i="1"/>
  <c r="M54" i="1"/>
  <c r="A59" i="1"/>
  <c r="A56" i="1"/>
  <c r="A22" i="1"/>
  <c r="K13" i="1"/>
  <c r="L13" i="1"/>
  <c r="G13" i="1"/>
  <c r="J13" i="1"/>
  <c r="I13" i="1"/>
  <c r="F35" i="1"/>
  <c r="B35" i="1"/>
  <c r="C35" i="1" s="1"/>
  <c r="A35" i="1"/>
  <c r="A44" i="1"/>
  <c r="A47" i="1"/>
  <c r="A25" i="1"/>
  <c r="F22" i="1"/>
  <c r="C13" i="1"/>
  <c r="M6" i="1"/>
  <c r="F44" i="1" l="1"/>
  <c r="H35" i="1"/>
  <c r="G62" i="1" s="1"/>
  <c r="I35" i="1"/>
  <c r="G35" i="1"/>
  <c r="G56" i="1" s="1"/>
  <c r="H13" i="1"/>
  <c r="L35" i="1" l="1"/>
  <c r="K35" i="1"/>
  <c r="I40" i="1" s="1"/>
  <c r="J18" i="1"/>
  <c r="I18" i="1"/>
  <c r="J40" i="1" l="1"/>
  <c r="A40" i="1" s="1"/>
  <c r="A18" i="1"/>
  <c r="S57" i="1" l="1"/>
</calcChain>
</file>

<file path=xl/sharedStrings.xml><?xml version="1.0" encoding="utf-8"?>
<sst xmlns="http://schemas.openxmlformats.org/spreadsheetml/2006/main" count="88" uniqueCount="50">
  <si>
    <t xml:space="preserve">PROPIEDADES RESIDUALES HR Y SR </t>
  </si>
  <si>
    <t>R (bar*m3/kmol*K</t>
  </si>
  <si>
    <t>PROPUESTA DE VOLUMEN SEGÚN GASES IDEALES:</t>
  </si>
  <si>
    <t>V (m3/kmol)</t>
  </si>
  <si>
    <t>CALCULO DE LAS PROPIEDADES RESIDUALES EN EL ESTADO 1</t>
  </si>
  <si>
    <t>SISTEMA</t>
  </si>
  <si>
    <t>Tc (K)</t>
  </si>
  <si>
    <t>Pc (atm)</t>
  </si>
  <si>
    <t>Pc (bar)</t>
  </si>
  <si>
    <t>PM</t>
  </si>
  <si>
    <t>P(bar)</t>
  </si>
  <si>
    <t>T(K)</t>
  </si>
  <si>
    <t>a</t>
  </si>
  <si>
    <t>b</t>
  </si>
  <si>
    <t>COMPROBACION DE LAS IGUALDADES CUBICAS PARA VERIFICAR SI SE APROXIMAN A CERO:</t>
  </si>
  <si>
    <t>A</t>
  </si>
  <si>
    <t>B</t>
  </si>
  <si>
    <t>C</t>
  </si>
  <si>
    <t>D</t>
  </si>
  <si>
    <t>FACTOR DE COMPRESIBILIDAD PARA APROXIMAR LA ECUACION A CERO:</t>
  </si>
  <si>
    <t>ECUACION CUBICA DE Z:</t>
  </si>
  <si>
    <t>CONSTANTES DE LA ECUACION:</t>
  </si>
  <si>
    <t>APROXIMACION A CERO:</t>
  </si>
  <si>
    <t>CALCULO DE LAS PROPIEDADES RESIDUALES EN EL ESTADO 2</t>
  </si>
  <si>
    <t>CALCULO DE LAS PROPIEDADES RESIDUALES H y S</t>
  </si>
  <si>
    <t xml:space="preserve">PROPIEDADES RESIDUALES PARA EL ESTADO 1 </t>
  </si>
  <si>
    <t>PROPIEDADES RESIDUALES PARA EL ESTADO 2</t>
  </si>
  <si>
    <t>CAMBIO DE ENTALPIA RESIDUAL (KJ/kmol)</t>
  </si>
  <si>
    <t>ENTALPIA RESIDUAL H (bar*m3/kmol)</t>
  </si>
  <si>
    <t>CAMBIO DE ENTROPIA RESIDUAL (KJ/kmol*K)</t>
  </si>
  <si>
    <t>ENTALPIA RESIDUAL H (kJ/kmol)</t>
  </si>
  <si>
    <t>ENTROPIA RESIDUAL S (bar*m3/kmol* K)</t>
  </si>
  <si>
    <t>ENTALPIA RESIDUAL  S (kJ/kmol* K)</t>
  </si>
  <si>
    <t>ECUACION DE ESTADO DE REDLICH KWONG</t>
  </si>
  <si>
    <t>ECUACION DE ESTADO DE REDLICH-KWONG:</t>
  </si>
  <si>
    <t>1. SACAR  Tc y Pc DE DATA BANK</t>
  </si>
  <si>
    <t>Pr</t>
  </si>
  <si>
    <t>Tr</t>
  </si>
  <si>
    <t>A*Z3 -Z2 +(A-B-B^2)* Z- (A*B)=0</t>
  </si>
  <si>
    <t>(A-B-B^2)</t>
  </si>
  <si>
    <t xml:space="preserve"> (A*B)</t>
  </si>
  <si>
    <t>CALCULO DEL VOLUMEN A PARTIR DE Z:</t>
  </si>
  <si>
    <t>CALCULO DE LA DENSIDAD A PARTIR DEL VOLUMEN:</t>
  </si>
  <si>
    <t>VOLUMEN (m3/kmol)</t>
  </si>
  <si>
    <t>DENSIDAD (kg/m3)</t>
  </si>
  <si>
    <t>% DE DESVIACION DE LA IDEALIDAD CON RESPECTO A Z:</t>
  </si>
  <si>
    <t>PARA COMPORTAMIENTOS PROXIMOS A LA IDEALIDAD</t>
  </si>
  <si>
    <t>Z PARA APROXIMAR LA ECUACION A CERO:</t>
  </si>
  <si>
    <t>CAMBIO DE ENTALPIA RESIDUAL (atm*L/mol)</t>
  </si>
  <si>
    <t>CAMBIO DE ENTROPIA RESIDUAL (atm*L/mol*K)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</si>
</sst>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2" borderId="1" applyFont="0">
      <alignment horizontal="center"/>
    </xf>
    <xf numFmtId="0" fontId="3" fillId="3" borderId="1"/>
  </cellStyleXfs>
  <cellXfs count="26">
    <xf numFmtId="0" fontId="0" fillId="0" borderId="0" xfId="0"/>
    <xf numFmtId="0" fontId="1" fillId="2" borderId="1" xfId="1" applyFont="1">
      <alignment horizontal="center"/>
    </xf>
    <xf numFmtId="0" fontId="0" fillId="2" borderId="1" xfId="1" applyFont="1">
      <alignment horizontal="center"/>
    </xf>
    <xf numFmtId="0" fontId="3" fillId="2" borderId="1" xfId="1" applyFont="1">
      <alignment horizontal="center"/>
    </xf>
    <xf numFmtId="0" fontId="3" fillId="3" borderId="1" xfId="2" applyAlignment="1">
      <alignment horizontal="center"/>
    </xf>
    <xf numFmtId="0" fontId="0" fillId="2" borderId="1" xfId="1" applyFont="1" applyAlignment="1"/>
    <xf numFmtId="0" fontId="1" fillId="2" borderId="1" xfId="1" applyFont="1">
      <alignment horizontal="center"/>
    </xf>
    <xf numFmtId="0" fontId="1" fillId="4" borderId="8" xfId="1" applyFont="1" applyFill="1" applyBorder="1" applyAlignment="1">
      <alignment horizontal="center" vertical="center"/>
    </xf>
    <xf numFmtId="0" fontId="1" fillId="4" borderId="0" xfId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1" xfId="1" applyFont="1" applyAlignment="1">
      <alignment horizontal="center" vertical="center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  <xf numFmtId="0" fontId="1" fillId="2" borderId="2" xfId="1" applyFont="1" applyBorder="1">
      <alignment horizontal="center"/>
    </xf>
    <xf numFmtId="0" fontId="1" fillId="2" borderId="4" xfId="1" applyFont="1" applyBorder="1">
      <alignment horizontal="center"/>
    </xf>
    <xf numFmtId="0" fontId="0" fillId="2" borderId="1" xfId="1" applyFont="1">
      <alignment horizontal="center"/>
    </xf>
    <xf numFmtId="0" fontId="2" fillId="2" borderId="1" xfId="1" applyFont="1">
      <alignment horizontal="center"/>
    </xf>
    <xf numFmtId="0" fontId="0" fillId="2" borderId="2" xfId="1" applyFont="1" applyBorder="1">
      <alignment horizontal="center"/>
    </xf>
    <xf numFmtId="0" fontId="0" fillId="2" borderId="4" xfId="1" applyFont="1" applyBorder="1">
      <alignment horizontal="center"/>
    </xf>
    <xf numFmtId="164" fontId="2" fillId="2" borderId="1" xfId="1" applyNumberFormat="1" applyFont="1">
      <alignment horizontal="center"/>
    </xf>
    <xf numFmtId="0" fontId="4" fillId="2" borderId="5" xfId="1" applyFont="1" applyBorder="1" applyAlignment="1">
      <alignment horizontal="center" vertical="center"/>
    </xf>
    <xf numFmtId="0" fontId="4" fillId="2" borderId="0" xfId="1" applyFont="1" applyBorder="1" applyAlignment="1">
      <alignment horizontal="center" vertical="center"/>
    </xf>
    <xf numFmtId="0" fontId="1" fillId="2" borderId="3" xfId="1" applyFont="1" applyBorder="1">
      <alignment horizontal="center"/>
    </xf>
    <xf numFmtId="164" fontId="0" fillId="2" borderId="1" xfId="1" applyNumberFormat="1" applyFont="1">
      <alignment horizontal="center"/>
    </xf>
  </cellXfs>
  <cellStyles count="3">
    <cellStyle name="Normal" xfId="0" builtinId="0"/>
    <cellStyle name="Style 1" xfId="1" xr:uid="{A5B08E98-9E51-434F-AF0D-3A1109657F1B}"/>
    <cellStyle name="Style 2" xfId="2" xr:uid="{B3E141FC-3C68-4F58-8544-5BB4D01B22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BEB0-9FB8-4959-9115-6CB4641E0603}">
  <dimension ref="A1:W65"/>
  <sheetViews>
    <sheetView tabSelected="1" topLeftCell="A43" zoomScale="98" zoomScaleNormal="98" workbookViewId="0">
      <selection activeCell="J36" sqref="J36"/>
    </sheetView>
  </sheetViews>
  <sheetFormatPr baseColWidth="10" defaultColWidth="9.140625" defaultRowHeight="15" x14ac:dyDescent="0.25"/>
  <sheetData>
    <row r="1" spans="1:17" x14ac:dyDescent="0.25">
      <c r="G1" s="11" t="s">
        <v>0</v>
      </c>
      <c r="H1" s="11"/>
      <c r="I1" s="11"/>
      <c r="J1" s="11"/>
      <c r="K1" s="11"/>
      <c r="L1" s="11"/>
      <c r="M1" s="11"/>
      <c r="N1" s="11"/>
    </row>
    <row r="2" spans="1:17" x14ac:dyDescent="0.25">
      <c r="G2" s="11"/>
      <c r="H2" s="11"/>
      <c r="I2" s="11"/>
      <c r="J2" s="11"/>
      <c r="K2" s="11"/>
      <c r="L2" s="11"/>
      <c r="M2" s="11"/>
      <c r="N2" s="11"/>
    </row>
    <row r="3" spans="1:17" x14ac:dyDescent="0.25">
      <c r="A3" s="11" t="s">
        <v>33</v>
      </c>
      <c r="B3" s="11"/>
      <c r="C3" s="11"/>
      <c r="D3" s="11"/>
      <c r="E3" s="11"/>
      <c r="F3" s="11"/>
      <c r="J3" s="6" t="s">
        <v>1</v>
      </c>
      <c r="K3" s="6"/>
    </row>
    <row r="4" spans="1:17" x14ac:dyDescent="0.25">
      <c r="A4" s="11"/>
      <c r="B4" s="11"/>
      <c r="C4" s="11"/>
      <c r="D4" s="11"/>
      <c r="E4" s="11"/>
      <c r="F4" s="11"/>
      <c r="J4" s="17">
        <v>8.3140000000000006E-2</v>
      </c>
      <c r="K4" s="17"/>
      <c r="M4" s="6" t="s">
        <v>2</v>
      </c>
      <c r="N4" s="6"/>
      <c r="O4" s="6"/>
      <c r="P4" s="6"/>
      <c r="Q4" s="6"/>
    </row>
    <row r="5" spans="1:17" x14ac:dyDescent="0.25">
      <c r="M5" s="6" t="s">
        <v>3</v>
      </c>
      <c r="N5" s="6"/>
      <c r="O5" s="6"/>
      <c r="P5" s="6"/>
      <c r="Q5" s="6"/>
    </row>
    <row r="6" spans="1:17" ht="18.75" x14ac:dyDescent="0.3">
      <c r="A6" s="11" t="s">
        <v>4</v>
      </c>
      <c r="B6" s="11"/>
      <c r="C6" s="11"/>
      <c r="D6" s="11"/>
      <c r="E6" s="11"/>
      <c r="F6" s="11"/>
      <c r="G6" s="11"/>
      <c r="M6" s="18">
        <f>(J4*E13)/D13</f>
        <v>3.2669322477177398</v>
      </c>
      <c r="N6" s="18"/>
      <c r="O6" s="18"/>
      <c r="P6" s="18"/>
      <c r="Q6" s="18"/>
    </row>
    <row r="7" spans="1:17" x14ac:dyDescent="0.25">
      <c r="A7" s="11"/>
      <c r="B7" s="11"/>
      <c r="C7" s="11"/>
      <c r="D7" s="11"/>
      <c r="E7" s="11"/>
      <c r="F7" s="11"/>
      <c r="G7" s="11"/>
    </row>
    <row r="9" spans="1:17" x14ac:dyDescent="0.25">
      <c r="A9" s="9" t="s">
        <v>46</v>
      </c>
      <c r="B9" s="9"/>
      <c r="C9" s="9"/>
      <c r="D9" s="9"/>
      <c r="E9" s="10"/>
    </row>
    <row r="10" spans="1:17" x14ac:dyDescent="0.25">
      <c r="A10" s="6" t="s">
        <v>34</v>
      </c>
      <c r="B10" s="6"/>
      <c r="C10" s="6"/>
      <c r="D10" s="6"/>
      <c r="E10" s="6"/>
    </row>
    <row r="11" spans="1:17" x14ac:dyDescent="0.25">
      <c r="A11" s="5" t="s">
        <v>35</v>
      </c>
      <c r="B11" s="5"/>
      <c r="C11" s="5"/>
      <c r="D11" s="6" t="s">
        <v>5</v>
      </c>
      <c r="E11" s="6"/>
    </row>
    <row r="12" spans="1:17" ht="15.75" x14ac:dyDescent="0.25">
      <c r="A12" s="4" t="s">
        <v>6</v>
      </c>
      <c r="B12" s="4" t="s">
        <v>7</v>
      </c>
      <c r="C12" s="3" t="s">
        <v>8</v>
      </c>
      <c r="D12" s="4" t="s">
        <v>10</v>
      </c>
      <c r="E12" s="4" t="s">
        <v>11</v>
      </c>
      <c r="F12" s="4" t="s">
        <v>9</v>
      </c>
      <c r="G12" s="1" t="s">
        <v>12</v>
      </c>
      <c r="H12" s="1" t="s">
        <v>13</v>
      </c>
      <c r="I12" s="1" t="s">
        <v>36</v>
      </c>
      <c r="J12" s="1" t="s">
        <v>37</v>
      </c>
      <c r="K12" s="1" t="s">
        <v>15</v>
      </c>
      <c r="L12" s="1" t="s">
        <v>16</v>
      </c>
    </row>
    <row r="13" spans="1:17" ht="15.75" x14ac:dyDescent="0.25">
      <c r="A13" s="4">
        <v>369.8</v>
      </c>
      <c r="B13" s="4">
        <v>41.9</v>
      </c>
      <c r="C13" s="3">
        <f>B13/0.986923</f>
        <v>42.455186473514146</v>
      </c>
      <c r="D13" s="4">
        <v>10.1325</v>
      </c>
      <c r="E13" s="4">
        <v>398.15</v>
      </c>
      <c r="F13" s="4">
        <v>44.1</v>
      </c>
      <c r="G13" s="2">
        <f>(0.42748*(J4^2)*(A13^2.5))/(C13)</f>
        <v>183.03003188484425</v>
      </c>
      <c r="H13" s="2">
        <f>(0.08664*J4*A13)/(C13)</f>
        <v>6.2742904303147981E-2</v>
      </c>
      <c r="I13" s="2">
        <f>D13/C13</f>
        <v>0.23866341998806681</v>
      </c>
      <c r="J13" s="2">
        <f>E13/A13</f>
        <v>1.0766630611141157</v>
      </c>
      <c r="K13" s="2">
        <f>(0.42748*I13)/(J13^2.5)</f>
        <v>8.4820753718117842E-2</v>
      </c>
      <c r="L13" s="2">
        <f>(0.08664*I13)/J13</f>
        <v>1.9205450112098222E-2</v>
      </c>
    </row>
    <row r="15" spans="1:17" x14ac:dyDescent="0.25">
      <c r="A15" s="6" t="s">
        <v>20</v>
      </c>
      <c r="B15" s="6"/>
      <c r="C15" s="6"/>
      <c r="D15" s="6"/>
      <c r="E15" s="6"/>
      <c r="F15" s="6"/>
      <c r="G15" s="6" t="s">
        <v>21</v>
      </c>
      <c r="H15" s="6"/>
      <c r="I15" s="6"/>
      <c r="J15" s="6"/>
      <c r="K15" s="6"/>
    </row>
    <row r="16" spans="1:17" x14ac:dyDescent="0.25">
      <c r="A16" s="6" t="s">
        <v>38</v>
      </c>
      <c r="B16" s="6"/>
      <c r="C16" s="6"/>
      <c r="D16" s="6"/>
      <c r="E16" s="6"/>
      <c r="F16" s="6"/>
      <c r="G16" s="1" t="s">
        <v>15</v>
      </c>
      <c r="H16" s="1" t="s">
        <v>16</v>
      </c>
      <c r="I16" s="1" t="s">
        <v>17</v>
      </c>
      <c r="J16" s="15" t="s">
        <v>18</v>
      </c>
      <c r="K16" s="16"/>
    </row>
    <row r="17" spans="1:19" x14ac:dyDescent="0.25">
      <c r="A17" s="6" t="s">
        <v>22</v>
      </c>
      <c r="B17" s="6"/>
      <c r="C17" s="6"/>
      <c r="D17" s="6"/>
      <c r="E17" s="6"/>
      <c r="F17" s="6"/>
      <c r="G17" s="2">
        <v>1</v>
      </c>
      <c r="H17" s="2">
        <v>-1</v>
      </c>
      <c r="I17" s="2" t="s">
        <v>39</v>
      </c>
      <c r="J17" s="19" t="s">
        <v>40</v>
      </c>
      <c r="K17" s="20"/>
    </row>
    <row r="18" spans="1:19" x14ac:dyDescent="0.25">
      <c r="A18" s="17">
        <f>(K23^3)+(H18*K23^2) + (I18*K23) + J18</f>
        <v>1.1424264615073065E-4</v>
      </c>
      <c r="B18" s="17"/>
      <c r="C18" s="17"/>
      <c r="D18" s="17"/>
      <c r="E18" s="17"/>
      <c r="F18" s="17"/>
      <c r="G18" s="2">
        <v>1</v>
      </c>
      <c r="H18" s="2">
        <v>-1</v>
      </c>
      <c r="I18" s="2">
        <f>K13-L13-(L13^2)</f>
        <v>6.5246454292011327E-2</v>
      </c>
      <c r="J18" s="19">
        <f>-1*K13*L13</f>
        <v>-1.629020754003882E-3</v>
      </c>
      <c r="K18" s="20"/>
    </row>
    <row r="20" spans="1:19" x14ac:dyDescent="0.25">
      <c r="A20" s="6" t="s">
        <v>41</v>
      </c>
      <c r="B20" s="6"/>
      <c r="C20" s="6"/>
      <c r="D20" s="6"/>
      <c r="F20" s="6" t="s">
        <v>42</v>
      </c>
      <c r="G20" s="6"/>
      <c r="H20" s="6"/>
      <c r="I20" s="6"/>
      <c r="K20" s="7" t="s">
        <v>14</v>
      </c>
      <c r="L20" s="7"/>
      <c r="M20" s="7"/>
      <c r="N20" s="7"/>
      <c r="O20" s="7"/>
      <c r="P20" s="7"/>
      <c r="Q20" s="7"/>
      <c r="R20" s="7"/>
      <c r="S20" s="7"/>
    </row>
    <row r="21" spans="1:19" x14ac:dyDescent="0.25">
      <c r="A21" s="6" t="s">
        <v>43</v>
      </c>
      <c r="B21" s="6"/>
      <c r="C21" s="6"/>
      <c r="D21" s="6"/>
      <c r="F21" s="6" t="s">
        <v>44</v>
      </c>
      <c r="G21" s="6"/>
      <c r="H21" s="6"/>
      <c r="I21" s="6"/>
      <c r="K21" s="8"/>
      <c r="L21" s="8"/>
      <c r="M21" s="8"/>
      <c r="N21" s="8"/>
      <c r="O21" s="8"/>
      <c r="P21" s="8"/>
      <c r="Q21" s="8"/>
      <c r="R21" s="8"/>
      <c r="S21" s="8"/>
    </row>
    <row r="22" spans="1:19" ht="18.75" x14ac:dyDescent="0.3">
      <c r="A22" s="21">
        <f>(K23*J4*E13)/D13</f>
        <v>3.044780854872934</v>
      </c>
      <c r="B22" s="21"/>
      <c r="C22" s="21"/>
      <c r="D22" s="21"/>
      <c r="F22" s="21">
        <f>F13/A22</f>
        <v>14.483801003090713</v>
      </c>
      <c r="G22" s="21"/>
      <c r="H22" s="21"/>
      <c r="I22" s="21"/>
      <c r="K22" s="12" t="s">
        <v>47</v>
      </c>
      <c r="L22" s="13"/>
      <c r="M22" s="13"/>
      <c r="N22" s="13"/>
      <c r="O22" s="13"/>
      <c r="P22" s="13"/>
      <c r="Q22" s="14"/>
    </row>
    <row r="23" spans="1:19" ht="15.75" customHeight="1" x14ac:dyDescent="0.25">
      <c r="K23" s="12">
        <v>0.93200000000000005</v>
      </c>
      <c r="L23" s="13"/>
      <c r="M23" s="13"/>
      <c r="N23" s="13"/>
      <c r="O23" s="13"/>
      <c r="P23" s="13"/>
      <c r="Q23" s="14"/>
    </row>
    <row r="24" spans="1:19" x14ac:dyDescent="0.25">
      <c r="A24" s="6" t="s">
        <v>45</v>
      </c>
      <c r="B24" s="6"/>
      <c r="C24" s="6"/>
      <c r="D24" s="6"/>
      <c r="E24" s="6"/>
      <c r="F24" s="6"/>
      <c r="G24" s="6"/>
    </row>
    <row r="25" spans="1:19" ht="18.75" x14ac:dyDescent="0.3">
      <c r="A25" s="18">
        <f>((1-K23)/1)*100</f>
        <v>6.7999999999999954</v>
      </c>
      <c r="B25" s="18"/>
      <c r="C25" s="18"/>
      <c r="D25" s="18"/>
      <c r="E25" s="18"/>
      <c r="F25" s="18"/>
      <c r="G25" s="18"/>
    </row>
    <row r="28" spans="1:19" x14ac:dyDescent="0.25">
      <c r="A28" s="11" t="s">
        <v>23</v>
      </c>
      <c r="B28" s="11"/>
      <c r="C28" s="11"/>
      <c r="D28" s="11"/>
      <c r="E28" s="11"/>
      <c r="F28" s="11"/>
      <c r="G28" s="11"/>
    </row>
    <row r="29" spans="1:19" x14ac:dyDescent="0.25">
      <c r="A29" s="11"/>
      <c r="B29" s="11"/>
      <c r="C29" s="11"/>
      <c r="D29" s="11"/>
      <c r="E29" s="11"/>
      <c r="F29" s="11"/>
      <c r="G29" s="11"/>
    </row>
    <row r="31" spans="1:19" x14ac:dyDescent="0.25">
      <c r="A31" s="9" t="s">
        <v>46</v>
      </c>
      <c r="B31" s="9"/>
      <c r="C31" s="9"/>
      <c r="D31" s="9"/>
      <c r="E31" s="10"/>
    </row>
    <row r="32" spans="1:19" x14ac:dyDescent="0.25">
      <c r="A32" s="6" t="s">
        <v>34</v>
      </c>
      <c r="B32" s="6"/>
      <c r="C32" s="6"/>
      <c r="D32" s="6"/>
      <c r="E32" s="6"/>
    </row>
    <row r="33" spans="1:19" x14ac:dyDescent="0.25">
      <c r="A33" s="5" t="s">
        <v>35</v>
      </c>
      <c r="B33" s="5"/>
      <c r="C33" s="5"/>
      <c r="D33" s="6" t="s">
        <v>5</v>
      </c>
      <c r="E33" s="6"/>
    </row>
    <row r="34" spans="1:19" ht="15.75" x14ac:dyDescent="0.25">
      <c r="A34" s="4" t="s">
        <v>6</v>
      </c>
      <c r="B34" s="4" t="s">
        <v>7</v>
      </c>
      <c r="C34" s="3" t="s">
        <v>8</v>
      </c>
      <c r="D34" s="4" t="s">
        <v>10</v>
      </c>
      <c r="E34" s="4" t="s">
        <v>11</v>
      </c>
      <c r="F34" s="4" t="s">
        <v>9</v>
      </c>
      <c r="G34" s="1" t="s">
        <v>12</v>
      </c>
      <c r="H34" s="1" t="s">
        <v>13</v>
      </c>
      <c r="I34" s="1" t="s">
        <v>36</v>
      </c>
      <c r="J34" s="1" t="s">
        <v>37</v>
      </c>
      <c r="K34" s="1" t="s">
        <v>15</v>
      </c>
      <c r="L34" s="1" t="s">
        <v>16</v>
      </c>
    </row>
    <row r="35" spans="1:19" ht="15.75" x14ac:dyDescent="0.25">
      <c r="A35" s="4">
        <f>A13</f>
        <v>369.8</v>
      </c>
      <c r="B35" s="4">
        <f>B13</f>
        <v>41.9</v>
      </c>
      <c r="C35" s="3">
        <f>B35/0.986923</f>
        <v>42.455186473514146</v>
      </c>
      <c r="D35" s="4">
        <v>30.397500000000001</v>
      </c>
      <c r="E35" s="4">
        <v>473.15</v>
      </c>
      <c r="F35" s="4">
        <f>F13</f>
        <v>44.1</v>
      </c>
      <c r="G35" s="2">
        <f>(0.42748*(J4^2)*(A35^2.5))/(C35)</f>
        <v>183.03003188484425</v>
      </c>
      <c r="H35" s="2">
        <f>(0.08664*J4*A35)/(C35)</f>
        <v>6.2742904303147981E-2</v>
      </c>
      <c r="I35" s="2">
        <f>D35/C35</f>
        <v>0.71599025996420051</v>
      </c>
      <c r="J35" s="2">
        <f>E35/A35</f>
        <v>1.2794753921038398</v>
      </c>
      <c r="K35" s="2">
        <f>(0.42748*I35)/(J35^2.5)</f>
        <v>0.16528866466193343</v>
      </c>
      <c r="L35" s="2">
        <f>(0.08664*I35)/J35</f>
        <v>4.8483461664156659E-2</v>
      </c>
    </row>
    <row r="37" spans="1:19" x14ac:dyDescent="0.25">
      <c r="A37" s="6" t="s">
        <v>20</v>
      </c>
      <c r="B37" s="6"/>
      <c r="C37" s="6"/>
      <c r="D37" s="6"/>
      <c r="E37" s="6"/>
      <c r="F37" s="6"/>
      <c r="G37" s="6" t="s">
        <v>21</v>
      </c>
      <c r="H37" s="6"/>
      <c r="I37" s="6"/>
      <c r="J37" s="6"/>
      <c r="K37" s="6"/>
    </row>
    <row r="38" spans="1:19" x14ac:dyDescent="0.25">
      <c r="A38" s="6" t="s">
        <v>38</v>
      </c>
      <c r="B38" s="6"/>
      <c r="C38" s="6"/>
      <c r="D38" s="6"/>
      <c r="E38" s="6"/>
      <c r="F38" s="6"/>
      <c r="G38" s="1" t="s">
        <v>15</v>
      </c>
      <c r="H38" s="1" t="s">
        <v>16</v>
      </c>
      <c r="I38" s="1" t="s">
        <v>17</v>
      </c>
      <c r="J38" s="15" t="s">
        <v>18</v>
      </c>
      <c r="K38" s="16"/>
    </row>
    <row r="39" spans="1:19" x14ac:dyDescent="0.25">
      <c r="A39" s="6" t="s">
        <v>22</v>
      </c>
      <c r="B39" s="6"/>
      <c r="C39" s="6"/>
      <c r="D39" s="6"/>
      <c r="E39" s="6"/>
      <c r="F39" s="6"/>
      <c r="G39" s="2">
        <v>1</v>
      </c>
      <c r="H39" s="2">
        <v>-1</v>
      </c>
      <c r="I39" s="2" t="s">
        <v>39</v>
      </c>
      <c r="J39" s="19" t="s">
        <v>40</v>
      </c>
      <c r="K39" s="20"/>
    </row>
    <row r="40" spans="1:19" x14ac:dyDescent="0.25">
      <c r="A40" s="17">
        <f>(K45^3)+(H40*K45^2) + (I40*K45) + J40</f>
        <v>-6.6681411050976969E-7</v>
      </c>
      <c r="B40" s="17"/>
      <c r="C40" s="17"/>
      <c r="D40" s="17"/>
      <c r="E40" s="17"/>
      <c r="F40" s="17"/>
      <c r="G40" s="2">
        <v>1</v>
      </c>
      <c r="H40" s="2">
        <v>-1</v>
      </c>
      <c r="I40" s="2">
        <f>K35-L35-(L35^2)</f>
        <v>0.11445455694283703</v>
      </c>
      <c r="J40" s="19">
        <f>-1*K35*L35</f>
        <v>-8.0137666366564952E-3</v>
      </c>
      <c r="K40" s="20"/>
    </row>
    <row r="42" spans="1:19" x14ac:dyDescent="0.25">
      <c r="A42" s="6" t="s">
        <v>41</v>
      </c>
      <c r="B42" s="6"/>
      <c r="C42" s="6"/>
      <c r="D42" s="6"/>
      <c r="F42" s="6" t="s">
        <v>42</v>
      </c>
      <c r="G42" s="6"/>
      <c r="H42" s="6"/>
      <c r="I42" s="6"/>
      <c r="K42" s="7" t="s">
        <v>14</v>
      </c>
      <c r="L42" s="7"/>
      <c r="M42" s="7"/>
      <c r="N42" s="7"/>
      <c r="O42" s="7"/>
      <c r="P42" s="7"/>
      <c r="Q42" s="7"/>
      <c r="R42" s="7"/>
      <c r="S42" s="7"/>
    </row>
    <row r="43" spans="1:19" x14ac:dyDescent="0.25">
      <c r="A43" s="6" t="s">
        <v>43</v>
      </c>
      <c r="B43" s="6"/>
      <c r="C43" s="6"/>
      <c r="D43" s="6"/>
      <c r="F43" s="6" t="s">
        <v>44</v>
      </c>
      <c r="G43" s="6"/>
      <c r="H43" s="6"/>
      <c r="I43" s="6"/>
      <c r="K43" s="8"/>
      <c r="L43" s="8"/>
      <c r="M43" s="8"/>
      <c r="N43" s="8"/>
      <c r="O43" s="8"/>
      <c r="P43" s="8"/>
      <c r="Q43" s="8"/>
      <c r="R43" s="8"/>
      <c r="S43" s="8"/>
    </row>
    <row r="44" spans="1:19" ht="18.75" x14ac:dyDescent="0.3">
      <c r="A44" s="21">
        <f>(K45*J4*E35)/D35</f>
        <v>1.1392381665356033</v>
      </c>
      <c r="B44" s="21"/>
      <c r="C44" s="21"/>
      <c r="D44" s="21"/>
      <c r="F44" s="21">
        <f>F35/A44</f>
        <v>38.71007950348703</v>
      </c>
      <c r="G44" s="21"/>
      <c r="H44" s="21"/>
      <c r="I44" s="21"/>
      <c r="K44" s="12" t="s">
        <v>19</v>
      </c>
      <c r="L44" s="13"/>
      <c r="M44" s="13"/>
      <c r="N44" s="13"/>
      <c r="O44" s="13"/>
      <c r="P44" s="13"/>
      <c r="Q44" s="14"/>
    </row>
    <row r="45" spans="1:19" ht="15.75" x14ac:dyDescent="0.25">
      <c r="K45" s="12">
        <v>0.88032600000000005</v>
      </c>
      <c r="L45" s="13"/>
      <c r="M45" s="13"/>
      <c r="N45" s="13"/>
      <c r="O45" s="13"/>
      <c r="P45" s="13"/>
      <c r="Q45" s="14"/>
    </row>
    <row r="46" spans="1:19" x14ac:dyDescent="0.25">
      <c r="A46" s="6" t="s">
        <v>45</v>
      </c>
      <c r="B46" s="6"/>
      <c r="C46" s="6"/>
      <c r="D46" s="6"/>
      <c r="E46" s="6"/>
      <c r="F46" s="6"/>
      <c r="G46" s="6"/>
    </row>
    <row r="47" spans="1:19" ht="15" customHeight="1" x14ac:dyDescent="0.3">
      <c r="A47" s="18">
        <f>((1-K45)/1)*100</f>
        <v>11.967399999999994</v>
      </c>
      <c r="B47" s="18"/>
      <c r="C47" s="18"/>
      <c r="D47" s="18"/>
      <c r="E47" s="18"/>
      <c r="F47" s="18"/>
      <c r="G47" s="18"/>
    </row>
    <row r="48" spans="1:19" ht="15" customHeight="1" x14ac:dyDescent="0.25"/>
    <row r="50" spans="1:23" x14ac:dyDescent="0.25">
      <c r="A50" s="22" t="s">
        <v>24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spans="1:23" x14ac:dyDescent="0.25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3" spans="1:23" x14ac:dyDescent="0.25">
      <c r="A53" s="6" t="s">
        <v>25</v>
      </c>
      <c r="B53" s="6"/>
      <c r="C53" s="6"/>
      <c r="D53" s="6"/>
      <c r="E53" s="6"/>
      <c r="G53" s="6" t="s">
        <v>26</v>
      </c>
      <c r="H53" s="6"/>
      <c r="I53" s="6"/>
      <c r="J53" s="6"/>
      <c r="K53" s="6"/>
      <c r="M53" s="6" t="s">
        <v>27</v>
      </c>
      <c r="N53" s="6"/>
      <c r="O53" s="6"/>
      <c r="P53" s="6"/>
      <c r="Q53" s="6"/>
      <c r="S53" s="6" t="s">
        <v>48</v>
      </c>
      <c r="T53" s="6"/>
      <c r="U53" s="6"/>
      <c r="V53" s="6"/>
      <c r="W53" s="6"/>
    </row>
    <row r="54" spans="1:23" x14ac:dyDescent="0.25">
      <c r="M54" s="25">
        <f>A59-G59</f>
        <v>-876.89135489895091</v>
      </c>
      <c r="N54" s="17"/>
      <c r="O54" s="17"/>
      <c r="P54" s="17"/>
      <c r="Q54" s="17"/>
      <c r="S54" s="25">
        <f>(M54*0.082)/0.0083144</f>
        <v>-8648.2597784222526</v>
      </c>
      <c r="T54" s="17"/>
      <c r="U54" s="17"/>
      <c r="V54" s="17"/>
      <c r="W54" s="17"/>
    </row>
    <row r="55" spans="1:23" x14ac:dyDescent="0.25">
      <c r="A55" s="15" t="s">
        <v>28</v>
      </c>
      <c r="B55" s="24"/>
      <c r="C55" s="24"/>
      <c r="D55" s="24"/>
      <c r="E55" s="16"/>
      <c r="G55" s="15" t="s">
        <v>28</v>
      </c>
      <c r="H55" s="24"/>
      <c r="I55" s="24"/>
      <c r="J55" s="24"/>
      <c r="K55" s="16"/>
    </row>
    <row r="56" spans="1:23" x14ac:dyDescent="0.25">
      <c r="A56" s="25">
        <f>(1-K23+(((1.5*G13)/(H13*$J$4*(POWER(E13,1.5))))*(LN(1+(H13/A22)))))*$J$4*E13</f>
        <v>6.7239343484888181</v>
      </c>
      <c r="B56" s="25"/>
      <c r="C56" s="25"/>
      <c r="D56" s="25"/>
      <c r="E56" s="25"/>
      <c r="G56" s="25">
        <f>(1-K45+(((1.5*G35)/(H35*$J$4*(POWER(E35,1.5))))*(LN(1+(H35/A44)))))*$J$4*E35</f>
        <v>15.492350099518923</v>
      </c>
      <c r="H56" s="25"/>
      <c r="I56" s="25"/>
      <c r="J56" s="25"/>
      <c r="K56" s="25"/>
      <c r="M56" s="15" t="s">
        <v>29</v>
      </c>
      <c r="N56" s="24"/>
      <c r="O56" s="24"/>
      <c r="P56" s="24"/>
      <c r="Q56" s="16"/>
      <c r="S56" s="15" t="s">
        <v>49</v>
      </c>
      <c r="T56" s="24"/>
      <c r="U56" s="24"/>
      <c r="V56" s="24"/>
      <c r="W56" s="16"/>
    </row>
    <row r="57" spans="1:23" x14ac:dyDescent="0.25">
      <c r="M57" s="25">
        <f>A65-G65</f>
        <v>-1.1574534331488684</v>
      </c>
      <c r="N57" s="17"/>
      <c r="O57" s="17"/>
      <c r="P57" s="17"/>
      <c r="Q57" s="17"/>
      <c r="S57" s="25">
        <f>(M57*0.082)/0.0083144</f>
        <v>-11.415277292192728</v>
      </c>
      <c r="T57" s="17"/>
      <c r="U57" s="17"/>
      <c r="V57" s="17"/>
      <c r="W57" s="17"/>
    </row>
    <row r="58" spans="1:23" x14ac:dyDescent="0.25">
      <c r="A58" s="15" t="s">
        <v>30</v>
      </c>
      <c r="B58" s="24"/>
      <c r="C58" s="24"/>
      <c r="D58" s="24"/>
      <c r="E58" s="16"/>
      <c r="G58" s="15" t="s">
        <v>30</v>
      </c>
      <c r="H58" s="24"/>
      <c r="I58" s="24"/>
      <c r="J58" s="24"/>
      <c r="K58" s="16"/>
    </row>
    <row r="59" spans="1:23" x14ac:dyDescent="0.25">
      <c r="A59" s="25">
        <f>(A56*8.314472)/0.08314</f>
        <v>672.43160777421838</v>
      </c>
      <c r="B59" s="25"/>
      <c r="C59" s="25"/>
      <c r="D59" s="25"/>
      <c r="E59" s="25"/>
      <c r="G59" s="25">
        <f>(G56*8.314472)/0.08314</f>
        <v>1549.3229626731693</v>
      </c>
      <c r="H59" s="25"/>
      <c r="I59" s="25"/>
      <c r="J59" s="25"/>
      <c r="K59" s="25"/>
    </row>
    <row r="61" spans="1:23" x14ac:dyDescent="0.25">
      <c r="A61" s="15" t="s">
        <v>31</v>
      </c>
      <c r="B61" s="24"/>
      <c r="C61" s="24"/>
      <c r="D61" s="24"/>
      <c r="E61" s="16"/>
      <c r="G61" s="15" t="s">
        <v>31</v>
      </c>
      <c r="H61" s="24"/>
      <c r="I61" s="24"/>
      <c r="J61" s="24"/>
      <c r="K61" s="16"/>
    </row>
    <row r="62" spans="1:23" x14ac:dyDescent="0.25">
      <c r="A62" s="25">
        <f>-(LN(K23*(1-(H13/A22)))-((G13/(2*H13*$J$4*(POWER(E13,1.5))))*(LN(1+(H13/A22)))))*$J$4</f>
        <v>1.1330871209247478E-2</v>
      </c>
      <c r="B62" s="25"/>
      <c r="C62" s="25"/>
      <c r="D62" s="25"/>
      <c r="E62" s="25"/>
      <c r="G62" s="25">
        <f>-(LN(K45*(1-(H35/A44)))-((G35/(2*H35*$J$4*(POWER(E35,1.5))))*(LN(1+(H35/A44)))))*$J$4</f>
        <v>2.2904848697941425E-2</v>
      </c>
      <c r="H62" s="25"/>
      <c r="I62" s="25"/>
      <c r="J62" s="25"/>
      <c r="K62" s="25"/>
    </row>
    <row r="64" spans="1:23" x14ac:dyDescent="0.25">
      <c r="A64" s="15" t="s">
        <v>32</v>
      </c>
      <c r="B64" s="24"/>
      <c r="C64" s="24"/>
      <c r="D64" s="24"/>
      <c r="E64" s="16"/>
      <c r="G64" s="15" t="s">
        <v>32</v>
      </c>
      <c r="H64" s="24"/>
      <c r="I64" s="24"/>
      <c r="J64" s="24"/>
      <c r="K64" s="16"/>
    </row>
    <row r="65" spans="1:11" x14ac:dyDescent="0.25">
      <c r="A65" s="25">
        <f>(A62*8.3144)/0.08314</f>
        <v>1.1331416355805535</v>
      </c>
      <c r="B65" s="25"/>
      <c r="C65" s="25"/>
      <c r="D65" s="25"/>
      <c r="E65" s="25"/>
      <c r="G65" s="25">
        <f>(G62*8.3144)/0.08314</f>
        <v>2.2905950687294219</v>
      </c>
      <c r="H65" s="25"/>
      <c r="I65" s="25"/>
      <c r="J65" s="25"/>
      <c r="K65" s="25"/>
    </row>
  </sheetData>
  <mergeCells count="80">
    <mergeCell ref="S53:W53"/>
    <mergeCell ref="S54:W54"/>
    <mergeCell ref="S56:W56"/>
    <mergeCell ref="S57:W57"/>
    <mergeCell ref="A62:E62"/>
    <mergeCell ref="G62:K62"/>
    <mergeCell ref="A64:E64"/>
    <mergeCell ref="G64:K64"/>
    <mergeCell ref="A65:E65"/>
    <mergeCell ref="G65:K65"/>
    <mergeCell ref="A61:E61"/>
    <mergeCell ref="G61:K61"/>
    <mergeCell ref="M53:Q53"/>
    <mergeCell ref="M54:Q54"/>
    <mergeCell ref="A55:E55"/>
    <mergeCell ref="G55:K55"/>
    <mergeCell ref="A56:E56"/>
    <mergeCell ref="G56:K56"/>
    <mergeCell ref="M56:Q56"/>
    <mergeCell ref="A53:E53"/>
    <mergeCell ref="G53:K53"/>
    <mergeCell ref="M57:Q57"/>
    <mergeCell ref="A58:E58"/>
    <mergeCell ref="G58:K58"/>
    <mergeCell ref="A59:E59"/>
    <mergeCell ref="G59:K59"/>
    <mergeCell ref="A50:K51"/>
    <mergeCell ref="A43:D43"/>
    <mergeCell ref="F43:I43"/>
    <mergeCell ref="A44:D44"/>
    <mergeCell ref="F44:I44"/>
    <mergeCell ref="A46:G46"/>
    <mergeCell ref="A47:G47"/>
    <mergeCell ref="K44:Q44"/>
    <mergeCell ref="K45:Q45"/>
    <mergeCell ref="G37:K37"/>
    <mergeCell ref="A38:F38"/>
    <mergeCell ref="J38:K38"/>
    <mergeCell ref="A39:F39"/>
    <mergeCell ref="A40:F40"/>
    <mergeCell ref="J39:K39"/>
    <mergeCell ref="J40:K40"/>
    <mergeCell ref="A17:F17"/>
    <mergeCell ref="J17:K17"/>
    <mergeCell ref="A18:F18"/>
    <mergeCell ref="J18:K18"/>
    <mergeCell ref="A20:D20"/>
    <mergeCell ref="F20:I20"/>
    <mergeCell ref="A6:G7"/>
    <mergeCell ref="G1:N2"/>
    <mergeCell ref="A15:F15"/>
    <mergeCell ref="G15:K15"/>
    <mergeCell ref="K22:Q22"/>
    <mergeCell ref="A16:F16"/>
    <mergeCell ref="J16:K16"/>
    <mergeCell ref="A3:F4"/>
    <mergeCell ref="A9:E9"/>
    <mergeCell ref="J3:K3"/>
    <mergeCell ref="M4:Q4"/>
    <mergeCell ref="A10:E10"/>
    <mergeCell ref="J4:K4"/>
    <mergeCell ref="M5:Q5"/>
    <mergeCell ref="D11:E11"/>
    <mergeCell ref="M6:Q6"/>
    <mergeCell ref="A42:D42"/>
    <mergeCell ref="F42:I42"/>
    <mergeCell ref="K42:S43"/>
    <mergeCell ref="A31:E31"/>
    <mergeCell ref="K20:S21"/>
    <mergeCell ref="A32:E32"/>
    <mergeCell ref="D33:E33"/>
    <mergeCell ref="K23:Q23"/>
    <mergeCell ref="A21:D21"/>
    <mergeCell ref="F21:I21"/>
    <mergeCell ref="A22:D22"/>
    <mergeCell ref="F22:I22"/>
    <mergeCell ref="A24:G24"/>
    <mergeCell ref="A25:G25"/>
    <mergeCell ref="A28:G29"/>
    <mergeCell ref="A37:F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 Salus</dc:creator>
  <cp:lastModifiedBy>liberSalus1</cp:lastModifiedBy>
  <dcterms:created xsi:type="dcterms:W3CDTF">2022-06-25T18:12:18Z</dcterms:created>
  <dcterms:modified xsi:type="dcterms:W3CDTF">2022-07-27T17:41:34Z</dcterms:modified>
</cp:coreProperties>
</file>