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Girisha Jain\Downloads\"/>
    </mc:Choice>
  </mc:AlternateContent>
  <xr:revisionPtr revIDLastSave="0" documentId="13_ncr:1_{2DA42245-CBB8-4DE5-BE52-95A59A3B15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3_AllData" sheetId="1" r:id="rId1"/>
    <sheet name="2023_Score" sheetId="2" r:id="rId2"/>
    <sheet name="2022_AllData" sheetId="3" r:id="rId3"/>
    <sheet name="Innovation2024" sheetId="14" r:id="rId4"/>
    <sheet name="IndianStudentMobility" sheetId="13" r:id="rId5"/>
  </sheets>
  <definedNames>
    <definedName name="ExternalData_1" localSheetId="4" hidden="1">IndianStudentMobility!#REF!</definedName>
    <definedName name="ExternalData_2" localSheetId="4" hidden="1">IndianStudentMobility!#REF!</definedName>
    <definedName name="ExternalData_3" localSheetId="4" hidden="1">IndianStudentMobility!#REF!</definedName>
    <definedName name="ExternalData_4" localSheetId="4" hidden="1">IndianStudentMobility!#REF!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6d4580c4-95cd-4a0e-8459-41c28a9f40e0" name="Table001  Page 1" connection="Query - Table001 (Page 1)"/>
          <x15:modelTable id="Table002  Page 2_05900af3-30b3-4ca8-ac37-9523036a875c" name="Table002  Page 2" connection="Query - Table002 (Page 2)"/>
          <x15:modelTable id="Table003  Page 3_42598076-9188-4a1c-9ca0-422cada92daf" name="Table003  Page 3" connection="Query - Table003 (Page 3)"/>
          <x15:modelTable id="Page001_8629b90f-c97d-4df3-b709-638376c3bdea" name="Page001" connection="Query - Page001"/>
          <x15:modelTable id="Page002_fe0f7f4c-9789-4edf-97a7-0dceb536aa39" name="Page002" connection="Query - Page002"/>
          <x15:modelTable id="Page003_5057077d-e0a0-462b-a607-295e3997a79d" name="Page003" connection="Query - Page0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2" i="14"/>
  <c r="F70" i="13" l="1"/>
  <c r="G70" i="13"/>
  <c r="H70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2" i="13"/>
  <c r="AW7" i="1"/>
  <c r="AW10" i="1"/>
  <c r="AW14" i="1"/>
  <c r="AW19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3" i="3"/>
  <c r="AD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P6" i="1"/>
  <c r="P13" i="1"/>
  <c r="P18" i="1"/>
  <c r="P22" i="1"/>
  <c r="P23" i="1"/>
  <c r="P25" i="1"/>
  <c r="P26" i="1"/>
  <c r="P30" i="1"/>
  <c r="P37" i="1"/>
  <c r="P42" i="1"/>
  <c r="P46" i="1"/>
  <c r="P47" i="1"/>
  <c r="P48" i="1"/>
  <c r="P49" i="1"/>
  <c r="P52" i="1"/>
  <c r="P54" i="1"/>
  <c r="P55" i="1"/>
  <c r="P60" i="1"/>
  <c r="P61" i="1"/>
  <c r="P63" i="1"/>
  <c r="P64" i="1"/>
  <c r="P66" i="1"/>
  <c r="P71" i="1"/>
  <c r="P72" i="1"/>
  <c r="P73" i="1"/>
  <c r="P74" i="1"/>
  <c r="P85" i="1"/>
  <c r="P90" i="1"/>
  <c r="P92" i="1"/>
  <c r="P96" i="1"/>
  <c r="P97" i="1"/>
  <c r="P101" i="1"/>
  <c r="P102" i="1"/>
  <c r="W102" i="1"/>
  <c r="V102" i="1"/>
  <c r="U102" i="1"/>
  <c r="T102" i="1"/>
  <c r="R102" i="1"/>
  <c r="Q102" i="1"/>
  <c r="F102" i="1"/>
  <c r="A102" i="1"/>
  <c r="W101" i="1"/>
  <c r="V101" i="1"/>
  <c r="U101" i="1"/>
  <c r="T101" i="1"/>
  <c r="R101" i="1"/>
  <c r="Q101" i="1"/>
  <c r="F101" i="1"/>
  <c r="A101" i="1"/>
  <c r="W100" i="1"/>
  <c r="P100" i="1" s="1"/>
  <c r="V100" i="1"/>
  <c r="U100" i="1"/>
  <c r="T100" i="1"/>
  <c r="R100" i="1"/>
  <c r="Q100" i="1"/>
  <c r="F100" i="1"/>
  <c r="A100" i="1"/>
  <c r="W99" i="1"/>
  <c r="P99" i="1" s="1"/>
  <c r="V99" i="1"/>
  <c r="U99" i="1"/>
  <c r="T99" i="1"/>
  <c r="R99" i="1"/>
  <c r="Q99" i="1"/>
  <c r="F99" i="1"/>
  <c r="A99" i="1"/>
  <c r="W98" i="1"/>
  <c r="P98" i="1" s="1"/>
  <c r="V98" i="1"/>
  <c r="U98" i="1"/>
  <c r="T98" i="1"/>
  <c r="R98" i="1"/>
  <c r="Q98" i="1"/>
  <c r="F98" i="1"/>
  <c r="A98" i="1"/>
  <c r="W97" i="1"/>
  <c r="V97" i="1"/>
  <c r="U97" i="1"/>
  <c r="T97" i="1"/>
  <c r="R97" i="1"/>
  <c r="Q97" i="1"/>
  <c r="F97" i="1"/>
  <c r="A97" i="1"/>
  <c r="W96" i="1"/>
  <c r="V96" i="1"/>
  <c r="U96" i="1"/>
  <c r="T96" i="1"/>
  <c r="R96" i="1"/>
  <c r="Q96" i="1"/>
  <c r="F96" i="1"/>
  <c r="A96" i="1"/>
  <c r="W95" i="1"/>
  <c r="P95" i="1" s="1"/>
  <c r="V95" i="1"/>
  <c r="U95" i="1"/>
  <c r="T95" i="1"/>
  <c r="R95" i="1"/>
  <c r="Q95" i="1"/>
  <c r="F95" i="1"/>
  <c r="A95" i="1"/>
  <c r="W94" i="1"/>
  <c r="P94" i="1" s="1"/>
  <c r="V94" i="1"/>
  <c r="U94" i="1"/>
  <c r="T94" i="1"/>
  <c r="R94" i="1"/>
  <c r="Q94" i="1"/>
  <c r="F94" i="1"/>
  <c r="A94" i="1"/>
  <c r="W93" i="1"/>
  <c r="P93" i="1" s="1"/>
  <c r="V93" i="1"/>
  <c r="U93" i="1"/>
  <c r="T93" i="1"/>
  <c r="S93" i="1"/>
  <c r="R93" i="1"/>
  <c r="Q93" i="1"/>
  <c r="F93" i="1"/>
  <c r="A93" i="1"/>
  <c r="F92" i="1"/>
  <c r="A92" i="1"/>
  <c r="V91" i="1"/>
  <c r="U91" i="1"/>
  <c r="T91" i="1"/>
  <c r="P91" i="1" s="1"/>
  <c r="R91" i="1"/>
  <c r="Q91" i="1"/>
  <c r="F91" i="1"/>
  <c r="A91" i="1"/>
  <c r="W90" i="1"/>
  <c r="V90" i="1"/>
  <c r="U90" i="1"/>
  <c r="T90" i="1"/>
  <c r="R90" i="1"/>
  <c r="Q90" i="1"/>
  <c r="F90" i="1"/>
  <c r="A90" i="1"/>
  <c r="W89" i="1"/>
  <c r="V89" i="1"/>
  <c r="U89" i="1"/>
  <c r="T89" i="1"/>
  <c r="P89" i="1" s="1"/>
  <c r="R89" i="1"/>
  <c r="Q89" i="1"/>
  <c r="F89" i="1"/>
  <c r="A89" i="1"/>
  <c r="W88" i="1"/>
  <c r="P88" i="1" s="1"/>
  <c r="V88" i="1"/>
  <c r="U88" i="1"/>
  <c r="T88" i="1"/>
  <c r="R88" i="1"/>
  <c r="Q88" i="1"/>
  <c r="F88" i="1"/>
  <c r="A88" i="1"/>
  <c r="W87" i="1"/>
  <c r="P87" i="1" s="1"/>
  <c r="V87" i="1"/>
  <c r="U87" i="1"/>
  <c r="T87" i="1"/>
  <c r="R87" i="1"/>
  <c r="Q87" i="1"/>
  <c r="F87" i="1"/>
  <c r="A87" i="1"/>
  <c r="W86" i="1"/>
  <c r="P86" i="1" s="1"/>
  <c r="V86" i="1"/>
  <c r="U86" i="1"/>
  <c r="T86" i="1"/>
  <c r="R86" i="1"/>
  <c r="Q86" i="1"/>
  <c r="F86" i="1"/>
  <c r="A86" i="1"/>
  <c r="Q85" i="1"/>
  <c r="F85" i="1"/>
  <c r="A85" i="1"/>
  <c r="W84" i="1"/>
  <c r="V84" i="1"/>
  <c r="U84" i="1"/>
  <c r="T84" i="1"/>
  <c r="P84" i="1" s="1"/>
  <c r="R84" i="1"/>
  <c r="Q84" i="1"/>
  <c r="F84" i="1"/>
  <c r="A84" i="1"/>
  <c r="W83" i="1"/>
  <c r="P83" i="1" s="1"/>
  <c r="V83" i="1"/>
  <c r="U83" i="1"/>
  <c r="T83" i="1"/>
  <c r="R83" i="1"/>
  <c r="Q83" i="1"/>
  <c r="F83" i="1"/>
  <c r="A83" i="1"/>
  <c r="W82" i="1"/>
  <c r="P82" i="1" s="1"/>
  <c r="V82" i="1"/>
  <c r="U82" i="1"/>
  <c r="T82" i="1"/>
  <c r="R82" i="1"/>
  <c r="Q82" i="1"/>
  <c r="F82" i="1"/>
  <c r="A82" i="1"/>
  <c r="W81" i="1"/>
  <c r="P81" i="1" s="1"/>
  <c r="V81" i="1"/>
  <c r="U81" i="1"/>
  <c r="T81" i="1"/>
  <c r="R81" i="1"/>
  <c r="Q81" i="1"/>
  <c r="F81" i="1"/>
  <c r="A81" i="1"/>
  <c r="W80" i="1"/>
  <c r="P80" i="1" s="1"/>
  <c r="V80" i="1"/>
  <c r="U80" i="1"/>
  <c r="T80" i="1"/>
  <c r="S80" i="1"/>
  <c r="R80" i="1"/>
  <c r="Q80" i="1"/>
  <c r="F80" i="1"/>
  <c r="A80" i="1"/>
  <c r="W79" i="1"/>
  <c r="P79" i="1" s="1"/>
  <c r="V79" i="1"/>
  <c r="U79" i="1"/>
  <c r="T79" i="1"/>
  <c r="R79" i="1"/>
  <c r="Q79" i="1"/>
  <c r="F79" i="1"/>
  <c r="A79" i="1"/>
  <c r="W78" i="1"/>
  <c r="V78" i="1"/>
  <c r="U78" i="1"/>
  <c r="T78" i="1"/>
  <c r="P78" i="1" s="1"/>
  <c r="R78" i="1"/>
  <c r="Q78" i="1"/>
  <c r="F78" i="1"/>
  <c r="A78" i="1"/>
  <c r="W77" i="1"/>
  <c r="P77" i="1" s="1"/>
  <c r="V77" i="1"/>
  <c r="U77" i="1"/>
  <c r="T77" i="1"/>
  <c r="R77" i="1"/>
  <c r="Q77" i="1"/>
  <c r="F77" i="1"/>
  <c r="A77" i="1"/>
  <c r="W76" i="1"/>
  <c r="P76" i="1" s="1"/>
  <c r="V76" i="1"/>
  <c r="U76" i="1"/>
  <c r="T76" i="1"/>
  <c r="R76" i="1"/>
  <c r="Q76" i="1"/>
  <c r="F76" i="1"/>
  <c r="A76" i="1"/>
  <c r="W75" i="1"/>
  <c r="P75" i="1" s="1"/>
  <c r="V75" i="1"/>
  <c r="U75" i="1"/>
  <c r="T75" i="1"/>
  <c r="R75" i="1"/>
  <c r="Q75" i="1"/>
  <c r="F75" i="1"/>
  <c r="A75" i="1"/>
  <c r="F74" i="1"/>
  <c r="A74" i="1"/>
  <c r="W73" i="1"/>
  <c r="V73" i="1"/>
  <c r="U73" i="1"/>
  <c r="T73" i="1"/>
  <c r="R73" i="1"/>
  <c r="Q73" i="1"/>
  <c r="F73" i="1"/>
  <c r="A73" i="1"/>
  <c r="W72" i="1"/>
  <c r="V72" i="1"/>
  <c r="U72" i="1"/>
  <c r="T72" i="1"/>
  <c r="R72" i="1"/>
  <c r="Q72" i="1"/>
  <c r="F72" i="1"/>
  <c r="A72" i="1"/>
  <c r="F71" i="1"/>
  <c r="A71" i="1"/>
  <c r="W70" i="1"/>
  <c r="P70" i="1" s="1"/>
  <c r="V70" i="1"/>
  <c r="U70" i="1"/>
  <c r="T70" i="1"/>
  <c r="R70" i="1"/>
  <c r="Q70" i="1"/>
  <c r="F70" i="1"/>
  <c r="A70" i="1"/>
  <c r="W69" i="1"/>
  <c r="P69" i="1" s="1"/>
  <c r="V69" i="1"/>
  <c r="U69" i="1"/>
  <c r="T69" i="1"/>
  <c r="R69" i="1"/>
  <c r="Q69" i="1"/>
  <c r="F69" i="1"/>
  <c r="A69" i="1"/>
  <c r="V68" i="1"/>
  <c r="U68" i="1"/>
  <c r="T68" i="1"/>
  <c r="P68" i="1" s="1"/>
  <c r="R68" i="1"/>
  <c r="Q68" i="1"/>
  <c r="F68" i="1"/>
  <c r="A68" i="1"/>
  <c r="W67" i="1"/>
  <c r="P67" i="1" s="1"/>
  <c r="V67" i="1"/>
  <c r="U67" i="1"/>
  <c r="T67" i="1"/>
  <c r="R67" i="1"/>
  <c r="Q67" i="1"/>
  <c r="F67" i="1"/>
  <c r="A67" i="1"/>
  <c r="W66" i="1"/>
  <c r="V66" i="1"/>
  <c r="U66" i="1"/>
  <c r="T66" i="1"/>
  <c r="R66" i="1"/>
  <c r="Q66" i="1"/>
  <c r="F66" i="1"/>
  <c r="A66" i="1"/>
  <c r="W65" i="1"/>
  <c r="P65" i="1" s="1"/>
  <c r="V65" i="1"/>
  <c r="U65" i="1"/>
  <c r="T65" i="1"/>
  <c r="R65" i="1"/>
  <c r="Q65" i="1"/>
  <c r="F65" i="1"/>
  <c r="A65" i="1"/>
  <c r="F64" i="1"/>
  <c r="A64" i="1"/>
  <c r="F63" i="1"/>
  <c r="A63" i="1"/>
  <c r="W62" i="1"/>
  <c r="P62" i="1" s="1"/>
  <c r="V62" i="1"/>
  <c r="U62" i="1"/>
  <c r="T62" i="1"/>
  <c r="R62" i="1"/>
  <c r="Q62" i="1"/>
  <c r="F62" i="1"/>
  <c r="A62" i="1"/>
  <c r="Q61" i="1"/>
  <c r="F61" i="1"/>
  <c r="A61" i="1"/>
  <c r="W60" i="1"/>
  <c r="V60" i="1"/>
  <c r="U60" i="1"/>
  <c r="T60" i="1"/>
  <c r="R60" i="1"/>
  <c r="Q60" i="1"/>
  <c r="F60" i="1"/>
  <c r="A60" i="1"/>
  <c r="W59" i="1"/>
  <c r="P59" i="1" s="1"/>
  <c r="V59" i="1"/>
  <c r="U59" i="1"/>
  <c r="T59" i="1"/>
  <c r="R59" i="1"/>
  <c r="Q59" i="1"/>
  <c r="F59" i="1"/>
  <c r="A59" i="1"/>
  <c r="W58" i="1"/>
  <c r="P58" i="1" s="1"/>
  <c r="V58" i="1"/>
  <c r="U58" i="1"/>
  <c r="T58" i="1"/>
  <c r="R58" i="1"/>
  <c r="Q58" i="1"/>
  <c r="F58" i="1"/>
  <c r="A58" i="1"/>
  <c r="W57" i="1"/>
  <c r="P57" i="1" s="1"/>
  <c r="V57" i="1"/>
  <c r="U57" i="1"/>
  <c r="T57" i="1"/>
  <c r="R57" i="1"/>
  <c r="Q57" i="1"/>
  <c r="F57" i="1"/>
  <c r="A57" i="1"/>
  <c r="W56" i="1"/>
  <c r="P56" i="1" s="1"/>
  <c r="V56" i="1"/>
  <c r="U56" i="1"/>
  <c r="T56" i="1"/>
  <c r="R56" i="1"/>
  <c r="Q56" i="1"/>
  <c r="F56" i="1"/>
  <c r="A56" i="1"/>
  <c r="V55" i="1"/>
  <c r="U55" i="1"/>
  <c r="R55" i="1"/>
  <c r="Q55" i="1"/>
  <c r="F55" i="1"/>
  <c r="A55" i="1"/>
  <c r="W54" i="1"/>
  <c r="V54" i="1"/>
  <c r="U54" i="1"/>
  <c r="T54" i="1"/>
  <c r="R54" i="1"/>
  <c r="Q54" i="1"/>
  <c r="F54" i="1"/>
  <c r="A54" i="1"/>
  <c r="W53" i="1"/>
  <c r="V53" i="1"/>
  <c r="U53" i="1"/>
  <c r="T53" i="1"/>
  <c r="P53" i="1" s="1"/>
  <c r="R53" i="1"/>
  <c r="Q53" i="1"/>
  <c r="F53" i="1"/>
  <c r="A53" i="1"/>
  <c r="F52" i="1"/>
  <c r="A52" i="1"/>
  <c r="W51" i="1"/>
  <c r="P51" i="1" s="1"/>
  <c r="V51" i="1"/>
  <c r="U51" i="1"/>
  <c r="T51" i="1"/>
  <c r="R51" i="1"/>
  <c r="Q51" i="1"/>
  <c r="F51" i="1"/>
  <c r="A51" i="1"/>
  <c r="W50" i="1"/>
  <c r="P50" i="1" s="1"/>
  <c r="V50" i="1"/>
  <c r="U50" i="1"/>
  <c r="T50" i="1"/>
  <c r="R50" i="1"/>
  <c r="Q50" i="1"/>
  <c r="F50" i="1"/>
  <c r="A50" i="1"/>
  <c r="W49" i="1"/>
  <c r="V49" i="1"/>
  <c r="U49" i="1"/>
  <c r="T49" i="1"/>
  <c r="R49" i="1"/>
  <c r="Q49" i="1"/>
  <c r="F49" i="1"/>
  <c r="A49" i="1"/>
  <c r="W48" i="1"/>
  <c r="V48" i="1"/>
  <c r="U48" i="1"/>
  <c r="T48" i="1"/>
  <c r="R48" i="1"/>
  <c r="Q48" i="1"/>
  <c r="F48" i="1"/>
  <c r="A48" i="1"/>
  <c r="F47" i="1"/>
  <c r="A47" i="1"/>
  <c r="Q46" i="1"/>
  <c r="F46" i="1"/>
  <c r="A46" i="1"/>
  <c r="W45" i="1"/>
  <c r="P45" i="1" s="1"/>
  <c r="V45" i="1"/>
  <c r="U45" i="1"/>
  <c r="T45" i="1"/>
  <c r="R45" i="1"/>
  <c r="Q45" i="1"/>
  <c r="F45" i="1"/>
  <c r="A45" i="1"/>
  <c r="W44" i="1"/>
  <c r="P44" i="1" s="1"/>
  <c r="V44" i="1"/>
  <c r="U44" i="1"/>
  <c r="T44" i="1"/>
  <c r="R44" i="1"/>
  <c r="Q44" i="1"/>
  <c r="F44" i="1"/>
  <c r="A44" i="1"/>
  <c r="W43" i="1"/>
  <c r="P43" i="1" s="1"/>
  <c r="V43" i="1"/>
  <c r="U43" i="1"/>
  <c r="T43" i="1"/>
  <c r="R43" i="1"/>
  <c r="Q43" i="1"/>
  <c r="F43" i="1"/>
  <c r="A43" i="1"/>
  <c r="W42" i="1"/>
  <c r="U42" i="1"/>
  <c r="T42" i="1"/>
  <c r="R42" i="1"/>
  <c r="Q42" i="1"/>
  <c r="F42" i="1"/>
  <c r="A42" i="1"/>
  <c r="W41" i="1"/>
  <c r="P41" i="1" s="1"/>
  <c r="V41" i="1"/>
  <c r="U41" i="1"/>
  <c r="T41" i="1"/>
  <c r="R41" i="1"/>
  <c r="Q41" i="1"/>
  <c r="F41" i="1"/>
  <c r="A41" i="1"/>
  <c r="AA40" i="1"/>
  <c r="Z40" i="1"/>
  <c r="W40" i="1"/>
  <c r="P40" i="1" s="1"/>
  <c r="V40" i="1"/>
  <c r="U40" i="1"/>
  <c r="T40" i="1"/>
  <c r="S40" i="1"/>
  <c r="R40" i="1"/>
  <c r="Q40" i="1"/>
  <c r="F40" i="1"/>
  <c r="A40" i="1"/>
  <c r="W39" i="1"/>
  <c r="P39" i="1" s="1"/>
  <c r="V39" i="1"/>
  <c r="T39" i="1"/>
  <c r="R39" i="1"/>
  <c r="Q39" i="1"/>
  <c r="F39" i="1"/>
  <c r="A39" i="1"/>
  <c r="W38" i="1"/>
  <c r="P38" i="1" s="1"/>
  <c r="V38" i="1"/>
  <c r="U38" i="1"/>
  <c r="T38" i="1"/>
  <c r="R38" i="1"/>
  <c r="Q38" i="1"/>
  <c r="F38" i="1"/>
  <c r="A38" i="1"/>
  <c r="W37" i="1"/>
  <c r="V37" i="1"/>
  <c r="U37" i="1"/>
  <c r="T37" i="1"/>
  <c r="R37" i="1"/>
  <c r="Q37" i="1"/>
  <c r="F37" i="1"/>
  <c r="A37" i="1"/>
  <c r="W36" i="1"/>
  <c r="V36" i="1"/>
  <c r="U36" i="1"/>
  <c r="T36" i="1"/>
  <c r="P36" i="1" s="1"/>
  <c r="R36" i="1"/>
  <c r="Q36" i="1"/>
  <c r="F36" i="1"/>
  <c r="A36" i="1"/>
  <c r="W35" i="1"/>
  <c r="P35" i="1" s="1"/>
  <c r="V35" i="1"/>
  <c r="U35" i="1"/>
  <c r="T35" i="1"/>
  <c r="R35" i="1"/>
  <c r="Q35" i="1"/>
  <c r="F35" i="1"/>
  <c r="A35" i="1"/>
  <c r="W34" i="1"/>
  <c r="P34" i="1" s="1"/>
  <c r="V34" i="1"/>
  <c r="U34" i="1"/>
  <c r="T34" i="1"/>
  <c r="R34" i="1"/>
  <c r="Q34" i="1"/>
  <c r="F34" i="1"/>
  <c r="A34" i="1"/>
  <c r="W33" i="1"/>
  <c r="P33" i="1" s="1"/>
  <c r="T33" i="1"/>
  <c r="R33" i="1"/>
  <c r="Q33" i="1"/>
  <c r="F33" i="1"/>
  <c r="A33" i="1"/>
  <c r="V32" i="1"/>
  <c r="T32" i="1"/>
  <c r="P32" i="1" s="1"/>
  <c r="R32" i="1"/>
  <c r="Q32" i="1"/>
  <c r="F32" i="1"/>
  <c r="A32" i="1"/>
  <c r="W31" i="1"/>
  <c r="P31" i="1" s="1"/>
  <c r="V31" i="1"/>
  <c r="U31" i="1"/>
  <c r="T31" i="1"/>
  <c r="R31" i="1"/>
  <c r="Q31" i="1"/>
  <c r="F31" i="1"/>
  <c r="A31" i="1"/>
  <c r="F30" i="1"/>
  <c r="A30" i="1"/>
  <c r="W29" i="1"/>
  <c r="P29" i="1" s="1"/>
  <c r="V29" i="1"/>
  <c r="U29" i="1"/>
  <c r="T29" i="1"/>
  <c r="R29" i="1"/>
  <c r="Q29" i="1"/>
  <c r="F29" i="1"/>
  <c r="A29" i="1"/>
  <c r="W28" i="1"/>
  <c r="P28" i="1" s="1"/>
  <c r="V28" i="1"/>
  <c r="U28" i="1"/>
  <c r="T28" i="1"/>
  <c r="R28" i="1"/>
  <c r="Q28" i="1"/>
  <c r="F28" i="1"/>
  <c r="A28" i="1"/>
  <c r="W27" i="1"/>
  <c r="P27" i="1" s="1"/>
  <c r="V27" i="1"/>
  <c r="U27" i="1"/>
  <c r="T27" i="1"/>
  <c r="R27" i="1"/>
  <c r="Q27" i="1"/>
  <c r="F27" i="1"/>
  <c r="A27" i="1"/>
  <c r="F26" i="1"/>
  <c r="A26" i="1"/>
  <c r="F25" i="1"/>
  <c r="A25" i="1"/>
  <c r="W24" i="1"/>
  <c r="P24" i="1" s="1"/>
  <c r="V24" i="1"/>
  <c r="U24" i="1"/>
  <c r="T24" i="1"/>
  <c r="S24" i="1"/>
  <c r="R24" i="1"/>
  <c r="Q24" i="1"/>
  <c r="F24" i="1"/>
  <c r="A24" i="1"/>
  <c r="F23" i="1"/>
  <c r="A23" i="1"/>
  <c r="F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Z21" i="1"/>
  <c r="X21" i="1"/>
  <c r="W21" i="1"/>
  <c r="P21" i="1" s="1"/>
  <c r="V21" i="1"/>
  <c r="U21" i="1"/>
  <c r="T21" i="1"/>
  <c r="S21" i="1"/>
  <c r="R21" i="1"/>
  <c r="Q21" i="1"/>
  <c r="O21" i="1"/>
  <c r="M21" i="1"/>
  <c r="L21" i="1"/>
  <c r="AW21" i="1" s="1"/>
  <c r="K21" i="1"/>
  <c r="J21" i="1"/>
  <c r="I21" i="1"/>
  <c r="H21" i="1"/>
  <c r="G21" i="1"/>
  <c r="E21" i="1"/>
  <c r="D21" i="1"/>
  <c r="C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W20" i="1"/>
  <c r="P20" i="1" s="1"/>
  <c r="V20" i="1"/>
  <c r="U20" i="1"/>
  <c r="T20" i="1"/>
  <c r="R20" i="1"/>
  <c r="Q20" i="1"/>
  <c r="N20" i="1"/>
  <c r="M20" i="1"/>
  <c r="L20" i="1"/>
  <c r="AW20" i="1" s="1"/>
  <c r="K20" i="1"/>
  <c r="J20" i="1"/>
  <c r="I20" i="1"/>
  <c r="H20" i="1"/>
  <c r="G20" i="1"/>
  <c r="F20" i="1"/>
  <c r="E20" i="1"/>
  <c r="D20" i="1"/>
  <c r="C20" i="1"/>
  <c r="A20" i="1"/>
  <c r="AR19" i="1"/>
  <c r="AP19" i="1"/>
  <c r="AO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Z19" i="1"/>
  <c r="X19" i="1"/>
  <c r="W19" i="1"/>
  <c r="P19" i="1" s="1"/>
  <c r="V19" i="1"/>
  <c r="U19" i="1"/>
  <c r="T19" i="1"/>
  <c r="R19" i="1"/>
  <c r="Q19" i="1"/>
  <c r="H19" i="1"/>
  <c r="G19" i="1"/>
  <c r="A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Z18" i="1"/>
  <c r="X18" i="1"/>
  <c r="W18" i="1"/>
  <c r="V18" i="1"/>
  <c r="U18" i="1"/>
  <c r="T18" i="1"/>
  <c r="S18" i="1"/>
  <c r="R18" i="1"/>
  <c r="Q18" i="1"/>
  <c r="O18" i="1"/>
  <c r="N18" i="1"/>
  <c r="M18" i="1"/>
  <c r="L18" i="1"/>
  <c r="AW18" i="1" s="1"/>
  <c r="J18" i="1"/>
  <c r="I18" i="1"/>
  <c r="H18" i="1"/>
  <c r="G18" i="1"/>
  <c r="E18" i="1"/>
  <c r="D18" i="1"/>
  <c r="F18" i="1" s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 s="1"/>
  <c r="V17" i="1"/>
  <c r="U17" i="1"/>
  <c r="T17" i="1"/>
  <c r="S17" i="1"/>
  <c r="R17" i="1"/>
  <c r="Q17" i="1"/>
  <c r="O17" i="1"/>
  <c r="N17" i="1"/>
  <c r="M17" i="1"/>
  <c r="L17" i="1"/>
  <c r="AW17" i="1" s="1"/>
  <c r="K17" i="1"/>
  <c r="J17" i="1"/>
  <c r="I17" i="1"/>
  <c r="H17" i="1"/>
  <c r="G17" i="1"/>
  <c r="E17" i="1"/>
  <c r="D17" i="1"/>
  <c r="F17" i="1" s="1"/>
  <c r="C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 s="1"/>
  <c r="V16" i="1"/>
  <c r="U16" i="1"/>
  <c r="T16" i="1"/>
  <c r="S16" i="1"/>
  <c r="R16" i="1"/>
  <c r="Q16" i="1"/>
  <c r="O16" i="1"/>
  <c r="N16" i="1"/>
  <c r="L16" i="1"/>
  <c r="AW16" i="1" s="1"/>
  <c r="K16" i="1"/>
  <c r="J16" i="1"/>
  <c r="I16" i="1"/>
  <c r="H16" i="1"/>
  <c r="G16" i="1"/>
  <c r="E16" i="1"/>
  <c r="D16" i="1"/>
  <c r="F16" i="1" s="1"/>
  <c r="C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V15" i="1"/>
  <c r="U15" i="1"/>
  <c r="T15" i="1"/>
  <c r="P15" i="1" s="1"/>
  <c r="S15" i="1"/>
  <c r="R15" i="1"/>
  <c r="Q15" i="1"/>
  <c r="O15" i="1"/>
  <c r="M15" i="1"/>
  <c r="L15" i="1"/>
  <c r="AW15" i="1" s="1"/>
  <c r="K15" i="1"/>
  <c r="J15" i="1"/>
  <c r="I15" i="1"/>
  <c r="H15" i="1"/>
  <c r="G15" i="1"/>
  <c r="E15" i="1"/>
  <c r="D15" i="1"/>
  <c r="C15" i="1"/>
  <c r="A15" i="1"/>
  <c r="W14" i="1"/>
  <c r="P14" i="1" s="1"/>
  <c r="V14" i="1"/>
  <c r="U14" i="1"/>
  <c r="A14" i="1"/>
  <c r="AR13" i="1"/>
  <c r="AQ13" i="1"/>
  <c r="AP13" i="1"/>
  <c r="AO13" i="1"/>
  <c r="AM13" i="1"/>
  <c r="AL13" i="1"/>
  <c r="AK13" i="1"/>
  <c r="AJ13" i="1"/>
  <c r="AI13" i="1"/>
  <c r="AH13" i="1"/>
  <c r="AG13" i="1"/>
  <c r="AF13" i="1"/>
  <c r="AD13" i="1"/>
  <c r="AC13" i="1"/>
  <c r="AB13" i="1"/>
  <c r="AA13" i="1"/>
  <c r="W13" i="1"/>
  <c r="V13" i="1"/>
  <c r="U13" i="1"/>
  <c r="T13" i="1"/>
  <c r="Q13" i="1"/>
  <c r="O13" i="1"/>
  <c r="M13" i="1"/>
  <c r="AW13" i="1" s="1"/>
  <c r="L13" i="1"/>
  <c r="K13" i="1"/>
  <c r="J13" i="1"/>
  <c r="I13" i="1"/>
  <c r="G13" i="1"/>
  <c r="E13" i="1"/>
  <c r="D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D12" i="1"/>
  <c r="AC12" i="1"/>
  <c r="AB12" i="1"/>
  <c r="Z12" i="1"/>
  <c r="W12" i="1"/>
  <c r="V12" i="1"/>
  <c r="U12" i="1"/>
  <c r="T12" i="1"/>
  <c r="P12" i="1" s="1"/>
  <c r="R12" i="1"/>
  <c r="Q12" i="1"/>
  <c r="O12" i="1"/>
  <c r="AW12" i="1" s="1"/>
  <c r="K12" i="1"/>
  <c r="J12" i="1"/>
  <c r="I12" i="1"/>
  <c r="H12" i="1"/>
  <c r="G12" i="1"/>
  <c r="E12" i="1"/>
  <c r="D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X11" i="1"/>
  <c r="W11" i="1"/>
  <c r="P11" i="1" s="1"/>
  <c r="V11" i="1"/>
  <c r="U11" i="1"/>
  <c r="T11" i="1"/>
  <c r="S11" i="1"/>
  <c r="R11" i="1"/>
  <c r="Q11" i="1"/>
  <c r="O11" i="1"/>
  <c r="N11" i="1"/>
  <c r="M11" i="1"/>
  <c r="L11" i="1"/>
  <c r="AW11" i="1" s="1"/>
  <c r="K11" i="1"/>
  <c r="J11" i="1"/>
  <c r="I11" i="1"/>
  <c r="H11" i="1"/>
  <c r="G11" i="1"/>
  <c r="F11" i="1"/>
  <c r="C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D10" i="1"/>
  <c r="AC10" i="1"/>
  <c r="AB10" i="1"/>
  <c r="AA10" i="1"/>
  <c r="Z10" i="1"/>
  <c r="W10" i="1"/>
  <c r="P10" i="1" s="1"/>
  <c r="V10" i="1"/>
  <c r="U10" i="1"/>
  <c r="T10" i="1"/>
  <c r="R10" i="1"/>
  <c r="Q10" i="1"/>
  <c r="A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W9" i="1"/>
  <c r="P9" i="1" s="1"/>
  <c r="V9" i="1"/>
  <c r="U9" i="1"/>
  <c r="T9" i="1"/>
  <c r="R9" i="1"/>
  <c r="Q9" i="1"/>
  <c r="O9" i="1"/>
  <c r="N9" i="1"/>
  <c r="M9" i="1"/>
  <c r="L9" i="1"/>
  <c r="AW9" i="1" s="1"/>
  <c r="K9" i="1"/>
  <c r="J9" i="1"/>
  <c r="I9" i="1"/>
  <c r="H9" i="1"/>
  <c r="G9" i="1"/>
  <c r="E9" i="1"/>
  <c r="D9" i="1"/>
  <c r="F9" i="1" s="1"/>
  <c r="C9" i="1"/>
  <c r="A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W8" i="1"/>
  <c r="P8" i="1" s="1"/>
  <c r="V8" i="1"/>
  <c r="U8" i="1"/>
  <c r="T8" i="1"/>
  <c r="S8" i="1"/>
  <c r="R8" i="1"/>
  <c r="Q8" i="1"/>
  <c r="O8" i="1"/>
  <c r="N8" i="1"/>
  <c r="M8" i="1"/>
  <c r="L8" i="1"/>
  <c r="AW8" i="1" s="1"/>
  <c r="K8" i="1"/>
  <c r="J8" i="1"/>
  <c r="I8" i="1"/>
  <c r="H8" i="1"/>
  <c r="G8" i="1"/>
  <c r="E8" i="1"/>
  <c r="F8" i="1" s="1"/>
  <c r="A8" i="1"/>
  <c r="AR7" i="1"/>
  <c r="AQ7" i="1"/>
  <c r="AP7" i="1"/>
  <c r="AO7" i="1"/>
  <c r="AN7" i="1"/>
  <c r="AM7" i="1"/>
  <c r="AL7" i="1"/>
  <c r="AK7" i="1"/>
  <c r="AJ7" i="1"/>
  <c r="AI7" i="1"/>
  <c r="AG7" i="1"/>
  <c r="AF7" i="1"/>
  <c r="AE7" i="1"/>
  <c r="AB7" i="1"/>
  <c r="AA7" i="1"/>
  <c r="Z7" i="1"/>
  <c r="W7" i="1"/>
  <c r="P7" i="1" s="1"/>
  <c r="V7" i="1"/>
  <c r="U7" i="1"/>
  <c r="T7" i="1"/>
  <c r="R7" i="1"/>
  <c r="Q7" i="1"/>
  <c r="O7" i="1"/>
  <c r="N7" i="1"/>
  <c r="M7" i="1"/>
  <c r="L7" i="1"/>
  <c r="K7" i="1"/>
  <c r="J7" i="1"/>
  <c r="I7" i="1"/>
  <c r="H7" i="1"/>
  <c r="G7" i="1"/>
  <c r="E7" i="1"/>
  <c r="D7" i="1"/>
  <c r="F7" i="1" s="1"/>
  <c r="A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D6" i="1"/>
  <c r="AC6" i="1"/>
  <c r="AB6" i="1"/>
  <c r="Z6" i="1"/>
  <c r="X6" i="1"/>
  <c r="W6" i="1"/>
  <c r="V6" i="1"/>
  <c r="U6" i="1"/>
  <c r="T6" i="1"/>
  <c r="S6" i="1"/>
  <c r="R6" i="1"/>
  <c r="Q6" i="1"/>
  <c r="O6" i="1"/>
  <c r="N6" i="1"/>
  <c r="M6" i="1"/>
  <c r="L6" i="1"/>
  <c r="AW6" i="1" s="1"/>
  <c r="K6" i="1"/>
  <c r="J6" i="1"/>
  <c r="I6" i="1"/>
  <c r="H6" i="1"/>
  <c r="E6" i="1"/>
  <c r="D6" i="1"/>
  <c r="F6" i="1" s="1"/>
  <c r="A6" i="1"/>
  <c r="AR5" i="1"/>
  <c r="AQ5" i="1"/>
  <c r="AP5" i="1"/>
  <c r="AO5" i="1"/>
  <c r="AN5" i="1"/>
  <c r="AM5" i="1"/>
  <c r="AL5" i="1"/>
  <c r="AK5" i="1"/>
  <c r="AJ5" i="1"/>
  <c r="AI5" i="1"/>
  <c r="AG5" i="1"/>
  <c r="AE5" i="1"/>
  <c r="AD5" i="1"/>
  <c r="AC5" i="1"/>
  <c r="AB5" i="1"/>
  <c r="Z5" i="1"/>
  <c r="W5" i="1"/>
  <c r="P5" i="1" s="1"/>
  <c r="V5" i="1"/>
  <c r="U5" i="1"/>
  <c r="T5" i="1"/>
  <c r="R5" i="1"/>
  <c r="Q5" i="1"/>
  <c r="O5" i="1"/>
  <c r="N5" i="1"/>
  <c r="M5" i="1"/>
  <c r="L5" i="1"/>
  <c r="AW5" i="1" s="1"/>
  <c r="K5" i="1"/>
  <c r="J5" i="1"/>
  <c r="I5" i="1"/>
  <c r="H5" i="1"/>
  <c r="G5" i="1"/>
  <c r="E5" i="1"/>
  <c r="D5" i="1"/>
  <c r="C5" i="1"/>
  <c r="A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X4" i="1"/>
  <c r="W4" i="1"/>
  <c r="P4" i="1" s="1"/>
  <c r="V4" i="1"/>
  <c r="U4" i="1"/>
  <c r="T4" i="1"/>
  <c r="R4" i="1"/>
  <c r="Q4" i="1"/>
  <c r="O4" i="1"/>
  <c r="AW4" i="1" s="1"/>
  <c r="K4" i="1"/>
  <c r="J4" i="1"/>
  <c r="I4" i="1"/>
  <c r="H4" i="1"/>
  <c r="G4" i="1"/>
  <c r="E4" i="1"/>
  <c r="D4" i="1"/>
  <c r="F4" i="1" s="1"/>
  <c r="C4" i="1"/>
  <c r="A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C3" i="1"/>
  <c r="AB3" i="1"/>
  <c r="AA3" i="1"/>
  <c r="Z3" i="1"/>
  <c r="W3" i="1"/>
  <c r="P3" i="1" s="1"/>
  <c r="V3" i="1"/>
  <c r="U3" i="1"/>
  <c r="T3" i="1"/>
  <c r="S3" i="1"/>
  <c r="R3" i="1"/>
  <c r="Q3" i="1"/>
  <c r="O3" i="1"/>
  <c r="AW3" i="1" s="1"/>
  <c r="N3" i="1"/>
  <c r="K3" i="1"/>
  <c r="J3" i="1"/>
  <c r="I3" i="1"/>
  <c r="H3" i="1"/>
  <c r="G3" i="1"/>
  <c r="E3" i="1"/>
  <c r="D3" i="1"/>
  <c r="F3" i="1" s="1"/>
  <c r="C3" i="1"/>
  <c r="A3" i="1"/>
  <c r="F5" i="1" l="1"/>
  <c r="F12" i="1"/>
  <c r="F21" i="1"/>
  <c r="F13" i="1"/>
  <c r="F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48FBD-8743-4D45-B037-9BB076D08F3F}" name="Query - Page001" description="Connection to the 'Page001' query in the workbook." type="100" refreshedVersion="8" minRefreshableVersion="5">
    <extLst>
      <ext xmlns:x15="http://schemas.microsoft.com/office/spreadsheetml/2010/11/main" uri="{DE250136-89BD-433C-8126-D09CA5730AF9}">
        <x15:connection id="785778d0-d401-4d12-a028-ff3ec50e8ffd"/>
      </ext>
    </extLst>
  </connection>
  <connection id="2" xr16:uid="{00C8B91E-298D-4000-A14E-FAB85C6D8D92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38e76b92-f024-4198-85b4-7602599c66d0"/>
      </ext>
    </extLst>
  </connection>
  <connection id="3" xr16:uid="{D65A7F7B-CB2C-4F32-BFAE-981588FED9EE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9254580b-99a3-4d5b-821d-807e5575c683"/>
      </ext>
    </extLst>
  </connection>
  <connection id="4" xr16:uid="{25E7156F-0261-4B45-8C2C-A323D293CF17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b39d64a5-7245-480f-99b9-25da85a9efa7"/>
      </ext>
    </extLst>
  </connection>
  <connection id="5" xr16:uid="{E5DF20A2-3360-4961-8400-E7383B610E3D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97148cf3-b6e1-4f50-8723-d6ab10d34b94"/>
      </ext>
    </extLst>
  </connection>
  <connection id="6" xr16:uid="{B0410422-ACF0-44C8-BC30-D403ECE93981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6dcce2-9cf4-4ca2-a58a-2ccd8f00ed83"/>
      </ext>
    </extLst>
  </connection>
  <connection id="7" xr16:uid="{12BC912A-8487-4743-8A89-0F779EEB8CC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<sst xmlns="http://schemas.openxmlformats.org/spreadsheetml/2006/main" count="1856" uniqueCount="661">
  <si>
    <t>Sanctioned Intake</t>
  </si>
  <si>
    <t>Total Actual Student Strength</t>
  </si>
  <si>
    <t>Placement &amp; Higher Studies</t>
  </si>
  <si>
    <t>Ph.D Student Details</t>
  </si>
  <si>
    <t>Capital Expenditure</t>
  </si>
  <si>
    <t xml:space="preserve"> Operational Expenditure</t>
  </si>
  <si>
    <t>Sponsored Research Details</t>
  </si>
  <si>
    <t>Consultancy Projects Details</t>
  </si>
  <si>
    <t xml:space="preserve">EDP/MDP </t>
  </si>
  <si>
    <t>Accreditation</t>
  </si>
  <si>
    <t>Fauclty</t>
  </si>
  <si>
    <t>Rank</t>
  </si>
  <si>
    <t>Name</t>
  </si>
  <si>
    <t>Intake 
(UG+PG)</t>
  </si>
  <si>
    <t>Male 
students</t>
  </si>
  <si>
    <t>Female 
Students</t>
  </si>
  <si>
    <t>Enrolled 
(UG+PG)</t>
  </si>
  <si>
    <t>Within 
state</t>
  </si>
  <si>
    <t>Outside 
state</t>
  </si>
  <si>
    <t>Outside 
country</t>
  </si>
  <si>
    <t>Economically
Backward</t>
  </si>
  <si>
    <t>Socially Challenged
students</t>
  </si>
  <si>
    <t>TFR 
State
and Central
Government</t>
  </si>
  <si>
    <t>TFR receiving
Institution</t>
  </si>
  <si>
    <t>TFR receiving from
Private bodies</t>
  </si>
  <si>
    <t>No.of students not Receiving TFR</t>
  </si>
  <si>
    <t>No. of first year
students intake  (UG+PG)</t>
  </si>
  <si>
    <t>No. of first year
students admitted 
(UG+PG)</t>
  </si>
  <si>
    <t>No. of students
admitted through
Lateral entry</t>
  </si>
  <si>
    <t>No. of students
graduating</t>
  </si>
  <si>
    <t>No. of students
placed</t>
  </si>
  <si>
    <t>Median salary</t>
  </si>
  <si>
    <t>Higher
Studies</t>
  </si>
  <si>
    <t>Ph.D Enrolled Fulltime</t>
  </si>
  <si>
    <t>Ph.D Enrolled Parttime</t>
  </si>
  <si>
    <t>Ph.D Graduated Fulltime</t>
  </si>
  <si>
    <t>Ph.D graduated Parttime</t>
  </si>
  <si>
    <t>Library</t>
  </si>
  <si>
    <t>New Equipment for Laboratories</t>
  </si>
  <si>
    <t>Engineering Workshops</t>
  </si>
  <si>
    <t>Studios</t>
  </si>
  <si>
    <t>Other expenditure on creation of Capital Assets</t>
  </si>
  <si>
    <t>Salaries</t>
  </si>
  <si>
    <t>Maintenance of Academic Infrastructure and others</t>
  </si>
  <si>
    <t>Seminars/ Conferences/ Workshops</t>
  </si>
  <si>
    <t xml:space="preserve">Sponsored Projects </t>
  </si>
  <si>
    <t>Funding Agencies</t>
  </si>
  <si>
    <t>Sponsred Research : Total Amount Received</t>
  </si>
  <si>
    <t>Consultancy Projects</t>
  </si>
  <si>
    <t>Client Organizations</t>
  </si>
  <si>
    <t>Consultancy Project : 
Total Amount Received</t>
  </si>
  <si>
    <t>Executive Development Programs/ Management
Development Programs (EDP/MDP)</t>
  </si>
  <si>
    <t>Participants</t>
  </si>
  <si>
    <t xml:space="preserve">EDP/MDP : Total Annual Earnings </t>
  </si>
  <si>
    <t>NAAC
Accreditation</t>
  </si>
  <si>
    <t>CGPA</t>
  </si>
  <si>
    <t>Number of faculty members entered</t>
  </si>
  <si>
    <t>YoE</t>
  </si>
  <si>
    <t>Indian Institute of Science</t>
  </si>
  <si>
    <t>YES</t>
  </si>
  <si>
    <t>Jawaharlal Nehru University</t>
  </si>
  <si>
    <t>Jamia Millia Islamia</t>
  </si>
  <si>
    <t>Jadavpur University</t>
  </si>
  <si>
    <t>Banaras Hindu University</t>
  </si>
  <si>
    <t>Manipal Academy of Higher Education-Manipal</t>
  </si>
  <si>
    <t>Amrita Vishwa Vidyapeetham</t>
  </si>
  <si>
    <t xml:space="preserve">  </t>
  </si>
  <si>
    <t>Vellore Institute of Technology</t>
  </si>
  <si>
    <t>Aligarh Muslim University</t>
  </si>
  <si>
    <t>University of Hyderabad</t>
  </si>
  <si>
    <t>University of Delhi</t>
  </si>
  <si>
    <t>Calcutta University</t>
  </si>
  <si>
    <t>Saveetha Institute of Medical and Technical Sciences</t>
  </si>
  <si>
    <t>Anna University</t>
  </si>
  <si>
    <t>NO</t>
  </si>
  <si>
    <t>-</t>
  </si>
  <si>
    <t>Siksha `O` Anusandhan</t>
  </si>
  <si>
    <t>Kalinga Institute of Industrial Technology</t>
  </si>
  <si>
    <t>Homi Bhabha National Institute</t>
  </si>
  <si>
    <t>S.R.M. Institute of Science and Technology</t>
  </si>
  <si>
    <t>Savitribai Phule Pune University</t>
  </si>
  <si>
    <t>Birla Institute of Technology &amp; Science -Pilani</t>
  </si>
  <si>
    <t>Bharathiar University</t>
  </si>
  <si>
    <t>Thapar Institute of Engineering and Technology (Deemed-to-be-university)</t>
  </si>
  <si>
    <t>Institute of Chemical Technology</t>
  </si>
  <si>
    <t>Kerala University</t>
  </si>
  <si>
    <t>Panjab University</t>
  </si>
  <si>
    <t>Shanmugha Arts Science Technology &amp; Research Academy</t>
  </si>
  <si>
    <t>Chandigarh University</t>
  </si>
  <si>
    <t>Koneru Lakshmaiah Education Foundation University (K L College of Engineering)</t>
  </si>
  <si>
    <t>Kalasalingam Academy of Research and Education</t>
  </si>
  <si>
    <t>Alagappa University</t>
  </si>
  <si>
    <t>Mahatma Gandhi University, Kottayam</t>
  </si>
  <si>
    <t>Symbiosis International</t>
  </si>
  <si>
    <t>University of Kashmir</t>
  </si>
  <si>
    <t>JSS Academy of Higher Education and Research</t>
  </si>
  <si>
    <t>Amity University</t>
  </si>
  <si>
    <t>Osmania University</t>
  </si>
  <si>
    <t>Cochin University of Science and Technology</t>
  </si>
  <si>
    <t>Lovely Professional University</t>
  </si>
  <si>
    <t>Datta Meghe Institute of Higher Education and Research</t>
  </si>
  <si>
    <t>Delhi Technological University</t>
  </si>
  <si>
    <t>Bharathidasan University</t>
  </si>
  <si>
    <t>Babasheb Bhimrao Ambedkar University</t>
  </si>
  <si>
    <t>Andhra University, Visakhapatnam</t>
  </si>
  <si>
    <t>Mysore University</t>
  </si>
  <si>
    <t>King George`s Medical University</t>
  </si>
  <si>
    <t>Dr. D. Y. Patil Vidyapeeth</t>
  </si>
  <si>
    <t xml:space="preserve">SVKM`s Narsee Monjee Institute of Management Studies </t>
  </si>
  <si>
    <t>Guru Nanak Dev University</t>
  </si>
  <si>
    <t>Jamia Hamdard</t>
  </si>
  <si>
    <t>University of Madras</t>
  </si>
  <si>
    <t>Sathyabama Institute of Science and Technology</t>
  </si>
  <si>
    <t>UPES</t>
  </si>
  <si>
    <t>Madurai Kamaraj University</t>
  </si>
  <si>
    <t>Punjab Agricultural University, Ludhiana</t>
  </si>
  <si>
    <t>Graphic Era University</t>
  </si>
  <si>
    <t>Mumbai University</t>
  </si>
  <si>
    <t>Sri Ramachandra Institute of Higher Education and Research</t>
  </si>
  <si>
    <t>Banasthali Vidyapith</t>
  </si>
  <si>
    <t>Periyar University</t>
  </si>
  <si>
    <t>Sri Venkateswara University</t>
  </si>
  <si>
    <t>Gujarat University</t>
  </si>
  <si>
    <t>Shiv Nadar University</t>
  </si>
  <si>
    <t>University of Jammu</t>
  </si>
  <si>
    <t>Visvesvaraya Technological University</t>
  </si>
  <si>
    <t>NITTE</t>
  </si>
  <si>
    <t>Bharath Institute of Higher Education &amp; Research</t>
  </si>
  <si>
    <t>Christ University</t>
  </si>
  <si>
    <t>Jain university,Bangalore</t>
  </si>
  <si>
    <t>Tezpur University</t>
  </si>
  <si>
    <t>Calicut University, Thenhipalem, Malapuram</t>
  </si>
  <si>
    <t>Birla Institute of Technology</t>
  </si>
  <si>
    <t>Tamil Nadu Agricultural University</t>
  </si>
  <si>
    <t>Shoolini University of Biotechnology and Management Sciences</t>
  </si>
  <si>
    <t>Guru Gobind Singh Indraprastha University</t>
  </si>
  <si>
    <t>Vignan's Foundation for Science, Technology and Research</t>
  </si>
  <si>
    <t>Mizoram University</t>
  </si>
  <si>
    <t>Sri Balaji Vidyapeeth Mahatma Gandhi Medical College Campus</t>
  </si>
  <si>
    <t>Maharishi Markandeshwar</t>
  </si>
  <si>
    <t>G.B. Pant Universtiy of Agriculture and Technology, Pantnagar</t>
  </si>
  <si>
    <t>North Eastern Hill University</t>
  </si>
  <si>
    <t>Avinashilingam Institute for Home Science &amp; Higher Education for Women</t>
  </si>
  <si>
    <t>Chettinad Academy of Research and Education</t>
  </si>
  <si>
    <t>Manonmaniam Sundaranar University, Tirunelveli</t>
  </si>
  <si>
    <t>International Institute of Information Technology Hyderabad</t>
  </si>
  <si>
    <t>Yenepoya University</t>
  </si>
  <si>
    <t>The University of Burdwan</t>
  </si>
  <si>
    <t>Sharda University</t>
  </si>
  <si>
    <t>Gauhati University</t>
  </si>
  <si>
    <t>Central University of Tamil Nadu</t>
  </si>
  <si>
    <t>University of Agricultural Sciences, Bangalore</t>
  </si>
  <si>
    <t>Bharati Vidyapeeth</t>
  </si>
  <si>
    <t>M. G. R. Educational and Research Institute</t>
  </si>
  <si>
    <t>Utkal University</t>
  </si>
  <si>
    <t>Amity University Haryana, Gurgaon</t>
  </si>
  <si>
    <t>Netaji Subhas University of Technology (NSUT)</t>
  </si>
  <si>
    <t>Maharshi Dayanand University</t>
  </si>
  <si>
    <t>Visva Bharati</t>
  </si>
  <si>
    <t>Tata Institute of Social Sciences</t>
  </si>
  <si>
    <t>Chaudhary Charan Singh Haryana Agricultural University</t>
  </si>
  <si>
    <t>Central University of Punjab</t>
  </si>
  <si>
    <t>Institute ID</t>
  </si>
  <si>
    <t>Name2</t>
  </si>
  <si>
    <t>Type of Univ</t>
  </si>
  <si>
    <t>Funding</t>
  </si>
  <si>
    <t>City</t>
  </si>
  <si>
    <t>HRA</t>
  </si>
  <si>
    <t>State</t>
  </si>
  <si>
    <t>Score</t>
  </si>
  <si>
    <t>TLR (100)</t>
  </si>
  <si>
    <t>RPC (100</t>
  </si>
  <si>
    <t>GO (100)</t>
  </si>
  <si>
    <t>OI (100)</t>
  </si>
  <si>
    <t>PR(100)</t>
  </si>
  <si>
    <t>SS(20)</t>
  </si>
  <si>
    <t>FSR(25)</t>
  </si>
  <si>
    <t>FQE(20)</t>
  </si>
  <si>
    <t>FRU(20)</t>
  </si>
  <si>
    <t>OE(15)</t>
  </si>
  <si>
    <t>PU(35)</t>
  </si>
  <si>
    <t>QP(35)</t>
  </si>
  <si>
    <t>IPR(15)</t>
  </si>
  <si>
    <t>FPPP(15)</t>
  </si>
  <si>
    <t>GUE(60)</t>
  </si>
  <si>
    <t>GPHD(40)</t>
  </si>
  <si>
    <t>RD(30)</t>
  </si>
  <si>
    <t>WD(30)</t>
  </si>
  <si>
    <t>ESCS(20)</t>
  </si>
  <si>
    <t>PCS(20)</t>
  </si>
  <si>
    <t>PR(100)2</t>
  </si>
  <si>
    <t>IR-O-U-0220</t>
  </si>
  <si>
    <t>IISc</t>
  </si>
  <si>
    <t>Deemed-to-be</t>
  </si>
  <si>
    <t>CGFI</t>
  </si>
  <si>
    <t>Bengaluru</t>
  </si>
  <si>
    <t>X</t>
  </si>
  <si>
    <t>Karnataka</t>
  </si>
  <si>
    <t>IR-O-U-0109</t>
  </si>
  <si>
    <t>JNU</t>
  </si>
  <si>
    <t>Central</t>
  </si>
  <si>
    <t>New Delhi</t>
  </si>
  <si>
    <t>Delhi</t>
  </si>
  <si>
    <t>IR-O-U-0108</t>
  </si>
  <si>
    <t>JMI</t>
  </si>
  <si>
    <t>IR-O-U-0575</t>
  </si>
  <si>
    <t>JaU</t>
  </si>
  <si>
    <t>SGFI</t>
  </si>
  <si>
    <t>Kolkata</t>
  </si>
  <si>
    <t>West Bengal</t>
  </si>
  <si>
    <t>IR-O-U-0500</t>
  </si>
  <si>
    <t>BHU</t>
  </si>
  <si>
    <t>Varanasi</t>
  </si>
  <si>
    <t>Y</t>
  </si>
  <si>
    <t>Uttar Pradesh</t>
  </si>
  <si>
    <t>IR-O-U-0234</t>
  </si>
  <si>
    <t>MAHE</t>
  </si>
  <si>
    <t>SFI</t>
  </si>
  <si>
    <t>Manipal</t>
  </si>
  <si>
    <t>Z</t>
  </si>
  <si>
    <t>IR-O-U-0436</t>
  </si>
  <si>
    <t>AVV</t>
  </si>
  <si>
    <t>Coimbatore</t>
  </si>
  <si>
    <t>Tamil Nadu</t>
  </si>
  <si>
    <t>IR-O-U-0490</t>
  </si>
  <si>
    <t>VIT</t>
  </si>
  <si>
    <t>Vellore</t>
  </si>
  <si>
    <t>IR-O-U-0496</t>
  </si>
  <si>
    <t>AMU</t>
  </si>
  <si>
    <t>Aligarh</t>
  </si>
  <si>
    <t>IR-O-U-0042</t>
  </si>
  <si>
    <t>UH</t>
  </si>
  <si>
    <t>Hyderabad</t>
  </si>
  <si>
    <t>Telangana</t>
  </si>
  <si>
    <t>IR-O-U-0120</t>
  </si>
  <si>
    <t>UD</t>
  </si>
  <si>
    <t>IR-O-U-0570</t>
  </si>
  <si>
    <t>CU</t>
  </si>
  <si>
    <t>IR-O-I-1441</t>
  </si>
  <si>
    <t>SIMTS</t>
  </si>
  <si>
    <t>Chennai</t>
  </si>
  <si>
    <t>IR-O-U-0439</t>
  </si>
  <si>
    <t>Anna</t>
  </si>
  <si>
    <t>IR-O-U-0363</t>
  </si>
  <si>
    <t>SoA</t>
  </si>
  <si>
    <t>Bhubaneswar</t>
  </si>
  <si>
    <t>Odisha</t>
  </si>
  <si>
    <t>IR-O-U-0356</t>
  </si>
  <si>
    <t>KIIT</t>
  </si>
  <si>
    <t>IR-O-U-0304</t>
  </si>
  <si>
    <t>HBNI</t>
  </si>
  <si>
    <t>Mumbai</t>
  </si>
  <si>
    <t>Maharashtra</t>
  </si>
  <si>
    <t>IR-O-U-0473</t>
  </si>
  <si>
    <t>SRM</t>
  </si>
  <si>
    <t>IR-O-U-0323</t>
  </si>
  <si>
    <t>Savitribai</t>
  </si>
  <si>
    <t>Pune</t>
  </si>
  <si>
    <t>IR-O-U-0391</t>
  </si>
  <si>
    <t>BITS-P</t>
  </si>
  <si>
    <t>Pilani</t>
  </si>
  <si>
    <t>Rajasthan</t>
  </si>
  <si>
    <t>IR-O-U-0447</t>
  </si>
  <si>
    <t>Bharathiar</t>
  </si>
  <si>
    <t>IR-O-I-1480</t>
  </si>
  <si>
    <t>TIET</t>
  </si>
  <si>
    <t>Patiala</t>
  </si>
  <si>
    <t>Punjab</t>
  </si>
  <si>
    <t>IR-O-U-0308</t>
  </si>
  <si>
    <t>ICT</t>
  </si>
  <si>
    <t>IR-O-U-0260</t>
  </si>
  <si>
    <t>Kerala</t>
  </si>
  <si>
    <t>Thiruvananthapuram</t>
  </si>
  <si>
    <t>IR-O-U-0078</t>
  </si>
  <si>
    <t>Panjab</t>
  </si>
  <si>
    <t>Chandigarh</t>
  </si>
  <si>
    <t>IR-O-U-0476</t>
  </si>
  <si>
    <t>SASTRA</t>
  </si>
  <si>
    <t>Thanjavur</t>
  </si>
  <si>
    <t>IR-O-U-0747</t>
  </si>
  <si>
    <t>Chan</t>
  </si>
  <si>
    <t>Private</t>
  </si>
  <si>
    <t>Mohali</t>
  </si>
  <si>
    <t>IR-O-U-0020</t>
  </si>
  <si>
    <t>Koneru</t>
  </si>
  <si>
    <t>Vaddeswaram</t>
  </si>
  <si>
    <t>Andhra Pradesh</t>
  </si>
  <si>
    <t>IR-O-U-0458</t>
  </si>
  <si>
    <t>KARE</t>
  </si>
  <si>
    <t>Srivilliputtur</t>
  </si>
  <si>
    <t>IR-O-U-0435</t>
  </si>
  <si>
    <t>Alagappa</t>
  </si>
  <si>
    <t>Karaikudi</t>
  </si>
  <si>
    <t>IR-O-U-0262</t>
  </si>
  <si>
    <t>Mahatma</t>
  </si>
  <si>
    <t>Kottayam</t>
  </si>
  <si>
    <t>IR-O-U-0329</t>
  </si>
  <si>
    <t>Symbiosis</t>
  </si>
  <si>
    <t>IR-O-U-0196</t>
  </si>
  <si>
    <t>Kashmir</t>
  </si>
  <si>
    <t>Srinagar</t>
  </si>
  <si>
    <t>Jammu and Kashmir</t>
  </si>
  <si>
    <t>IR-O-U-0222</t>
  </si>
  <si>
    <t xml:space="preserve">JSS </t>
  </si>
  <si>
    <t>Mysuru</t>
  </si>
  <si>
    <t>IR-O-U-0497</t>
  </si>
  <si>
    <t>Amity</t>
  </si>
  <si>
    <t>Gautam Budh Nagar</t>
  </si>
  <si>
    <t>IR-O-U-0027</t>
  </si>
  <si>
    <t>Osmania</t>
  </si>
  <si>
    <t>IR-O-U-0253</t>
  </si>
  <si>
    <t>Cochin</t>
  </si>
  <si>
    <t>IR-O-U-0379</t>
  </si>
  <si>
    <t>LPU</t>
  </si>
  <si>
    <t>Phagwara</t>
  </si>
  <si>
    <t>IR-O-U-0295</t>
  </si>
  <si>
    <t>DMI</t>
  </si>
  <si>
    <t>Wardha</t>
  </si>
  <si>
    <t>IR-O-U-0098</t>
  </si>
  <si>
    <t>DTU</t>
  </si>
  <si>
    <t>IR-O-U-0448</t>
  </si>
  <si>
    <t>Bharathidasan</t>
  </si>
  <si>
    <t>Tiruchirappalli</t>
  </si>
  <si>
    <t>IR-O-U-0498</t>
  </si>
  <si>
    <t>BBAU</t>
  </si>
  <si>
    <t>Lucknow</t>
  </si>
  <si>
    <t>IR-O-U-0006</t>
  </si>
  <si>
    <t>Andhra</t>
  </si>
  <si>
    <t>Visakhapatnam</t>
  </si>
  <si>
    <t>IR-O-U-0235</t>
  </si>
  <si>
    <t>Mysore</t>
  </si>
  <si>
    <t>IR-O-U-0523</t>
  </si>
  <si>
    <t>KGM</t>
  </si>
  <si>
    <t>IR-O-I-1110</t>
  </si>
  <si>
    <t>Patil</t>
  </si>
  <si>
    <t>IR-O-N-10</t>
  </si>
  <si>
    <t>SVKMs</t>
  </si>
  <si>
    <t>IR-O-U-0376</t>
  </si>
  <si>
    <t>Guru</t>
  </si>
  <si>
    <t>Amritsar</t>
  </si>
  <si>
    <t>IR-O-U-0107</t>
  </si>
  <si>
    <t>Jamia</t>
  </si>
  <si>
    <t>IR-O-I-1357</t>
  </si>
  <si>
    <t>Madras</t>
  </si>
  <si>
    <t>IR-O-U-0474</t>
  </si>
  <si>
    <t>SIST</t>
  </si>
  <si>
    <t>IR-O-U-0564</t>
  </si>
  <si>
    <t>Dehradun</t>
  </si>
  <si>
    <t>Uttarakhand</t>
  </si>
  <si>
    <t>IR-O-U-0463</t>
  </si>
  <si>
    <t>MKU</t>
  </si>
  <si>
    <t>Madurai</t>
  </si>
  <si>
    <t>IR-O-U-0381</t>
  </si>
  <si>
    <t>PAU</t>
  </si>
  <si>
    <t>Ludhiana</t>
  </si>
  <si>
    <t>IR-O-U-0555</t>
  </si>
  <si>
    <t>GEU</t>
  </si>
  <si>
    <t>IR-O-U-0318</t>
  </si>
  <si>
    <t>IR-O-I-1486</t>
  </si>
  <si>
    <t>SRIHER</t>
  </si>
  <si>
    <t>IR-O-U-0389</t>
  </si>
  <si>
    <t>Banasthali</t>
  </si>
  <si>
    <t>IR-O-U-0470</t>
  </si>
  <si>
    <t>Periyar</t>
  </si>
  <si>
    <t>Salem</t>
  </si>
  <si>
    <t>IR-O-U-0037</t>
  </si>
  <si>
    <t>Venkateswara</t>
  </si>
  <si>
    <t>Tirupati</t>
  </si>
  <si>
    <t>IR-O-U-0136</t>
  </si>
  <si>
    <t>Gujarat</t>
  </si>
  <si>
    <t>Ahmedabad</t>
  </si>
  <si>
    <t>IR-O-U-0642</t>
  </si>
  <si>
    <t>SNU</t>
  </si>
  <si>
    <t>Gautam Buddha Nagar</t>
  </si>
  <si>
    <t>IR-O-U-0195</t>
  </si>
  <si>
    <t>Jammu</t>
  </si>
  <si>
    <t>IR-O-U-0249</t>
  </si>
  <si>
    <t>Visvesvaraya</t>
  </si>
  <si>
    <t>Belgaum</t>
  </si>
  <si>
    <t>IR-O-U-0239</t>
  </si>
  <si>
    <t>Mangaluru</t>
  </si>
  <si>
    <t>IR-O-U-0446</t>
  </si>
  <si>
    <t>Bharath</t>
  </si>
  <si>
    <t>IR-O-U-0217</t>
  </si>
  <si>
    <t>Christ</t>
  </si>
  <si>
    <t>IR-O-U-0223</t>
  </si>
  <si>
    <t>Jain</t>
  </si>
  <si>
    <t>IR-O-U-0056</t>
  </si>
  <si>
    <t>Tezpur</t>
  </si>
  <si>
    <t>Assam</t>
  </si>
  <si>
    <t>IR-O-U-0251</t>
  </si>
  <si>
    <t>Calicut</t>
  </si>
  <si>
    <t>Malappuram</t>
  </si>
  <si>
    <t>IR-O-U-0202</t>
  </si>
  <si>
    <t>BIT</t>
  </si>
  <si>
    <t>Ranchi</t>
  </si>
  <si>
    <t>Jharkhand</t>
  </si>
  <si>
    <t>IR-O-U-0485</t>
  </si>
  <si>
    <t>Tamil</t>
  </si>
  <si>
    <t>IR-O-U-0190</t>
  </si>
  <si>
    <t>Shoolini</t>
  </si>
  <si>
    <t>Solan</t>
  </si>
  <si>
    <t>Himachal Pradesh</t>
  </si>
  <si>
    <t>IR-O-U-0099</t>
  </si>
  <si>
    <t>IR-O-U-0043</t>
  </si>
  <si>
    <t>Vignans</t>
  </si>
  <si>
    <t>Guntur</t>
  </si>
  <si>
    <t>IR-O-U-0345</t>
  </si>
  <si>
    <t>Mizoram</t>
  </si>
  <si>
    <t>Aizawl</t>
  </si>
  <si>
    <t>IR-O-U-0370</t>
  </si>
  <si>
    <t>SBVM</t>
  </si>
  <si>
    <t>Puducherry</t>
  </si>
  <si>
    <t>Pondicherry</t>
  </si>
  <si>
    <t>IR-O-U-0168</t>
  </si>
  <si>
    <t>Maharishi</t>
  </si>
  <si>
    <t>Ambala</t>
  </si>
  <si>
    <t>Haryana</t>
  </si>
  <si>
    <t>IR-O-U-0554</t>
  </si>
  <si>
    <t>G.B.</t>
  </si>
  <si>
    <t>Pantnagar</t>
  </si>
  <si>
    <t>IR-O-U-0341</t>
  </si>
  <si>
    <t>NEHU</t>
  </si>
  <si>
    <t>Shillong</t>
  </si>
  <si>
    <t>Meghalaya</t>
  </si>
  <si>
    <t>IR-O-U-0444</t>
  </si>
  <si>
    <t>Avinashilingam</t>
  </si>
  <si>
    <t>IR-O-U-0451</t>
  </si>
  <si>
    <t>Chettinad</t>
  </si>
  <si>
    <t>Kelambakkam, Chengalpattu District</t>
  </si>
  <si>
    <t>IR-O-U-0464</t>
  </si>
  <si>
    <t>Manonmaniam</t>
  </si>
  <si>
    <t>Tirunelveli</t>
  </si>
  <si>
    <t>IR-O-U-0014</t>
  </si>
  <si>
    <t>IIIT</t>
  </si>
  <si>
    <t>IR-O-U-0250</t>
  </si>
  <si>
    <t>Yene</t>
  </si>
  <si>
    <t>IR-O-U-0569</t>
  </si>
  <si>
    <t>Burdwan</t>
  </si>
  <si>
    <t>Bardhaman</t>
  </si>
  <si>
    <t>IR-O-U-0541</t>
  </si>
  <si>
    <t>Sharda</t>
  </si>
  <si>
    <t>Greater Noida</t>
  </si>
  <si>
    <t>IR-O-U-0052</t>
  </si>
  <si>
    <t>Gauhati</t>
  </si>
  <si>
    <t>Guwahati</t>
  </si>
  <si>
    <t>IR-O-U-0449</t>
  </si>
  <si>
    <t>TN</t>
  </si>
  <si>
    <t>Tiruvarur</t>
  </si>
  <si>
    <t>IR-O-U-0248</t>
  </si>
  <si>
    <t>UAS</t>
  </si>
  <si>
    <t>Bangalore</t>
  </si>
  <si>
    <t>IR-O-I-1361</t>
  </si>
  <si>
    <t>Bharati</t>
  </si>
  <si>
    <t>IR-O-U-0461</t>
  </si>
  <si>
    <t>MGR</t>
  </si>
  <si>
    <t>IR-O-U-0366</t>
  </si>
  <si>
    <t>Utkal</t>
  </si>
  <si>
    <t>IR-O-U-0155</t>
  </si>
  <si>
    <t>Gurugram</t>
  </si>
  <si>
    <t>IR-O-C-6379</t>
  </si>
  <si>
    <t>NSUT</t>
  </si>
  <si>
    <t>South West</t>
  </si>
  <si>
    <t>IR-O-I-1280</t>
  </si>
  <si>
    <t>Maharshi</t>
  </si>
  <si>
    <t>Rohtak</t>
  </si>
  <si>
    <t>IR-O-U-0589</t>
  </si>
  <si>
    <t>Visva</t>
  </si>
  <si>
    <t>Santiniketan</t>
  </si>
  <si>
    <t>IR-O-U-0331</t>
  </si>
  <si>
    <t>TISS</t>
  </si>
  <si>
    <t>IR-O-U-0159</t>
  </si>
  <si>
    <t>CCSHAU</t>
  </si>
  <si>
    <t>Hisar</t>
  </si>
  <si>
    <t>IR-O-U-0372</t>
  </si>
  <si>
    <t>Bathinda</t>
  </si>
  <si>
    <t>Jamia Millia Islamia, New Delhi</t>
  </si>
  <si>
    <t>Manipal Academy of Higher Education, Manipal</t>
  </si>
  <si>
    <t>Birla Institute of Technology &amp; Science - Pilani</t>
  </si>
  <si>
    <t>Koneru Lakshmaiah Education Foundation University (K L College of Engineering</t>
  </si>
  <si>
    <t>Thapar Institute of Engineering and Technology</t>
  </si>
  <si>
    <t>SVKM`s Narsee Monjee Institute of Management Studies</t>
  </si>
  <si>
    <t>Datta Meghe Institute of Medical Sciences</t>
  </si>
  <si>
    <t>Bangalore University</t>
  </si>
  <si>
    <t>University of Petroleum and Energy Studies</t>
  </si>
  <si>
    <t>Pondicherry University</t>
  </si>
  <si>
    <t>Calicut University, Thenhipalem</t>
  </si>
  <si>
    <t>Krishna Institute of Medical Sciences Deemed University, Karad</t>
  </si>
  <si>
    <t>Jain University, Bangalore</t>
  </si>
  <si>
    <t>Padmashree Dr. D. Y. Patil Vidyapeeth, Mumbai</t>
  </si>
  <si>
    <t>Dr. Babasaheb Ambedkar Marathwada University, Aurangabad</t>
  </si>
  <si>
    <t>Kuvempu University</t>
  </si>
  <si>
    <t>Ashoka University</t>
  </si>
  <si>
    <t>KLE Academy of Higher Education and Research</t>
  </si>
  <si>
    <t>Gandhi Institute of Technology and Management</t>
  </si>
  <si>
    <t>NA</t>
  </si>
  <si>
    <t>Mahatma Gandhi University</t>
  </si>
  <si>
    <t>Calicut University</t>
  </si>
  <si>
    <t>PR</t>
  </si>
  <si>
    <t>Airpt (kms)</t>
  </si>
  <si>
    <t>RS (kms)</t>
  </si>
  <si>
    <t>RS_Name</t>
  </si>
  <si>
    <t>KSR</t>
  </si>
  <si>
    <t>NZM</t>
  </si>
  <si>
    <t>KOAA</t>
  </si>
  <si>
    <t>BSB</t>
  </si>
  <si>
    <t>SC</t>
  </si>
  <si>
    <t>CBE</t>
  </si>
  <si>
    <t>MAS</t>
  </si>
  <si>
    <t>NDLS</t>
  </si>
  <si>
    <t>CDG</t>
  </si>
  <si>
    <t>BBS</t>
  </si>
  <si>
    <t>MMCT</t>
  </si>
  <si>
    <t>Pune Jn</t>
  </si>
  <si>
    <t>JP/NDLS</t>
  </si>
  <si>
    <t>PTA</t>
  </si>
  <si>
    <t>TVC</t>
  </si>
  <si>
    <t>TJ</t>
  </si>
  <si>
    <t>BZA</t>
  </si>
  <si>
    <t>KTYM</t>
  </si>
  <si>
    <t>SINA</t>
  </si>
  <si>
    <t>MYS</t>
  </si>
  <si>
    <t>CHTS</t>
  </si>
  <si>
    <t>JUC</t>
  </si>
  <si>
    <t>WR</t>
  </si>
  <si>
    <t>TPJ</t>
  </si>
  <si>
    <t>LKO</t>
  </si>
  <si>
    <t>VSKP</t>
  </si>
  <si>
    <t>ASR</t>
  </si>
  <si>
    <t>DDN</t>
  </si>
  <si>
    <t>MDU</t>
  </si>
  <si>
    <t>LDH</t>
  </si>
  <si>
    <t>JP</t>
  </si>
  <si>
    <t>SA</t>
  </si>
  <si>
    <t>TPTY</t>
  </si>
  <si>
    <t>AMD</t>
  </si>
  <si>
    <t>JAT</t>
  </si>
  <si>
    <t>BGM</t>
  </si>
  <si>
    <t>MAQ</t>
  </si>
  <si>
    <t>CLT</t>
  </si>
  <si>
    <t>RNC</t>
  </si>
  <si>
    <t>BTI</t>
  </si>
  <si>
    <t>HSR</t>
  </si>
  <si>
    <t>ROK</t>
  </si>
  <si>
    <t>TPE</t>
  </si>
  <si>
    <t>GHY</t>
  </si>
  <si>
    <t>BWN</t>
  </si>
  <si>
    <t>MAJN</t>
  </si>
  <si>
    <t>TEN</t>
  </si>
  <si>
    <t>NSLNG</t>
  </si>
  <si>
    <t>BE</t>
  </si>
  <si>
    <t>UMB</t>
  </si>
  <si>
    <t>100kms</t>
  </si>
  <si>
    <t>200kms</t>
  </si>
  <si>
    <t>300kms</t>
  </si>
  <si>
    <t>400kms</t>
  </si>
  <si>
    <t>500kms</t>
  </si>
  <si>
    <t>600kms</t>
  </si>
  <si>
    <t>7 sisters</t>
  </si>
  <si>
    <t>Remarks</t>
  </si>
  <si>
    <t>Punjab, hariyana (UT)</t>
  </si>
  <si>
    <t>UT</t>
  </si>
  <si>
    <t>TFR_Tot</t>
  </si>
  <si>
    <t>RS_Km</t>
  </si>
  <si>
    <t>Border_100Kms</t>
  </si>
  <si>
    <t>Patent</t>
  </si>
  <si>
    <t>Sr No.</t>
  </si>
  <si>
    <t>Name of Country</t>
  </si>
  <si>
    <t>Tanzania</t>
  </si>
  <si>
    <t>Sri Lanka</t>
  </si>
  <si>
    <t>Belgium</t>
  </si>
  <si>
    <t>Luxembourg</t>
  </si>
  <si>
    <t>Bulgaria</t>
  </si>
  <si>
    <t>South Africa</t>
  </si>
  <si>
    <t>Serbia</t>
  </si>
  <si>
    <t>Estonia</t>
  </si>
  <si>
    <t>Germany</t>
  </si>
  <si>
    <t>Italy</t>
  </si>
  <si>
    <t>UK</t>
  </si>
  <si>
    <t>Russia</t>
  </si>
  <si>
    <t>Columbia</t>
  </si>
  <si>
    <t>Canada</t>
  </si>
  <si>
    <t>Argentina</t>
  </si>
  <si>
    <t>USA</t>
  </si>
  <si>
    <t>Oman</t>
  </si>
  <si>
    <t>Egypt</t>
  </si>
  <si>
    <t>Iran</t>
  </si>
  <si>
    <t>Venezuela</t>
  </si>
  <si>
    <t>Czech Republic</t>
  </si>
  <si>
    <t>China</t>
  </si>
  <si>
    <t>Hong Kong</t>
  </si>
  <si>
    <t>Uzbekistan</t>
  </si>
  <si>
    <t>South Korea</t>
  </si>
  <si>
    <t>Cyprus</t>
  </si>
  <si>
    <t>Australia</t>
  </si>
  <si>
    <t>Vietnam</t>
  </si>
  <si>
    <t>Greece</t>
  </si>
  <si>
    <t>Armenia</t>
  </si>
  <si>
    <t>Georgia</t>
  </si>
  <si>
    <t>Thailand</t>
  </si>
  <si>
    <t>Indonesia</t>
  </si>
  <si>
    <t>Lebanon</t>
  </si>
  <si>
    <t>Bhutan</t>
  </si>
  <si>
    <t>Kazakhstan</t>
  </si>
  <si>
    <t>Azerbaijan</t>
  </si>
  <si>
    <t>Taiwan</t>
  </si>
  <si>
    <t>Mauritius</t>
  </si>
  <si>
    <t>Brunei</t>
  </si>
  <si>
    <t>Japan</t>
  </si>
  <si>
    <t>Iceland</t>
  </si>
  <si>
    <t>Turkey</t>
  </si>
  <si>
    <t>Malaysia</t>
  </si>
  <si>
    <t>Kyrgyz Republic</t>
  </si>
  <si>
    <t>Spain</t>
  </si>
  <si>
    <t>Slovenia</t>
  </si>
  <si>
    <t>Tajikistan</t>
  </si>
  <si>
    <t>Belarus</t>
  </si>
  <si>
    <t>UAE</t>
  </si>
  <si>
    <t>Brazil</t>
  </si>
  <si>
    <t>Trinidad &amp; Tobago</t>
  </si>
  <si>
    <t>Ukraine</t>
  </si>
  <si>
    <t>Denmark</t>
  </si>
  <si>
    <t>Poland</t>
  </si>
  <si>
    <t>Bahrain</t>
  </si>
  <si>
    <t>Philippines</t>
  </si>
  <si>
    <t>Finland</t>
  </si>
  <si>
    <t>Hungary</t>
  </si>
  <si>
    <t>Switzerland</t>
  </si>
  <si>
    <t>Romania</t>
  </si>
  <si>
    <t>Moldova</t>
  </si>
  <si>
    <t>Albania</t>
  </si>
  <si>
    <t>Barbados</t>
  </si>
  <si>
    <t>St Lucia</t>
  </si>
  <si>
    <t>Netherlands</t>
  </si>
  <si>
    <t>Sweden</t>
  </si>
  <si>
    <t>Latvia</t>
  </si>
  <si>
    <t>Total</t>
  </si>
  <si>
    <t>Indian Institute of Science, Bengaluru</t>
  </si>
  <si>
    <t>Birla Institute of Technology and Science, Pilani</t>
  </si>
  <si>
    <t>Andhra University</t>
  </si>
  <si>
    <t>Shanmugha Arts Science Technology and Research Academy</t>
  </si>
  <si>
    <t>Babasaheb Bhimrao Ambedkar University</t>
  </si>
  <si>
    <t>Punjab Agricultural University</t>
  </si>
  <si>
    <t>Acharya Nagarjuna University</t>
  </si>
  <si>
    <t>Manipal University, Jaipur</t>
  </si>
  <si>
    <t>Sri Balaji Vidyapeeth Mahatma Gandhi Medical College</t>
  </si>
  <si>
    <t>Maharishi Markandeshwar (Deemed to be University)</t>
  </si>
  <si>
    <t>Bharath Institute of Higher Education and Research</t>
  </si>
  <si>
    <t>Sant Longowal Institute of Engineering and Technology</t>
  </si>
  <si>
    <t>G.B. Pant Universtiy of Agriculture and Technology</t>
  </si>
  <si>
    <t>University of Agricultural Sciences</t>
  </si>
  <si>
    <t>Chitkara University</t>
  </si>
  <si>
    <t>Manav Rachna International Institute of Research and Studies</t>
  </si>
  <si>
    <t>Madan Mohan Malaviya University of Technology</t>
  </si>
  <si>
    <t>Vel Tech Rangarajan Dr. Sagunthala R &amp; D Institute of Science and Technology</t>
  </si>
  <si>
    <t>University of Lucknow</t>
  </si>
  <si>
    <t>Avinashilingam Institute for Home Science and Higher Education for Women</t>
  </si>
  <si>
    <t>IPR (15)</t>
  </si>
  <si>
    <t>RD (30)</t>
  </si>
  <si>
    <t>Rank_IPR(15)</t>
  </si>
  <si>
    <t>Rank_RD(30)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</si>
</sst>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4" borderId="2" xfId="0" applyFont="1" applyFill="1" applyBorder="1"/>
    <xf numFmtId="0" fontId="6" fillId="0" borderId="2" xfId="0" applyFont="1" applyBorder="1"/>
    <xf numFmtId="0" fontId="6" fillId="4" borderId="2" xfId="0" applyFont="1" applyFill="1" applyBorder="1" applyAlignment="1">
      <alignment wrapText="1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6" fillId="4" borderId="3" xfId="0" applyFont="1" applyFill="1" applyBorder="1"/>
    <xf numFmtId="0" fontId="6" fillId="0" borderId="3" xfId="0" applyFont="1" applyBorder="1"/>
    <xf numFmtId="0" fontId="6" fillId="4" borderId="3" xfId="0" applyFont="1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quotePrefix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0" fillId="0" borderId="0" xfId="0" applyNumberFormat="1"/>
    <xf numFmtId="0" fontId="0" fillId="0" borderId="2" xfId="0" applyBorder="1"/>
    <xf numFmtId="0" fontId="8" fillId="5" borderId="5" xfId="0" applyFont="1" applyFill="1" applyBorder="1" applyAlignment="1">
      <alignment horizontal="center" vertical="center"/>
    </xf>
    <xf numFmtId="0" fontId="6" fillId="6" borderId="5" xfId="0" applyFont="1" applyFill="1" applyBorder="1"/>
    <xf numFmtId="0" fontId="6" fillId="0" borderId="5" xfId="0" applyFont="1" applyBorder="1"/>
    <xf numFmtId="0" fontId="8" fillId="5" borderId="6" xfId="0" applyFont="1" applyFill="1" applyBorder="1" applyAlignment="1">
      <alignment horizontal="center" vertical="center"/>
    </xf>
    <xf numFmtId="0" fontId="6" fillId="6" borderId="6" xfId="0" applyFont="1" applyFill="1" applyBorder="1"/>
    <xf numFmtId="0" fontId="6" fillId="0" borderId="6" xfId="0" applyFont="1" applyBorder="1"/>
    <xf numFmtId="2" fontId="6" fillId="6" borderId="6" xfId="0" applyNumberFormat="1" applyFont="1" applyFill="1" applyBorder="1"/>
    <xf numFmtId="2" fontId="6" fillId="0" borderId="6" xfId="0" applyNumberFormat="1" applyFont="1" applyBorder="1"/>
    <xf numFmtId="0" fontId="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2"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alignment horizontal="center"/>
    </dxf>
    <dxf>
      <numFmt numFmtId="0" formatCode="General"/>
      <alignment horizontal="center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/>
    </dxf>
    <dxf>
      <numFmt numFmtId="0" formatCode="General"/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8F875-CD1A-452E-959F-12A0197BB60F}" name="Table_0" displayName="Table_0" ref="B1:AO101" totalsRowShown="0" headerRowDxfId="41" dataDxfId="40">
  <autoFilter ref="B1:AO101" xr:uid="{C978F875-CD1A-452E-959F-12A0197BB60F}"/>
  <sortState xmlns:xlrd2="http://schemas.microsoft.com/office/spreadsheetml/2017/richdata2" ref="B2:AE101">
    <sortCondition descending="1" ref="J1:J101"/>
  </sortState>
  <tableColumns count="40">
    <tableColumn id="1" xr3:uid="{C98230D5-E30F-4F86-90C7-8A1F44919AEC}" name="Institute ID" dataDxfId="39"/>
    <tableColumn id="2" xr3:uid="{93A02AD9-8DDD-4911-B6DB-627BD222CBB2}" name="Name" dataDxfId="38"/>
    <tableColumn id="6" xr3:uid="{7428248B-C4DF-4BB1-A745-1402058FB2CC}" name="Name2" dataDxfId="37"/>
    <tableColumn id="30" xr3:uid="{3A878C74-D678-4ABE-851D-CF45B02B221B}" name="Type of Univ" dataDxfId="36"/>
    <tableColumn id="29" xr3:uid="{49D76C09-25A9-4B36-B4F0-672206AC0EA3}" name="Funding" dataDxfId="35"/>
    <tableColumn id="3" xr3:uid="{D8571D98-9A2A-49FA-B4BB-B5E6C56FC5EC}" name="City" dataDxfId="34"/>
    <tableColumn id="28" xr3:uid="{B7C63DDC-7B01-405C-A777-8FE2E18C1666}" name="HRA" dataDxfId="33"/>
    <tableColumn id="4" xr3:uid="{140FE3B6-F9F1-4074-8140-D1FA244A6605}" name="State" dataDxfId="32"/>
    <tableColumn id="5" xr3:uid="{75BD6AE5-A5BD-444B-B60B-669D928A2945}" name="Score" dataDxfId="31"/>
    <tableColumn id="7" xr3:uid="{D49B4F7D-1A29-4906-ACD2-B38FF4AE405F}" name="TLR (100)" dataDxfId="30"/>
    <tableColumn id="8" xr3:uid="{D24583E5-DE4A-4E83-965B-5A38728556A5}" name="RPC (100" dataDxfId="29"/>
    <tableColumn id="9" xr3:uid="{04D69F55-C4D1-42BE-8874-79AF2E97B1C4}" name="GO (100)" dataDxfId="28"/>
    <tableColumn id="10" xr3:uid="{A33C551F-B057-47C8-BF4F-45AD00D03CCF}" name="OI (100)" dataDxfId="27"/>
    <tableColumn id="11" xr3:uid="{88C2A751-8CC9-4155-B21D-F3C08D518D1E}" name="PR(100)" dataDxfId="26"/>
    <tableColumn id="12" xr3:uid="{5331BA6F-133F-45D8-82D9-7861FD8C903E}" name="SS(20)" dataDxfId="25"/>
    <tableColumn id="13" xr3:uid="{470D69A3-0C8E-4336-9059-7100C228B921}" name="FSR(25)" dataDxfId="24"/>
    <tableColumn id="14" xr3:uid="{22BEABE8-212C-4C4B-972A-EB84A70D6280}" name="FQE(20)" dataDxfId="23"/>
    <tableColumn id="15" xr3:uid="{301817C4-E842-4607-AF5A-C7C8E7B21756}" name="FRU(20)" dataDxfId="22"/>
    <tableColumn id="16" xr3:uid="{1FA93986-9C52-4B39-8EA2-CF01FF5C3F4D}" name="OE(15)" dataDxfId="21"/>
    <tableColumn id="17" xr3:uid="{5B787377-0813-4D86-A7AE-1DD258686C2A}" name="PU(35)" dataDxfId="20"/>
    <tableColumn id="18" xr3:uid="{15838182-DA5A-47ED-A414-5CE395F0AE54}" name="QP(35)" dataDxfId="19"/>
    <tableColumn id="19" xr3:uid="{F1FAC188-F657-48B6-AB5E-2832C4699D07}" name="IPR(15)" dataDxfId="18"/>
    <tableColumn id="20" xr3:uid="{E8F7B455-DEF5-4957-AAEC-9316EC45DF47}" name="FPPP(15)" dataDxfId="17"/>
    <tableColumn id="21" xr3:uid="{8C4ABB4B-A4D9-4CE3-BF55-AC2715178599}" name="GUE(60)" dataDxfId="16"/>
    <tableColumn id="22" xr3:uid="{3E29653E-7565-4931-ACE8-C401EB6196DC}" name="GPHD(40)" dataDxfId="15"/>
    <tableColumn id="23" xr3:uid="{CAD4F329-168E-4B59-BBAA-113D0CF84E13}" name="RD(30)" dataDxfId="14"/>
    <tableColumn id="24" xr3:uid="{718D5AB6-ADDF-4D7E-B083-B3EB4AECD87B}" name="WD(30)" dataDxfId="13"/>
    <tableColumn id="25" xr3:uid="{99303525-5256-4383-B079-A83D511D3DD9}" name="ESCS(20)" dataDxfId="12"/>
    <tableColumn id="26" xr3:uid="{A836B6C8-9BE0-4DBB-987A-C2ED7C683587}" name="PCS(20)" dataDxfId="11"/>
    <tableColumn id="27" xr3:uid="{9F75542D-D32A-450F-B6F9-A65DCDCB8BBD}" name="PR(100)2" dataDxfId="10"/>
    <tableColumn id="31" xr3:uid="{B3DD3F79-C924-4AA9-B9D4-2BA196D8DEC5}" name="RS (kms)" dataDxfId="9"/>
    <tableColumn id="32" xr3:uid="{09ED2B5D-24EC-4B1E-8A12-258F0A63C8F9}" name="Airpt (kms)" dataDxfId="8"/>
    <tableColumn id="33" xr3:uid="{F217D0CA-4F2A-4F37-819C-6F98768A2E3E}" name="RS_Name" dataDxfId="7"/>
    <tableColumn id="34" xr3:uid="{85950E68-AC3E-4E53-83D5-727C2411D212}" name="100kms" dataDxfId="6"/>
    <tableColumn id="35" xr3:uid="{FA1B54A8-4716-45B6-8007-C24456C224B3}" name="200kms" dataDxfId="5"/>
    <tableColumn id="36" xr3:uid="{F9223A8E-5924-4044-BE2D-91307A2225D0}" name="300kms" dataDxfId="4"/>
    <tableColumn id="37" xr3:uid="{A8584904-C1E0-46F7-B3DE-853413F238E8}" name="400kms" dataDxfId="3"/>
    <tableColumn id="38" xr3:uid="{1CDFF986-4CC9-4E52-8944-91A9C41B8149}" name="500kms" dataDxfId="2"/>
    <tableColumn id="39" xr3:uid="{A624CB1F-3AA1-482B-9E83-A79F435637F7}" name="600kms" dataDxfId="1"/>
    <tableColumn id="40" xr3:uid="{E34FC50B-B9A4-4377-8B25-0502555E2CF7}" name="Remark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pane xSplit="2" topLeftCell="C1" activePane="topRight" state="frozen"/>
      <selection pane="topRight" activeCell="E9" sqref="E9"/>
    </sheetView>
  </sheetViews>
  <sheetFormatPr defaultColWidth="9.1796875" defaultRowHeight="14" x14ac:dyDescent="0.35"/>
  <cols>
    <col min="1" max="1" width="5.54296875" style="4" bestFit="1" customWidth="1"/>
    <col min="2" max="2" width="53.26953125" style="5" customWidth="1"/>
    <col min="3" max="3" width="10.54296875" style="4" customWidth="1"/>
    <col min="4" max="4" width="8.81640625" style="4" bestFit="1" customWidth="1"/>
    <col min="5" max="5" width="9" style="4" bestFit="1" customWidth="1"/>
    <col min="6" max="6" width="11.1796875" style="4" customWidth="1"/>
    <col min="7" max="7" width="7.7265625" style="4" customWidth="1"/>
    <col min="8" max="8" width="8.54296875" style="4" customWidth="1"/>
    <col min="9" max="9" width="8.54296875" style="4" bestFit="1" customWidth="1"/>
    <col min="10" max="10" width="13.1796875" style="4" customWidth="1"/>
    <col min="11" max="11" width="11.54296875" style="4" customWidth="1"/>
    <col min="12" max="12" width="12.1796875" style="4" customWidth="1"/>
    <col min="13" max="13" width="10.26953125" style="4" customWidth="1"/>
    <col min="14" max="14" width="9.26953125" style="4" customWidth="1"/>
    <col min="15" max="16" width="10" style="4" customWidth="1"/>
    <col min="17" max="17" width="11.54296875" style="4" customWidth="1"/>
    <col min="18" max="18" width="11.1796875" style="4" customWidth="1"/>
    <col min="19" max="19" width="11.81640625" style="4" customWidth="1"/>
    <col min="20" max="20" width="11.453125" style="4" customWidth="1"/>
    <col min="21" max="21" width="10.1796875" style="4" customWidth="1"/>
    <col min="22" max="22" width="10.81640625" style="4" bestFit="1" customWidth="1"/>
    <col min="23" max="23" width="7.7265625" style="4" bestFit="1" customWidth="1"/>
    <col min="24" max="25" width="9.1796875" style="4"/>
    <col min="26" max="26" width="10.26953125" style="4" customWidth="1"/>
    <col min="27" max="27" width="10" style="4" customWidth="1"/>
    <col min="28" max="28" width="12" style="4" bestFit="1" customWidth="1"/>
    <col min="29" max="29" width="12.54296875" style="4" customWidth="1"/>
    <col min="30" max="30" width="12.26953125" style="4" customWidth="1"/>
    <col min="31" max="31" width="10.81640625" style="4" bestFit="1" customWidth="1"/>
    <col min="32" max="32" width="12.453125" style="4" customWidth="1"/>
    <col min="33" max="34" width="13.26953125" style="4" bestFit="1" customWidth="1"/>
    <col min="35" max="35" width="11.54296875" style="4" customWidth="1"/>
    <col min="36" max="36" width="10.7265625" style="4" customWidth="1"/>
    <col min="37" max="37" width="9.54296875" style="4" bestFit="1" customWidth="1"/>
    <col min="38" max="38" width="13.26953125" style="4" customWidth="1"/>
    <col min="39" max="39" width="11.453125" style="4" customWidth="1"/>
    <col min="40" max="40" width="14" style="4" customWidth="1"/>
    <col min="41" max="41" width="12.453125" style="4" customWidth="1"/>
    <col min="42" max="42" width="25" style="4" customWidth="1"/>
    <col min="43" max="43" width="11.7265625" style="4" customWidth="1"/>
    <col min="44" max="44" width="13.453125" style="4" customWidth="1"/>
    <col min="45" max="45" width="12.7265625" style="4" customWidth="1"/>
    <col min="46" max="46" width="8.1796875" style="4" customWidth="1"/>
    <col min="47" max="47" width="17.81640625" style="4" customWidth="1"/>
    <col min="48" max="51" width="9.1796875" style="4"/>
    <col min="52" max="52" width="2.1796875" style="4" bestFit="1" customWidth="1"/>
    <col min="53" max="16384" width="9.1796875" style="4"/>
  </cols>
  <sheetData>
    <row r="1" spans="1:52" s="1" customFormat="1" ht="28" x14ac:dyDescent="0.35">
      <c r="B1" s="2"/>
      <c r="C1" s="3" t="s">
        <v>0</v>
      </c>
      <c r="D1" s="41" t="s">
        <v>1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41" t="s">
        <v>2</v>
      </c>
      <c r="R1" s="41"/>
      <c r="S1" s="41"/>
      <c r="T1" s="41"/>
      <c r="U1" s="41"/>
      <c r="V1" s="41"/>
      <c r="W1" s="41"/>
      <c r="X1" s="41" t="s">
        <v>3</v>
      </c>
      <c r="Y1" s="41"/>
      <c r="Z1" s="41"/>
      <c r="AA1" s="41"/>
      <c r="AB1" s="41" t="s">
        <v>4</v>
      </c>
      <c r="AC1" s="41"/>
      <c r="AD1" s="41"/>
      <c r="AE1" s="41"/>
      <c r="AF1" s="41"/>
      <c r="AG1" s="41" t="s">
        <v>5</v>
      </c>
      <c r="AH1" s="41"/>
      <c r="AI1" s="41"/>
      <c r="AJ1" s="41" t="s">
        <v>6</v>
      </c>
      <c r="AK1" s="41"/>
      <c r="AL1" s="41"/>
      <c r="AM1" s="41" t="s">
        <v>7</v>
      </c>
      <c r="AN1" s="41"/>
      <c r="AO1" s="41"/>
      <c r="AP1" s="41" t="s">
        <v>8</v>
      </c>
      <c r="AQ1" s="41"/>
      <c r="AR1" s="41"/>
      <c r="AS1" s="41" t="s">
        <v>9</v>
      </c>
      <c r="AT1" s="41"/>
      <c r="AU1" s="3" t="s">
        <v>10</v>
      </c>
    </row>
    <row r="2" spans="1:52" s="3" customFormat="1" ht="72" customHeight="1" x14ac:dyDescent="0.3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36</v>
      </c>
      <c r="AB2" s="3" t="s">
        <v>37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  <c r="AJ2" s="3" t="s">
        <v>45</v>
      </c>
      <c r="AK2" s="3" t="s">
        <v>46</v>
      </c>
      <c r="AL2" s="3" t="s">
        <v>47</v>
      </c>
      <c r="AM2" s="3" t="s">
        <v>48</v>
      </c>
      <c r="AN2" s="3" t="s">
        <v>49</v>
      </c>
      <c r="AO2" s="3" t="s">
        <v>50</v>
      </c>
      <c r="AP2" s="3" t="s">
        <v>51</v>
      </c>
      <c r="AQ2" s="3" t="s">
        <v>52</v>
      </c>
      <c r="AR2" s="3" t="s">
        <v>53</v>
      </c>
      <c r="AS2" s="3" t="s">
        <v>54</v>
      </c>
      <c r="AT2" s="3" t="s">
        <v>55</v>
      </c>
      <c r="AU2" s="3" t="s">
        <v>56</v>
      </c>
      <c r="AV2" s="3" t="s">
        <v>57</v>
      </c>
      <c r="AW2" s="3" t="s">
        <v>562</v>
      </c>
      <c r="AX2" s="3" t="s">
        <v>565</v>
      </c>
    </row>
    <row r="3" spans="1:52" x14ac:dyDescent="0.35">
      <c r="A3" s="4">
        <f>ROW(B3)-2</f>
        <v>1</v>
      </c>
      <c r="B3" s="5" t="s">
        <v>58</v>
      </c>
      <c r="C3" s="4">
        <f>SUM(137+523+34+120+457+28+120+75+120)</f>
        <v>1614</v>
      </c>
      <c r="D3" s="4">
        <f>SUM(420+877+126)</f>
        <v>1423</v>
      </c>
      <c r="E3" s="4">
        <f>SUM(56+145+37)</f>
        <v>238</v>
      </c>
      <c r="F3" s="4">
        <f>SUM(D3+E3)</f>
        <v>1661</v>
      </c>
      <c r="G3" s="4">
        <f>SUM(66+37+12)</f>
        <v>115</v>
      </c>
      <c r="H3" s="4">
        <f>SUM(403+978+146)</f>
        <v>1527</v>
      </c>
      <c r="I3" s="4">
        <f>SUM(7+7+5)</f>
        <v>19</v>
      </c>
      <c r="J3" s="4">
        <f>SUM(31+122+17)</f>
        <v>170</v>
      </c>
      <c r="K3" s="4">
        <f>SUM(231+523+42)</f>
        <v>796</v>
      </c>
      <c r="L3" s="4">
        <v>0</v>
      </c>
      <c r="M3" s="4">
        <v>0</v>
      </c>
      <c r="N3" s="4">
        <f>SUM(95+204+20)</f>
        <v>319</v>
      </c>
      <c r="O3" s="4">
        <f>SUM(167+441+39)</f>
        <v>647</v>
      </c>
      <c r="P3" s="4">
        <f>W3/T3</f>
        <v>0.2424924924924925</v>
      </c>
      <c r="Q3" s="4">
        <f>SUM(120+120+120+456+456+457+56+56+75)</f>
        <v>1916</v>
      </c>
      <c r="R3" s="4">
        <f>SUM(115+105+106+295+421+468+54+54+72)</f>
        <v>1690</v>
      </c>
      <c r="S3" s="4">
        <f>0</f>
        <v>0</v>
      </c>
      <c r="T3" s="4">
        <f>SUM(83+91+98+233+386+318+52+51+20)</f>
        <v>1332</v>
      </c>
      <c r="U3" s="4">
        <f>SUM(12+6+4+159+234+287+33+36+13)</f>
        <v>784</v>
      </c>
      <c r="V3" s="4">
        <f>SUM(1000000+1350000+2250000+2354590+2000000+2250000+2375000+2169000+2750000)</f>
        <v>18498590</v>
      </c>
      <c r="W3" s="4">
        <f>SUM(71+85+89+9+30+12+6+15+6)</f>
        <v>323</v>
      </c>
      <c r="X3" s="4">
        <v>2750</v>
      </c>
      <c r="Y3" s="4">
        <v>148</v>
      </c>
      <c r="Z3" s="4">
        <f>SUM(269+329+336)</f>
        <v>934</v>
      </c>
      <c r="AA3" s="4">
        <f>SUM(15+23+20)</f>
        <v>58</v>
      </c>
      <c r="AB3" s="4">
        <f>SUM(338527338+162497776+154075611)</f>
        <v>655100725</v>
      </c>
      <c r="AC3" s="4">
        <f>SUM(1453587730+1662208873+511733876)</f>
        <v>3627530479</v>
      </c>
      <c r="AD3" s="4">
        <f>SUM(32057107+16537825+45132989)</f>
        <v>93727921</v>
      </c>
      <c r="AE3" s="4">
        <f>SUM(2368699+0+7694288)</f>
        <v>10062987</v>
      </c>
      <c r="AF3" s="4">
        <f>SUM(728618225+533739409+303342811)</f>
        <v>1565700445</v>
      </c>
      <c r="AG3" s="4">
        <f>SUM(4102153668+4083641812+4205647106)</f>
        <v>12391442586</v>
      </c>
      <c r="AH3" s="4">
        <f>SUM(1250256552+1317385662+1476221672)</f>
        <v>4043863886</v>
      </c>
      <c r="AI3" s="4">
        <f>SUM(3626240+4816410+40961615)</f>
        <v>49404265</v>
      </c>
      <c r="AJ3" s="4">
        <f>SUM(1178+1594+1236)</f>
        <v>4008</v>
      </c>
      <c r="AK3" s="4">
        <f>SUM(106+189+153)</f>
        <v>448</v>
      </c>
      <c r="AL3" s="4">
        <f>SUM(5437309580+5257220083+4452945226)</f>
        <v>15147474889</v>
      </c>
      <c r="AM3" s="4">
        <f>SUM(158+224+233)</f>
        <v>615</v>
      </c>
      <c r="AN3" s="4">
        <f>SUM(231+167+188)</f>
        <v>586</v>
      </c>
      <c r="AO3" s="4">
        <f>SUM(734281053+730156841+545452150)</f>
        <v>2009890044</v>
      </c>
      <c r="AP3" s="4">
        <f>29+10+20</f>
        <v>59</v>
      </c>
      <c r="AQ3" s="4">
        <f>797+386+478</f>
        <v>1661</v>
      </c>
      <c r="AR3" s="4">
        <f>SUM(119485767+13821063+7855184)</f>
        <v>141162014</v>
      </c>
      <c r="AS3" s="4" t="s">
        <v>59</v>
      </c>
      <c r="AT3" s="4">
        <v>3.67</v>
      </c>
      <c r="AU3" s="4">
        <v>482</v>
      </c>
      <c r="AV3" s="4">
        <v>1909</v>
      </c>
      <c r="AW3" s="4">
        <f>SUM(L3:O3)</f>
        <v>966</v>
      </c>
    </row>
    <row r="4" spans="1:52" x14ac:dyDescent="0.35">
      <c r="A4" s="4">
        <f t="shared" ref="A4:A67" si="0">ROW(B4)-2</f>
        <v>2</v>
      </c>
      <c r="B4" s="5" t="s">
        <v>60</v>
      </c>
      <c r="C4" s="4">
        <f>431+1583+146+431+1569+146+431+126+95</f>
        <v>4958</v>
      </c>
      <c r="D4" s="4">
        <f>731+1826+414</f>
        <v>2971</v>
      </c>
      <c r="E4" s="4">
        <f>497+1842+38</f>
        <v>2377</v>
      </c>
      <c r="F4" s="4">
        <f>SUM(D4:E4)</f>
        <v>5348</v>
      </c>
      <c r="G4" s="4">
        <f>67+334+18</f>
        <v>419</v>
      </c>
      <c r="H4" s="4">
        <f>1143+3286+432</f>
        <v>4861</v>
      </c>
      <c r="I4" s="4">
        <f>18+48+2</f>
        <v>68</v>
      </c>
      <c r="J4" s="4">
        <f>200+396+60</f>
        <v>656</v>
      </c>
      <c r="K4" s="4">
        <f>724+2087+242</f>
        <v>3053</v>
      </c>
      <c r="L4" s="4">
        <v>0</v>
      </c>
      <c r="M4" s="4">
        <v>228</v>
      </c>
      <c r="N4" s="4">
        <v>0</v>
      </c>
      <c r="O4" s="4">
        <f>924+2483+74</f>
        <v>3481</v>
      </c>
      <c r="P4" s="4">
        <f t="shared" ref="P4:P67" si="1">W4/T4</f>
        <v>0.44357212953876352</v>
      </c>
      <c r="Q4" s="4">
        <f>426+430+431+1043+1510+1569+0</f>
        <v>5409</v>
      </c>
      <c r="R4" s="4">
        <f>404+414+441+901+1264+1438+0</f>
        <v>4862</v>
      </c>
      <c r="S4" s="4">
        <v>0</v>
      </c>
      <c r="T4" s="4">
        <f>310+320+353+895+918+1280+0</f>
        <v>4076</v>
      </c>
      <c r="U4" s="4">
        <f>20+28+21+89+89+86+0</f>
        <v>333</v>
      </c>
      <c r="V4" s="4">
        <f>600000+600000+600000+785000+800000+795000</f>
        <v>4180000</v>
      </c>
      <c r="W4" s="4">
        <f>290+282+332+301+219+384+0</f>
        <v>1808</v>
      </c>
      <c r="X4" s="4">
        <f>3845</f>
        <v>3845</v>
      </c>
      <c r="Y4" s="4">
        <v>0</v>
      </c>
      <c r="Z4" s="4">
        <v>1864</v>
      </c>
      <c r="AA4" s="4">
        <v>0</v>
      </c>
      <c r="AB4" s="4">
        <f>8269264+5669503+6144391</f>
        <v>20083158</v>
      </c>
      <c r="AC4" s="4">
        <f>18145270+48577260+32113437</f>
        <v>98835967</v>
      </c>
      <c r="AD4" s="4">
        <f>0+0+17424459</f>
        <v>17424459</v>
      </c>
      <c r="AE4" s="4">
        <f>0</f>
        <v>0</v>
      </c>
      <c r="AF4" s="4">
        <f>239215482+222636318+33688975</f>
        <v>495540775</v>
      </c>
      <c r="AG4" s="4">
        <f>4438181163+4083215424+5250423559</f>
        <v>13771820146</v>
      </c>
      <c r="AH4" s="4">
        <f>953325482+945348184+1435975326</f>
        <v>3334648992</v>
      </c>
      <c r="AI4" s="4">
        <f>3751541+961252+4518018</f>
        <v>9230811</v>
      </c>
      <c r="AJ4" s="4">
        <f>298+302+307</f>
        <v>907</v>
      </c>
      <c r="AK4" s="4">
        <f>54+26+26</f>
        <v>106</v>
      </c>
      <c r="AL4" s="4">
        <f>298611768+217895251+294177607</f>
        <v>810684626</v>
      </c>
      <c r="AM4" s="4">
        <f>22+10+31</f>
        <v>63</v>
      </c>
      <c r="AN4" s="4">
        <f>22+10+30</f>
        <v>62</v>
      </c>
      <c r="AO4" s="4">
        <f>10918644+2063847+8446387</f>
        <v>21428878</v>
      </c>
      <c r="AP4" s="4">
        <f>10+10+10</f>
        <v>30</v>
      </c>
      <c r="AQ4" s="4">
        <f>240+234+281</f>
        <v>755</v>
      </c>
      <c r="AR4" s="4">
        <f>52560+51246+61758</f>
        <v>165564</v>
      </c>
      <c r="AS4" s="4" t="s">
        <v>59</v>
      </c>
      <c r="AT4" s="4">
        <v>3.77</v>
      </c>
      <c r="AU4" s="4">
        <v>598</v>
      </c>
      <c r="AV4" s="4">
        <v>1969</v>
      </c>
      <c r="AW4" s="4">
        <f t="shared" ref="AW4:AW67" si="2">SUM(L4:O4)</f>
        <v>3709</v>
      </c>
    </row>
    <row r="5" spans="1:52" x14ac:dyDescent="0.35">
      <c r="A5" s="4">
        <f t="shared" si="0"/>
        <v>3</v>
      </c>
      <c r="B5" s="5" t="s">
        <v>61</v>
      </c>
      <c r="C5" s="4">
        <f>1028+430+190+1406+1028+430+190+1356+1028+430+190+430+190+190</f>
        <v>8516</v>
      </c>
      <c r="D5" s="4">
        <f>1498+955+359+1321</f>
        <v>4133</v>
      </c>
      <c r="E5" s="4">
        <f>1619+783+617+1571</f>
        <v>4590</v>
      </c>
      <c r="F5" s="4">
        <f>D5+E5</f>
        <v>8723</v>
      </c>
      <c r="G5" s="4">
        <f>558+231+114+371</f>
        <v>1274</v>
      </c>
      <c r="H5" s="4">
        <f>2426+1380+821+2390</f>
        <v>7017</v>
      </c>
      <c r="I5" s="4">
        <f>133+127+41+131</f>
        <v>432</v>
      </c>
      <c r="J5" s="4">
        <f>2464+1315+749+2249</f>
        <v>6777</v>
      </c>
      <c r="K5" s="4">
        <f>465+243+178+380</f>
        <v>1266</v>
      </c>
      <c r="L5" s="4">
        <f>2258+1159+653+1487</f>
        <v>5557</v>
      </c>
      <c r="M5" s="4">
        <f>473+270+178+649</f>
        <v>1570</v>
      </c>
      <c r="N5" s="4">
        <f>198+129+83+358</f>
        <v>768</v>
      </c>
      <c r="O5" s="4">
        <f>13+135</f>
        <v>148</v>
      </c>
      <c r="P5" s="4">
        <f t="shared" si="1"/>
        <v>0.46908809891808345</v>
      </c>
      <c r="Q5" s="4">
        <f>5999+2999</f>
        <v>8998</v>
      </c>
      <c r="R5" s="4">
        <f>983+997+1051+430+442+439+210+190+197+1409+1354+1356</f>
        <v>9058</v>
      </c>
      <c r="S5" s="4">
        <v>0</v>
      </c>
      <c r="T5" s="4">
        <f>983+997+1051+430+442+439+210+190+197+1409+1354+1356</f>
        <v>9058</v>
      </c>
      <c r="U5" s="4">
        <f>3861+918</f>
        <v>4779</v>
      </c>
      <c r="V5" s="4">
        <f>5996000+1350000</f>
        <v>7346000</v>
      </c>
      <c r="W5" s="4">
        <f>760+699+654+97+107+92+79+44+43+534+588+552</f>
        <v>4249</v>
      </c>
      <c r="X5" s="4">
        <v>1512</v>
      </c>
      <c r="Y5" s="4">
        <v>0</v>
      </c>
      <c r="Z5" s="4">
        <f>497+530+345</f>
        <v>1372</v>
      </c>
      <c r="AA5" s="4">
        <v>0</v>
      </c>
      <c r="AB5" s="4">
        <f>44956077+34226000+18369000</f>
        <v>97551077</v>
      </c>
      <c r="AC5" s="4">
        <f>145137265+69815000+123821000</f>
        <v>338773265</v>
      </c>
      <c r="AD5" s="4">
        <f>3956019+2295180+455142</f>
        <v>6706341</v>
      </c>
      <c r="AE5" s="4">
        <f>581920+365868+864508</f>
        <v>1812296</v>
      </c>
      <c r="AF5" s="4">
        <v>57456077</v>
      </c>
      <c r="AG5" s="4">
        <f>4651995309+4128129000+3161690000</f>
        <v>11941814309</v>
      </c>
      <c r="AH5" s="4">
        <v>3135912463</v>
      </c>
      <c r="AI5" s="4">
        <f>4998272+6925000+16034000</f>
        <v>27957272</v>
      </c>
      <c r="AJ5" s="4">
        <f>180+141+199</f>
        <v>520</v>
      </c>
      <c r="AK5" s="4">
        <f>47+45+45</f>
        <v>137</v>
      </c>
      <c r="AL5" s="4">
        <f>779349473+657668287+486864702</f>
        <v>1923882462</v>
      </c>
      <c r="AM5" s="4">
        <f>693+506+51</f>
        <v>1250</v>
      </c>
      <c r="AN5" s="4">
        <f>690+190+51</f>
        <v>931</v>
      </c>
      <c r="AO5" s="4">
        <f>145628142+51028237+86641596</f>
        <v>283297975</v>
      </c>
      <c r="AP5" s="4">
        <f>30+19+16</f>
        <v>65</v>
      </c>
      <c r="AQ5" s="4">
        <f>129+956+823</f>
        <v>1908</v>
      </c>
      <c r="AR5" s="4">
        <f>72371860+53423285+45912755</f>
        <v>171707900</v>
      </c>
      <c r="AS5" s="4" t="s">
        <v>59</v>
      </c>
      <c r="AT5" s="4">
        <v>3.61</v>
      </c>
      <c r="AU5" s="4">
        <v>738</v>
      </c>
      <c r="AV5" s="4">
        <v>1920</v>
      </c>
      <c r="AW5" s="4">
        <f t="shared" si="2"/>
        <v>8043</v>
      </c>
    </row>
    <row r="6" spans="1:52" x14ac:dyDescent="0.35">
      <c r="A6" s="4">
        <f t="shared" si="0"/>
        <v>4</v>
      </c>
      <c r="B6" s="5" t="s">
        <v>62</v>
      </c>
      <c r="C6" s="4">
        <v>11524</v>
      </c>
      <c r="D6" s="4">
        <f>1357+4527+93+1784</f>
        <v>7761</v>
      </c>
      <c r="E6" s="4">
        <f>1586+501+84+1350</f>
        <v>3521</v>
      </c>
      <c r="F6" s="4">
        <f>D6+E6</f>
        <v>11282</v>
      </c>
      <c r="G6" s="4">
        <v>9175</v>
      </c>
      <c r="H6" s="4">
        <f>147+972+30+939</f>
        <v>2088</v>
      </c>
      <c r="I6" s="4">
        <f>4+11+3+1</f>
        <v>19</v>
      </c>
      <c r="J6" s="4">
        <f>832+1773+53+1081</f>
        <v>3739</v>
      </c>
      <c r="K6" s="4">
        <f>1324+2349+81+1501</f>
        <v>5255</v>
      </c>
      <c r="L6" s="4">
        <f>1680+2558+25+1907</f>
        <v>6170</v>
      </c>
      <c r="M6" s="4">
        <f>410+1190+2+636</f>
        <v>2238</v>
      </c>
      <c r="N6" s="4">
        <f>65+83+0+18</f>
        <v>166</v>
      </c>
      <c r="O6" s="4">
        <f>1+291+107+21</f>
        <v>420</v>
      </c>
      <c r="P6" s="4">
        <f t="shared" si="1"/>
        <v>0.36919268849961917</v>
      </c>
      <c r="Q6" s="4">
        <f>936+995+976+1079+1143+1233+38+38+40+1404+1651+1732</f>
        <v>11265</v>
      </c>
      <c r="R6" s="4">
        <f>924+993+981+1096+1104+1262+31+40+41+1483+1583+1722</f>
        <v>11260</v>
      </c>
      <c r="S6" s="4">
        <f>62+146+125+0</f>
        <v>333</v>
      </c>
      <c r="T6" s="4">
        <f>852+968+889+1003+1184+1063+31+31+29+1320+1543+1591</f>
        <v>10504</v>
      </c>
      <c r="U6" s="4">
        <f>205+214+46+853+981+899+27+27+19+1084+1128+1074</f>
        <v>6557</v>
      </c>
      <c r="V6" s="4">
        <f>580000+590000+570000+950000+975000+1000000+380000+390000+420000+800000+800000+800000</f>
        <v>8255000</v>
      </c>
      <c r="W6" s="4">
        <f>646+754+843+84+203+164+3+3+10+236+415+517</f>
        <v>3878</v>
      </c>
      <c r="X6" s="4">
        <f>2288</f>
        <v>2288</v>
      </c>
      <c r="Y6" s="4">
        <v>0</v>
      </c>
      <c r="Z6" s="4">
        <f>414+341+338</f>
        <v>1093</v>
      </c>
      <c r="AA6" s="4">
        <v>0</v>
      </c>
      <c r="AB6" s="4">
        <f>118897218+138508193+74339184</f>
        <v>331744595</v>
      </c>
      <c r="AC6" s="4">
        <f>59161771+254335701+156888357</f>
        <v>470385829</v>
      </c>
      <c r="AD6" s="4">
        <f>323483+742802+189829</f>
        <v>1256114</v>
      </c>
      <c r="AE6" s="4">
        <v>0</v>
      </c>
      <c r="AF6" s="4">
        <f>8943698+22776848+157117730</f>
        <v>188838276</v>
      </c>
      <c r="AG6" s="4">
        <f>2015559780+2092599971+1643604533</f>
        <v>5751764284</v>
      </c>
      <c r="AH6" s="4">
        <f>1216019531+1229218844+1432392158</f>
        <v>3877630533</v>
      </c>
      <c r="AI6" s="4">
        <f>11909721+18149836+57536776</f>
        <v>87596333</v>
      </c>
      <c r="AJ6" s="4">
        <f>213+294+263</f>
        <v>770</v>
      </c>
      <c r="AK6" s="4">
        <f>68+74+46</f>
        <v>188</v>
      </c>
      <c r="AL6" s="4">
        <f>275198783+906971030+435392251</f>
        <v>1617562064</v>
      </c>
      <c r="AM6" s="4">
        <f>1963+1146+1656</f>
        <v>4765</v>
      </c>
      <c r="AN6" s="4">
        <f>1038+753+840</f>
        <v>2631</v>
      </c>
      <c r="AO6" s="4">
        <f>163177698+120390748+126122122</f>
        <v>409690568</v>
      </c>
      <c r="AP6" s="4">
        <f>61+56+45</f>
        <v>162</v>
      </c>
      <c r="AQ6" s="4">
        <f>1090+1129+1028</f>
        <v>3247</v>
      </c>
      <c r="AR6" s="4">
        <f>31879355+34500000+36844639</f>
        <v>103223994</v>
      </c>
      <c r="AS6" s="4" t="s">
        <v>59</v>
      </c>
      <c r="AT6" s="4">
        <v>3.68</v>
      </c>
      <c r="AU6" s="4">
        <v>902</v>
      </c>
      <c r="AV6" s="4">
        <v>1955</v>
      </c>
      <c r="AW6" s="4">
        <f t="shared" si="2"/>
        <v>8994</v>
      </c>
    </row>
    <row r="7" spans="1:52" x14ac:dyDescent="0.3">
      <c r="A7" s="4">
        <f t="shared" si="0"/>
        <v>5</v>
      </c>
      <c r="B7" s="5" t="s">
        <v>63</v>
      </c>
      <c r="C7" s="4">
        <v>27409</v>
      </c>
      <c r="D7" s="4">
        <f>9337+1475+975+4345+452</f>
        <v>16584</v>
      </c>
      <c r="E7" s="4">
        <f>5241+928+426+4719+415</f>
        <v>11729</v>
      </c>
      <c r="F7" s="4">
        <f>D7+E7</f>
        <v>28313</v>
      </c>
      <c r="G7" s="4">
        <f>9422+1112+670+4520+358</f>
        <v>16082</v>
      </c>
      <c r="H7" s="4">
        <f>5053+1196+711+4452+509</f>
        <v>11921</v>
      </c>
      <c r="I7" s="4">
        <f>103+95+20+92+0</f>
        <v>310</v>
      </c>
      <c r="J7" s="4">
        <f>1155+912+105+1819+403</f>
        <v>4394</v>
      </c>
      <c r="K7" s="4">
        <f>6894+1202+598+4532+433</f>
        <v>13659</v>
      </c>
      <c r="L7" s="4">
        <f>4666+95+54+1348+91</f>
        <v>6254</v>
      </c>
      <c r="M7" s="4">
        <f>2+2+9+0</f>
        <v>13</v>
      </c>
      <c r="N7" s="4">
        <f>3+1+1+19+5</f>
        <v>29</v>
      </c>
      <c r="O7" s="4">
        <f>3378+2016+639+4984+740</f>
        <v>11757</v>
      </c>
      <c r="P7" s="4">
        <f t="shared" si="1"/>
        <v>0.82389937106918243</v>
      </c>
      <c r="Q7" s="4">
        <f>3713+3753+4728+577+410+470+137+60+208+4532+4532+4532+343+307+271</f>
        <v>28573</v>
      </c>
      <c r="R7" s="4">
        <f>3713+3753+4728+577+410+470+128+60+208+4532+4532+4831+343+307+270</f>
        <v>28862</v>
      </c>
      <c r="S7" s="4">
        <v>0</v>
      </c>
      <c r="T7" s="4">
        <f>3514+3456+3564+512+389+402+115+60+180+4125+4012+4112+205+231+245</f>
        <v>25122</v>
      </c>
      <c r="U7" s="4">
        <f>387+431+480+19+18+52+30+30+59+285+320+882+201+211+223</f>
        <v>3628</v>
      </c>
      <c r="V7" s="4">
        <f>11300000+2050000</f>
        <v>13350000</v>
      </c>
      <c r="W7" s="4">
        <f>3100+2998+2910+431+356+320+85+30+38+3802+3567+3015+4+20+22</f>
        <v>20698</v>
      </c>
      <c r="X7" s="4">
        <v>3451</v>
      </c>
      <c r="Y7" s="4">
        <v>90</v>
      </c>
      <c r="Z7" s="4">
        <f>758+682+587</f>
        <v>2027</v>
      </c>
      <c r="AA7" s="4">
        <f>20+5+23</f>
        <v>48</v>
      </c>
      <c r="AB7" s="4">
        <f>18579661+35324348+19257144</f>
        <v>73161153</v>
      </c>
      <c r="AC7" s="6">
        <v>1488627324</v>
      </c>
      <c r="AD7" s="6">
        <v>32084058</v>
      </c>
      <c r="AE7" s="4">
        <f>0</f>
        <v>0</v>
      </c>
      <c r="AF7" s="4">
        <f>214456345+288312134+115677129</f>
        <v>618445608</v>
      </c>
      <c r="AG7" s="4">
        <f>13112615287+11789690050+12000606384</f>
        <v>36902911721</v>
      </c>
      <c r="AH7" s="6">
        <v>10528738251</v>
      </c>
      <c r="AI7" s="4">
        <f>1474092+1925422+3172696</f>
        <v>6572210</v>
      </c>
      <c r="AJ7" s="4">
        <f>482+459+472</f>
        <v>1413</v>
      </c>
      <c r="AK7" s="4">
        <f>60+45+32</f>
        <v>137</v>
      </c>
      <c r="AL7" s="4">
        <f>3589149887+1573734919+1875299870</f>
        <v>7038184676</v>
      </c>
      <c r="AM7" s="4">
        <f>1+2+2</f>
        <v>5</v>
      </c>
      <c r="AN7" s="4">
        <f>1+2+2</f>
        <v>5</v>
      </c>
      <c r="AO7" s="4">
        <f>12360000+3548956+2970400</f>
        <v>18879356</v>
      </c>
      <c r="AP7" s="4">
        <f>2+2+2</f>
        <v>6</v>
      </c>
      <c r="AQ7" s="4">
        <f>27+28+13</f>
        <v>68</v>
      </c>
      <c r="AR7" s="4">
        <f>1890000+1960000+910000</f>
        <v>4760000</v>
      </c>
      <c r="AS7" s="4" t="s">
        <v>59</v>
      </c>
      <c r="AT7" s="4">
        <v>3.41</v>
      </c>
      <c r="AU7" s="4">
        <v>1807</v>
      </c>
      <c r="AV7" s="4">
        <v>1916</v>
      </c>
      <c r="AW7" s="4">
        <f t="shared" si="2"/>
        <v>18053</v>
      </c>
    </row>
    <row r="8" spans="1:52" ht="15" customHeight="1" x14ac:dyDescent="0.35">
      <c r="A8" s="4">
        <f t="shared" si="0"/>
        <v>6</v>
      </c>
      <c r="B8" s="5" t="s">
        <v>64</v>
      </c>
      <c r="C8" s="4">
        <v>26428</v>
      </c>
      <c r="D8" s="4">
        <v>13080</v>
      </c>
      <c r="E8" s="4">
        <f>1185+4054+2048+11+2596+686+116</f>
        <v>10696</v>
      </c>
      <c r="F8" s="4">
        <f>D8+E8</f>
        <v>23776</v>
      </c>
      <c r="G8" s="4">
        <f>922+3026+589+8+1844+202+62</f>
        <v>6653</v>
      </c>
      <c r="H8" s="4">
        <f>1589+8547+2837+12+2788+877+88</f>
        <v>16738</v>
      </c>
      <c r="I8" s="4">
        <f>40+238+57+0+23+1+26</f>
        <v>385</v>
      </c>
      <c r="J8" s="4">
        <f>105+805+55+0+324+11+8</f>
        <v>1308</v>
      </c>
      <c r="K8" s="4">
        <f>84+775+271+0+663+29+11</f>
        <v>1833</v>
      </c>
      <c r="L8" s="4">
        <f>0+43+43+0+2+0+0</f>
        <v>88</v>
      </c>
      <c r="M8" s="4">
        <f>102+1000+206+0+159+19+19</f>
        <v>1505</v>
      </c>
      <c r="N8" s="4">
        <f>0</f>
        <v>0</v>
      </c>
      <c r="O8" s="4">
        <f>87+537+77+0+826+21</f>
        <v>1548</v>
      </c>
      <c r="P8" s="4">
        <f t="shared" si="1"/>
        <v>0.15920581419844113</v>
      </c>
      <c r="Q8" s="4">
        <f>853+853+938+3094+3205+3260+860+860+860+27+20+20+2179+2742+2482+262+274+352+30+30+30</f>
        <v>23231</v>
      </c>
      <c r="R8" s="4">
        <f>2492+18087+918</f>
        <v>21497</v>
      </c>
      <c r="S8" s="4">
        <f>142+119+116</f>
        <v>377</v>
      </c>
      <c r="T8" s="4">
        <f>2161+15970+857</f>
        <v>18988</v>
      </c>
      <c r="U8" s="4">
        <f>170+142+206+1796+1523+1602+598+607+599+7+6+6+1387+1171+1586+225+225+270+15+22+19</f>
        <v>12182</v>
      </c>
      <c r="V8" s="4">
        <f>300000+300000+350000+630000+650000+680000+720000+840000+888000+270000+300000+300000+1000000+1080000+1168000+1350000+1530000+1560000+400000+600000+650000</f>
        <v>15566000</v>
      </c>
      <c r="W8" s="4">
        <f>483+80+181+493+405+555+146+163+128+20+13+13+119+65+85+17+22+16+6+8+5</f>
        <v>3023</v>
      </c>
      <c r="X8" s="4">
        <v>1159</v>
      </c>
      <c r="Y8" s="4">
        <v>381</v>
      </c>
      <c r="Z8" s="4">
        <f>154+124+124</f>
        <v>402</v>
      </c>
      <c r="AA8" s="4">
        <f>38+45+44</f>
        <v>127</v>
      </c>
      <c r="AB8" s="4">
        <f>278739164+246673360+211719933</f>
        <v>737132457</v>
      </c>
      <c r="AC8" s="4">
        <f>154829274+134826515+165945659</f>
        <v>455601448</v>
      </c>
      <c r="AD8" s="4">
        <f>125854+4886977+48466507</f>
        <v>53479338</v>
      </c>
      <c r="AE8" s="4">
        <f>477778+999373+11266843</f>
        <v>12743994</v>
      </c>
      <c r="AF8" s="4">
        <f>937723795+323797329+470617573</f>
        <v>1732138697</v>
      </c>
      <c r="AG8" s="4">
        <f>7134071485+6096476843+6133292202</f>
        <v>19363840530</v>
      </c>
      <c r="AH8" s="7">
        <f>8338859218+
7592859041+
8955546456</f>
        <v>24887264715</v>
      </c>
      <c r="AI8" s="4">
        <f>26027749+15657781+31805691</f>
        <v>73491221</v>
      </c>
      <c r="AJ8" s="4">
        <f>356+383+407</f>
        <v>1146</v>
      </c>
      <c r="AK8" s="4">
        <f>110+105+149</f>
        <v>364</v>
      </c>
      <c r="AL8" s="4">
        <f>318223448+232544804+264444975</f>
        <v>815213227</v>
      </c>
      <c r="AM8" s="4">
        <f>2485+2030+2557</f>
        <v>7072</v>
      </c>
      <c r="AN8" s="4">
        <f>526+521+512</f>
        <v>1559</v>
      </c>
      <c r="AO8" s="4">
        <f>995661919+899678389+937402286</f>
        <v>2832742594</v>
      </c>
      <c r="AP8" s="4">
        <f>25+40+27</f>
        <v>92</v>
      </c>
      <c r="AQ8" s="4">
        <f>7183+8523+9936</f>
        <v>25642</v>
      </c>
      <c r="AR8" s="4">
        <f>60349326+40440345+84015021</f>
        <v>184804692</v>
      </c>
      <c r="AS8" s="4" t="s">
        <v>59</v>
      </c>
      <c r="AT8" s="4">
        <v>3.65</v>
      </c>
      <c r="AU8" s="4">
        <v>2740</v>
      </c>
      <c r="AV8" s="4">
        <v>1953</v>
      </c>
      <c r="AW8" s="4">
        <f t="shared" si="2"/>
        <v>3141</v>
      </c>
    </row>
    <row r="9" spans="1:52" x14ac:dyDescent="0.35">
      <c r="A9" s="4">
        <f t="shared" si="0"/>
        <v>7</v>
      </c>
      <c r="B9" s="5" t="s">
        <v>65</v>
      </c>
      <c r="C9" s="4">
        <f>900+2940+280+20+1600+180+710+30+700+2400+220+1200+180+360+30+900+2560+220+353+800+30+2277+160+445+30+220+300+30+30</f>
        <v>20105</v>
      </c>
      <c r="D9" s="4">
        <f>1358+9188+294+6+1636+207+688+33</f>
        <v>13410</v>
      </c>
      <c r="E9" s="4">
        <f>1433+3612+677+1+1856+358+996+147</f>
        <v>9080</v>
      </c>
      <c r="F9" s="4">
        <f>D9+E9</f>
        <v>22490</v>
      </c>
      <c r="G9" s="4">
        <f>142+3562+62+7+606+92+281+1</f>
        <v>4753</v>
      </c>
      <c r="H9" s="4">
        <f>2635+9123+898+0+2850+473+1402+178</f>
        <v>17559</v>
      </c>
      <c r="I9" s="4">
        <f>14+115+11+0+36+1+1</f>
        <v>178</v>
      </c>
      <c r="J9" s="4">
        <f>1013+2753+2+902+7+608+52</f>
        <v>5337</v>
      </c>
      <c r="K9" s="4">
        <f>1296+4492+288+4+1216+136+744</f>
        <v>8176</v>
      </c>
      <c r="L9" s="4">
        <f>100+97+1+6</f>
        <v>204</v>
      </c>
      <c r="M9" s="4">
        <f>1+3804+19+925+8+46</f>
        <v>4803</v>
      </c>
      <c r="N9" s="4">
        <f>14+3</f>
        <v>17</v>
      </c>
      <c r="O9" s="4">
        <f>2308+3327+269+6+1093+135+1351</f>
        <v>8489</v>
      </c>
      <c r="P9" s="4">
        <f t="shared" si="1"/>
        <v>0.15851148060174189</v>
      </c>
      <c r="Q9" s="4">
        <f>2134+13388</f>
        <v>15522</v>
      </c>
      <c r="R9" s="4">
        <f>11597+1883</f>
        <v>13480</v>
      </c>
      <c r="S9" s="4">
        <v>203</v>
      </c>
      <c r="T9" s="4">
        <f>10847+1783</f>
        <v>12630</v>
      </c>
      <c r="U9" s="4">
        <f>21+148+145+1704+1696+1742+129+116+172+695+630+372+103+203+231+62+107+87+21+22+14</f>
        <v>8420</v>
      </c>
      <c r="V9" s="4">
        <f>5583000+4651386</f>
        <v>10234386</v>
      </c>
      <c r="W9" s="4">
        <f>1697+305</f>
        <v>2002</v>
      </c>
      <c r="X9" s="4">
        <v>581</v>
      </c>
      <c r="Y9" s="4">
        <v>1043</v>
      </c>
      <c r="Z9" s="4">
        <f>128+80+63</f>
        <v>271</v>
      </c>
      <c r="AA9" s="4">
        <f>40+48+30</f>
        <v>118</v>
      </c>
      <c r="AB9" s="4">
        <f>312632511+232721478+183022216</f>
        <v>728376205</v>
      </c>
      <c r="AC9" s="4">
        <f>1585279751+1460868587+940010059</f>
        <v>3986158397</v>
      </c>
      <c r="AD9" s="4">
        <f>718872552+137607540+163516993</f>
        <v>1019997085</v>
      </c>
      <c r="AE9" s="4">
        <f>7236465+391181+981154</f>
        <v>8608800</v>
      </c>
      <c r="AF9" s="4">
        <f>416220662+410402023+270193809</f>
        <v>1096816494</v>
      </c>
      <c r="AG9" s="4">
        <f>4488789410+4305963034+3701322802</f>
        <v>12496075246</v>
      </c>
      <c r="AH9" s="4">
        <f>3860192896+3417902784+2983688866</f>
        <v>10261784546</v>
      </c>
      <c r="AI9" s="4">
        <f>49952693+110245843+174362546</f>
        <v>334561082</v>
      </c>
      <c r="AJ9" s="4">
        <f>107+140+174</f>
        <v>421</v>
      </c>
      <c r="AK9" s="4">
        <f>70+85+82</f>
        <v>237</v>
      </c>
      <c r="AL9" s="4">
        <f>2413512577+1113629808+256034400</f>
        <v>3783176785</v>
      </c>
      <c r="AM9" s="4">
        <f>70+88+142</f>
        <v>300</v>
      </c>
      <c r="AN9" s="4">
        <f>61+84+85</f>
        <v>230</v>
      </c>
      <c r="AO9" s="4">
        <f>137654996+685333156+92584580</f>
        <v>915572732</v>
      </c>
      <c r="AP9" s="4">
        <f>41+4+9</f>
        <v>54</v>
      </c>
      <c r="AQ9" s="4">
        <f>483+195+321</f>
        <v>999</v>
      </c>
      <c r="AR9" s="4">
        <f>17902576+22100000+21627400</f>
        <v>61629976</v>
      </c>
      <c r="AS9" s="4" t="s">
        <v>59</v>
      </c>
      <c r="AT9" s="4">
        <v>3.71</v>
      </c>
      <c r="AU9" s="4">
        <v>1864</v>
      </c>
      <c r="AV9" s="4">
        <v>1994</v>
      </c>
      <c r="AW9" s="4">
        <f t="shared" si="2"/>
        <v>13513</v>
      </c>
      <c r="AZ9" s="4" t="s">
        <v>66</v>
      </c>
    </row>
    <row r="10" spans="1:52" x14ac:dyDescent="0.3">
      <c r="A10" s="4">
        <f>ROW(B10)-2</f>
        <v>8</v>
      </c>
      <c r="B10" s="5" t="s">
        <v>67</v>
      </c>
      <c r="C10" s="4">
        <v>44469</v>
      </c>
      <c r="D10" s="4">
        <v>34574</v>
      </c>
      <c r="E10" s="4">
        <v>12687</v>
      </c>
      <c r="F10" s="4">
        <v>47261</v>
      </c>
      <c r="G10" s="4">
        <v>14522</v>
      </c>
      <c r="H10" s="4">
        <v>31395</v>
      </c>
      <c r="I10" s="4">
        <v>1344</v>
      </c>
      <c r="J10" s="4">
        <v>14159</v>
      </c>
      <c r="K10" s="4">
        <v>17062</v>
      </c>
      <c r="L10" s="4">
        <v>9</v>
      </c>
      <c r="M10" s="4">
        <v>283</v>
      </c>
      <c r="N10" s="4">
        <v>0</v>
      </c>
      <c r="O10" s="4">
        <v>30929</v>
      </c>
      <c r="P10" s="4">
        <f t="shared" si="1"/>
        <v>0.16836847131418498</v>
      </c>
      <c r="Q10" s="4">
        <f>2525+30857</f>
        <v>33382</v>
      </c>
      <c r="R10" s="4">
        <f>26866+2008</f>
        <v>28874</v>
      </c>
      <c r="S10" s="4">
        <v>0</v>
      </c>
      <c r="T10" s="4">
        <f>1715+25511</f>
        <v>27226</v>
      </c>
      <c r="U10" s="4">
        <f>15334+380</f>
        <v>15714</v>
      </c>
      <c r="V10" s="4">
        <f>382500+300000+382500+7469000</f>
        <v>8534000</v>
      </c>
      <c r="W10" s="4">
        <f>837+3747</f>
        <v>4584</v>
      </c>
      <c r="X10" s="4">
        <v>2951</v>
      </c>
      <c r="Y10" s="4">
        <v>834</v>
      </c>
      <c r="Z10" s="4">
        <f>149+215+135</f>
        <v>499</v>
      </c>
      <c r="AA10" s="4">
        <f>106+184+163</f>
        <v>453</v>
      </c>
      <c r="AB10" s="4">
        <f>4272846+44201502 +24321245</f>
        <v>72795593</v>
      </c>
      <c r="AC10" s="4">
        <f>152746414+166853459+588778004</f>
        <v>908377877</v>
      </c>
      <c r="AD10" s="4">
        <f>3942784+3958151+4100478</f>
        <v>12001413</v>
      </c>
      <c r="AE10" s="6">
        <v>15288488</v>
      </c>
      <c r="AF10" s="4">
        <f>418995827+231963109+130478177</f>
        <v>781437113</v>
      </c>
      <c r="AG10" s="4">
        <f>4234420293+3548525786+3072942536</f>
        <v>10855888615</v>
      </c>
      <c r="AH10" s="4">
        <f>1102119354+851752013+2858115465</f>
        <v>4811986832</v>
      </c>
      <c r="AI10" s="4">
        <f>3852070+7816097+24611515</f>
        <v>36279682</v>
      </c>
      <c r="AJ10" s="4">
        <f>127+105+105</f>
        <v>337</v>
      </c>
      <c r="AK10" s="4">
        <f>23+16+19</f>
        <v>58</v>
      </c>
      <c r="AL10" s="4">
        <f>102504169+71779033+79179498</f>
        <v>253462700</v>
      </c>
      <c r="AM10" s="4">
        <f>123+206+48</f>
        <v>377</v>
      </c>
      <c r="AN10" s="4">
        <f>106+79+46</f>
        <v>231</v>
      </c>
      <c r="AO10" s="4">
        <f>22015325+16511146+6852170</f>
        <v>45378641</v>
      </c>
      <c r="AP10" s="4">
        <f>5</f>
        <v>5</v>
      </c>
      <c r="AQ10" s="4">
        <f>313+0+0</f>
        <v>313</v>
      </c>
      <c r="AR10" s="4">
        <f>476926</f>
        <v>476926</v>
      </c>
      <c r="AS10" s="4" t="s">
        <v>59</v>
      </c>
      <c r="AT10" s="4">
        <v>3.66</v>
      </c>
      <c r="AU10" s="4">
        <v>3208</v>
      </c>
      <c r="AV10" s="4">
        <v>1984</v>
      </c>
      <c r="AW10" s="4">
        <f t="shared" si="2"/>
        <v>31221</v>
      </c>
    </row>
    <row r="11" spans="1:52" x14ac:dyDescent="0.35">
      <c r="A11" s="4">
        <f t="shared" si="0"/>
        <v>9</v>
      </c>
      <c r="B11" s="5" t="s">
        <v>68</v>
      </c>
      <c r="C11" s="4">
        <f>2901+425+514+216+2512+310+2901+425+514+2493+310+3531+579+500+269+573+482+482</f>
        <v>19937</v>
      </c>
      <c r="D11" s="4">
        <v>11263</v>
      </c>
      <c r="E11" s="4">
        <v>7197</v>
      </c>
      <c r="F11" s="4">
        <f>D11+E11</f>
        <v>18460</v>
      </c>
      <c r="G11" s="4">
        <f>5521+1647+1246+140+2962+485</f>
        <v>12001</v>
      </c>
      <c r="H11" s="4">
        <f>2501+470+1129+58+1652+366</f>
        <v>6176</v>
      </c>
      <c r="I11" s="4">
        <f>201+18+13+5+44+2</f>
        <v>283</v>
      </c>
      <c r="J11" s="4">
        <f>3270+568+615+15+652+51</f>
        <v>5171</v>
      </c>
      <c r="K11" s="4">
        <f>3398+363+436+83+512+187</f>
        <v>4979</v>
      </c>
      <c r="L11" s="4">
        <f>2421+400+282+3+127+0</f>
        <v>3233</v>
      </c>
      <c r="M11" s="4">
        <f>717+39+12+4+30</f>
        <v>802</v>
      </c>
      <c r="N11" s="4">
        <f>1973+140+24+670</f>
        <v>2807</v>
      </c>
      <c r="O11" s="4">
        <f>1557+352+757+67+337+238</f>
        <v>3308</v>
      </c>
      <c r="P11" s="4">
        <f t="shared" si="1"/>
        <v>0.42978193884806826</v>
      </c>
      <c r="Q11" s="4">
        <f>9382+10869+891</f>
        <v>21142</v>
      </c>
      <c r="R11" s="4">
        <f>10642+845+9402</f>
        <v>20889</v>
      </c>
      <c r="S11" s="4">
        <f>0</f>
        <v>0</v>
      </c>
      <c r="T11" s="4">
        <f>1955+2389+2781+527+427+498+393+475+457+125+168+188+1712+1912+2236+175+226+232</f>
        <v>16876</v>
      </c>
      <c r="U11" s="4">
        <f>561+2248+579</f>
        <v>3388</v>
      </c>
      <c r="V11" s="4">
        <f>500000+350000+555486+500000+562000+549000+680000+780000+823400+300000+450000+497240+721600+750000+847300+832000+1000200+1400000</f>
        <v>12098226</v>
      </c>
      <c r="W11" s="4">
        <f>62+4902+2289</f>
        <v>7253</v>
      </c>
      <c r="X11" s="4">
        <f>2995</f>
        <v>2995</v>
      </c>
      <c r="Y11" s="4">
        <v>144</v>
      </c>
      <c r="Z11" s="4">
        <f>538+481+384</f>
        <v>1403</v>
      </c>
      <c r="AA11" s="4">
        <f>8+16+21</f>
        <v>45</v>
      </c>
      <c r="AB11" s="4">
        <f>22280194+47125815+48119763</f>
        <v>117525772</v>
      </c>
      <c r="AC11" s="4">
        <f>211659826+80433284+200212425</f>
        <v>492305535</v>
      </c>
      <c r="AD11" s="4">
        <f>714321+394072+868000</f>
        <v>1976393</v>
      </c>
      <c r="AE11" s="4">
        <f>640000</f>
        <v>640000</v>
      </c>
      <c r="AF11" s="4">
        <f>107514290+100927126+43515562</f>
        <v>251956978</v>
      </c>
      <c r="AG11" s="4">
        <f>9546335906+9060009060+7850211742</f>
        <v>26456556708</v>
      </c>
      <c r="AH11" s="4">
        <f>791018425+1077622285+930449451</f>
        <v>2799090161</v>
      </c>
      <c r="AI11" s="4">
        <f>6320433+2444823+15989126</f>
        <v>24754382</v>
      </c>
      <c r="AJ11" s="4">
        <f>184+138+81</f>
        <v>403</v>
      </c>
      <c r="AK11" s="4">
        <f>44+33+43</f>
        <v>120</v>
      </c>
      <c r="AL11" s="4">
        <f>379815309+390209105+563724255</f>
        <v>1333748669</v>
      </c>
      <c r="AM11" s="4">
        <f>58+120+71</f>
        <v>249</v>
      </c>
      <c r="AN11" s="4">
        <f>33+56+40</f>
        <v>129</v>
      </c>
      <c r="AO11" s="4">
        <f>20974095+46368163+20372779</f>
        <v>87715037</v>
      </c>
      <c r="AP11" s="4">
        <f>52+88+27</f>
        <v>167</v>
      </c>
      <c r="AQ11" s="4">
        <f>4617+582+317</f>
        <v>5516</v>
      </c>
      <c r="AR11" s="4">
        <f>5006662+266000+2118690</f>
        <v>7391352</v>
      </c>
      <c r="AS11" s="4" t="s">
        <v>59</v>
      </c>
      <c r="AT11" s="4">
        <v>3.35</v>
      </c>
      <c r="AU11" s="4">
        <v>1583</v>
      </c>
      <c r="AV11" s="4">
        <v>1875</v>
      </c>
      <c r="AW11" s="4">
        <f t="shared" si="2"/>
        <v>10150</v>
      </c>
    </row>
    <row r="12" spans="1:52" x14ac:dyDescent="0.35">
      <c r="A12" s="4">
        <f t="shared" si="0"/>
        <v>10</v>
      </c>
      <c r="B12" s="5" t="s">
        <v>69</v>
      </c>
      <c r="C12" s="4">
        <v>4106</v>
      </c>
      <c r="D12" s="4">
        <f>1506+104+540+28</f>
        <v>2178</v>
      </c>
      <c r="E12" s="4">
        <f>1226+23+464+49</f>
        <v>1762</v>
      </c>
      <c r="F12" s="4">
        <f>D12+E12</f>
        <v>3940</v>
      </c>
      <c r="G12" s="4">
        <f>802+37+295+23</f>
        <v>1157</v>
      </c>
      <c r="H12" s="4">
        <f>1895+90+686+53</f>
        <v>2724</v>
      </c>
      <c r="I12" s="4">
        <f>35+23+1</f>
        <v>59</v>
      </c>
      <c r="J12" s="4">
        <f>261+19+62+7</f>
        <v>349</v>
      </c>
      <c r="K12" s="4">
        <f>1548+73+574+53</f>
        <v>2248</v>
      </c>
      <c r="L12" s="4">
        <v>1555</v>
      </c>
      <c r="M12" s="4">
        <v>0</v>
      </c>
      <c r="N12" s="4">
        <v>0</v>
      </c>
      <c r="O12" s="4">
        <f>736+45+232+29</f>
        <v>1042</v>
      </c>
      <c r="P12" s="4">
        <f t="shared" si="1"/>
        <v>0.31230283911671924</v>
      </c>
      <c r="Q12" s="4">
        <f>1281+1491+1538+75+75+17+208+223+221+0</f>
        <v>5129</v>
      </c>
      <c r="R12" s="4">
        <f>1231+1425+1478+65+66+15+193+210+211</f>
        <v>4894</v>
      </c>
      <c r="S12" s="4">
        <v>0</v>
      </c>
      <c r="T12" s="4">
        <f>1017+1355+1409+64+65+15+135+190+188</f>
        <v>4438</v>
      </c>
      <c r="U12" s="4">
        <f>285+350+461+63+62+15+10+9+23</f>
        <v>1278</v>
      </c>
      <c r="V12" s="4">
        <f>450000+420000+675000+650000+650000+700000+690000+776000+730000</f>
        <v>5741000</v>
      </c>
      <c r="W12" s="4">
        <f>269+325+346+4+110+181+151</f>
        <v>1386</v>
      </c>
      <c r="X12" s="4">
        <v>1332</v>
      </c>
      <c r="Y12" s="4">
        <v>55</v>
      </c>
      <c r="Z12" s="4">
        <f>204+178+248</f>
        <v>630</v>
      </c>
      <c r="AA12" s="4">
        <v>15</v>
      </c>
      <c r="AB12" s="4">
        <f>29996240+66718482+47977003</f>
        <v>144691725</v>
      </c>
      <c r="AC12" s="4">
        <f>121598557+89391980+23033235</f>
        <v>234023772</v>
      </c>
      <c r="AD12" s="4">
        <f>10746997+15239809+16048925</f>
        <v>42035731</v>
      </c>
      <c r="AE12" s="4">
        <v>0</v>
      </c>
      <c r="AF12" s="4">
        <f>16086197+41706370+106515006</f>
        <v>164307573</v>
      </c>
      <c r="AG12" s="4">
        <f>1806287335+1835296251+1966559973</f>
        <v>5608143559</v>
      </c>
      <c r="AH12" s="4">
        <f>65380826+69611172+87747657</f>
        <v>222739655</v>
      </c>
      <c r="AI12" s="4">
        <f>334892+242850+3709371</f>
        <v>4287113</v>
      </c>
      <c r="AJ12" s="4">
        <f>378+398+319</f>
        <v>1095</v>
      </c>
      <c r="AK12" s="4">
        <f>78+55+43</f>
        <v>176</v>
      </c>
      <c r="AL12" s="4">
        <f>304072791+393003086+356820612</f>
        <v>1053896489</v>
      </c>
      <c r="AM12" s="4">
        <f>14+8+10</f>
        <v>32</v>
      </c>
      <c r="AN12" s="4">
        <f>14+8+10</f>
        <v>32</v>
      </c>
      <c r="AO12" s="4">
        <f>10105793+13707189+13975820</f>
        <v>37788802</v>
      </c>
      <c r="AP12" s="4">
        <f>3+2+2</f>
        <v>7</v>
      </c>
      <c r="AQ12" s="4">
        <f>600+200+38</f>
        <v>838</v>
      </c>
      <c r="AR12" s="4">
        <f>279000+200000+190000</f>
        <v>669000</v>
      </c>
      <c r="AS12" s="4" t="s">
        <v>59</v>
      </c>
      <c r="AT12" s="4">
        <v>3.28</v>
      </c>
      <c r="AU12" s="4">
        <v>421</v>
      </c>
      <c r="AV12" s="4">
        <v>1974</v>
      </c>
      <c r="AW12" s="4">
        <f t="shared" si="2"/>
        <v>2597</v>
      </c>
    </row>
    <row r="13" spans="1:52" x14ac:dyDescent="0.35">
      <c r="A13" s="4">
        <f t="shared" si="0"/>
        <v>11</v>
      </c>
      <c r="B13" s="5" t="s">
        <v>70</v>
      </c>
      <c r="C13" s="4">
        <v>28595</v>
      </c>
      <c r="D13" s="4">
        <f>739+182+51+6782+5684+354</f>
        <v>13792</v>
      </c>
      <c r="E13" s="4">
        <f>611+22+62+9026+2671+160</f>
        <v>12552</v>
      </c>
      <c r="F13" s="4">
        <f>D13+E13</f>
        <v>26344</v>
      </c>
      <c r="G13" s="4">
        <f>407+68+50+5830+2325+140</f>
        <v>8820</v>
      </c>
      <c r="H13" s="4">
        <v>17194</v>
      </c>
      <c r="I13" s="4">
        <f>15+4+3+282+26</f>
        <v>330</v>
      </c>
      <c r="J13" s="4">
        <f>109+11+8+1169+714+33</f>
        <v>2044</v>
      </c>
      <c r="K13" s="4">
        <f>572+95+53+7080+4310+223</f>
        <v>12333</v>
      </c>
      <c r="L13" s="4">
        <f>14+2+1+112+107+1</f>
        <v>237</v>
      </c>
      <c r="M13" s="4">
        <f>21+7+1+481+206+24</f>
        <v>740</v>
      </c>
      <c r="N13" s="4">
        <v>0</v>
      </c>
      <c r="O13" s="4">
        <f>646+97+59+7656+4711+231</f>
        <v>13400</v>
      </c>
      <c r="P13" s="4">
        <f t="shared" si="1"/>
        <v>0.11123030258193387</v>
      </c>
      <c r="Q13" s="4">
        <f>120+1159+33776</f>
        <v>35055</v>
      </c>
      <c r="R13" s="4">
        <v>31715</v>
      </c>
      <c r="S13" s="4">
        <v>0</v>
      </c>
      <c r="T13" s="4">
        <f>1006+25930+98</f>
        <v>27034</v>
      </c>
      <c r="U13" s="4">
        <f>534+3485</f>
        <v>4019</v>
      </c>
      <c r="V13" s="4">
        <f>400000+450000+500000+800000+700000+800000+540000+540000+550000+1200000+1400000+1550000+900000+900000+1360000+750000</f>
        <v>13340000</v>
      </c>
      <c r="W13" s="4">
        <f>309+2698</f>
        <v>3007</v>
      </c>
      <c r="X13" s="4">
        <v>3702</v>
      </c>
      <c r="Y13" s="4">
        <v>0</v>
      </c>
      <c r="Z13" s="4">
        <v>2076</v>
      </c>
      <c r="AA13" s="4">
        <f>0</f>
        <v>0</v>
      </c>
      <c r="AB13" s="4">
        <f>31434945+12721111+25655409</f>
        <v>69811465</v>
      </c>
      <c r="AC13" s="4">
        <f>178906415+241975859+217158869</f>
        <v>638041143</v>
      </c>
      <c r="AD13" s="4">
        <f>926421+71390+659746</f>
        <v>1657557</v>
      </c>
      <c r="AE13" s="4">
        <v>0</v>
      </c>
      <c r="AF13" s="4">
        <f>151202622+333400689+140961246</f>
        <v>625564557</v>
      </c>
      <c r="AG13" s="4">
        <f>8052731159+5057488618+10581371046</f>
        <v>23691590823</v>
      </c>
      <c r="AH13" s="4">
        <f>2178649849+1700512017+1384471737</f>
        <v>5263633603</v>
      </c>
      <c r="AI13" s="4">
        <f>1602729+2691879+6332012</f>
        <v>10626620</v>
      </c>
      <c r="AJ13" s="4">
        <f>553+434+341</f>
        <v>1328</v>
      </c>
      <c r="AK13" s="4">
        <f>46+32+46</f>
        <v>124</v>
      </c>
      <c r="AL13" s="4">
        <f>555256974+559389437+500736706</f>
        <v>1615383117</v>
      </c>
      <c r="AM13" s="4">
        <f>15</f>
        <v>15</v>
      </c>
      <c r="AN13" s="4">
        <v>14</v>
      </c>
      <c r="AO13" s="4">
        <f>3025674+995713+4656144</f>
        <v>8677531</v>
      </c>
      <c r="AP13" s="4">
        <f>2+2+2</f>
        <v>6</v>
      </c>
      <c r="AQ13" s="4">
        <f>404+414+337</f>
        <v>1155</v>
      </c>
      <c r="AR13" s="4">
        <f>37828840+38128740+33700000</f>
        <v>109657580</v>
      </c>
      <c r="AS13" s="4" t="s">
        <v>59</v>
      </c>
      <c r="AT13" s="4">
        <v>3.28</v>
      </c>
      <c r="AU13" s="4">
        <v>1226</v>
      </c>
      <c r="AV13" s="4">
        <v>1922</v>
      </c>
      <c r="AW13" s="4">
        <f t="shared" si="2"/>
        <v>14377</v>
      </c>
    </row>
    <row r="14" spans="1:52" x14ac:dyDescent="0.35">
      <c r="A14" s="4">
        <f t="shared" si="0"/>
        <v>12</v>
      </c>
      <c r="B14" s="5" t="s">
        <v>71</v>
      </c>
      <c r="C14" s="4">
        <v>16372</v>
      </c>
      <c r="D14" s="4">
        <v>5860</v>
      </c>
      <c r="E14" s="4">
        <v>8342</v>
      </c>
      <c r="F14" s="4">
        <v>14202</v>
      </c>
      <c r="G14" s="4">
        <v>12594</v>
      </c>
      <c r="H14" s="4">
        <v>1567</v>
      </c>
      <c r="I14" s="4">
        <v>41</v>
      </c>
      <c r="J14" s="4">
        <v>7442</v>
      </c>
      <c r="K14" s="4">
        <v>5387</v>
      </c>
      <c r="L14" s="4">
        <v>4155</v>
      </c>
      <c r="M14" s="4">
        <v>3544</v>
      </c>
      <c r="N14" s="4">
        <v>6</v>
      </c>
      <c r="O14" s="4">
        <v>5124</v>
      </c>
      <c r="P14" s="4">
        <f t="shared" si="1"/>
        <v>0.29003649129290038</v>
      </c>
      <c r="Q14" s="4">
        <v>22279</v>
      </c>
      <c r="R14" s="4">
        <v>21880</v>
      </c>
      <c r="S14" s="4">
        <v>307</v>
      </c>
      <c r="T14" s="4">
        <v>21649</v>
      </c>
      <c r="U14" s="4">
        <f>340+14093+937</f>
        <v>15370</v>
      </c>
      <c r="V14" s="4">
        <f>5492000+9378000+2702000</f>
        <v>17572000</v>
      </c>
      <c r="W14" s="4">
        <f>5589+615+75</f>
        <v>6279</v>
      </c>
      <c r="X14" s="4">
        <v>1610</v>
      </c>
      <c r="Y14" s="4">
        <v>2069</v>
      </c>
      <c r="Z14" s="4">
        <v>1743</v>
      </c>
      <c r="AA14" s="4">
        <v>1359</v>
      </c>
      <c r="AB14" s="4">
        <v>291676128</v>
      </c>
      <c r="AC14" s="4">
        <v>1195687272</v>
      </c>
      <c r="AD14" s="4">
        <v>341603689</v>
      </c>
      <c r="AE14" s="4">
        <v>0</v>
      </c>
      <c r="AF14" s="4">
        <v>561727197</v>
      </c>
      <c r="AG14" s="4">
        <v>6654707551</v>
      </c>
      <c r="AH14" s="4">
        <v>4001109438</v>
      </c>
      <c r="AI14" s="4">
        <v>19520604</v>
      </c>
      <c r="AJ14" s="4">
        <v>2010</v>
      </c>
      <c r="AK14" s="4">
        <v>218</v>
      </c>
      <c r="AL14" s="4">
        <v>3314533017</v>
      </c>
      <c r="AM14" s="4">
        <v>186</v>
      </c>
      <c r="AN14" s="4">
        <v>133</v>
      </c>
      <c r="AO14" s="4">
        <v>847229266</v>
      </c>
      <c r="AP14" s="4">
        <v>60</v>
      </c>
      <c r="AQ14" s="4">
        <v>590</v>
      </c>
      <c r="AR14" s="4">
        <v>14382970</v>
      </c>
      <c r="AS14" s="4" t="s">
        <v>59</v>
      </c>
      <c r="AT14" s="4">
        <v>3.2</v>
      </c>
      <c r="AU14" s="4">
        <v>1255</v>
      </c>
      <c r="AV14" s="4">
        <v>1857</v>
      </c>
      <c r="AW14" s="4">
        <f t="shared" si="2"/>
        <v>12829</v>
      </c>
    </row>
    <row r="15" spans="1:52" x14ac:dyDescent="0.35">
      <c r="A15" s="4">
        <f>ROW(B15)-2</f>
        <v>13</v>
      </c>
      <c r="B15" s="5" t="s">
        <v>72</v>
      </c>
      <c r="C15" s="4">
        <f>1760+560+30+180+203+1760+560+180+195+1760+460+102+1760+460+430</f>
        <v>10400</v>
      </c>
      <c r="D15" s="4">
        <f>4704+1118+14+163+209</f>
        <v>6208</v>
      </c>
      <c r="E15" s="4">
        <f>2498+1404+16+204+294</f>
        <v>4416</v>
      </c>
      <c r="F15" s="4">
        <f>D15+E15</f>
        <v>10624</v>
      </c>
      <c r="G15" s="4">
        <f>2647+1491+13+178+222</f>
        <v>4551</v>
      </c>
      <c r="H15" s="4">
        <f>4546+950+17+184+252</f>
        <v>5949</v>
      </c>
      <c r="I15" s="4">
        <f>9+81+5+29</f>
        <v>124</v>
      </c>
      <c r="J15" s="4">
        <f>1368+110+4+69+20</f>
        <v>1571</v>
      </c>
      <c r="K15" s="4">
        <f>3492+1394+10+286+254</f>
        <v>5436</v>
      </c>
      <c r="L15" s="4">
        <f>23+5</f>
        <v>28</v>
      </c>
      <c r="M15" s="4">
        <f>2101+234+1+114+26</f>
        <v>2476</v>
      </c>
      <c r="N15" s="4">
        <v>230</v>
      </c>
      <c r="O15" s="4">
        <f>2689+1144+10+202+228</f>
        <v>4273</v>
      </c>
      <c r="P15" s="4">
        <f t="shared" si="1"/>
        <v>9.0674362089914945E-2</v>
      </c>
      <c r="Q15" s="4">
        <f>1670+1880+1760+380+380+430+30+30+30+180+180+180+98+98+102</f>
        <v>7428</v>
      </c>
      <c r="R15" s="4">
        <f>1667+1877+1760+380+380+430+30+30+30+180+180+180+98+98+102</f>
        <v>7422</v>
      </c>
      <c r="S15" s="4">
        <f>15+14+26</f>
        <v>55</v>
      </c>
      <c r="T15" s="4">
        <f>1402+1601+1559+350+363+401+29+30+30+178+178+173+95+96+99</f>
        <v>6584</v>
      </c>
      <c r="U15" s="4">
        <f>1326+1521+1416+245+259+316+29+30+30+172+170+166+82+91+96</f>
        <v>5949</v>
      </c>
      <c r="V15" s="4">
        <f>9810000+1188000</f>
        <v>10998000</v>
      </c>
      <c r="W15" s="4">
        <v>597</v>
      </c>
      <c r="X15" s="4">
        <v>341</v>
      </c>
      <c r="Y15" s="4">
        <v>652</v>
      </c>
      <c r="Z15" s="4">
        <v>201</v>
      </c>
      <c r="AA15" s="4">
        <v>157</v>
      </c>
      <c r="AB15" s="4">
        <f>81861734+75636419+64776733</f>
        <v>222274886</v>
      </c>
      <c r="AC15" s="4">
        <f>396182031+227491199+357929103</f>
        <v>981602333</v>
      </c>
      <c r="AD15" s="4">
        <f>43947066+39951878+36319889</f>
        <v>120218833</v>
      </c>
      <c r="AE15" s="4">
        <f>28811762+11853385+19375779</f>
        <v>60040926</v>
      </c>
      <c r="AF15" s="4">
        <f>60982868+98720365+137243966</f>
        <v>296947199</v>
      </c>
      <c r="AG15" s="4">
        <f>1821744971+1405379483+1281751645</f>
        <v>4508876099</v>
      </c>
      <c r="AH15" s="4">
        <f>1759667468+2051805479+922005718</f>
        <v>4733478665</v>
      </c>
      <c r="AI15" s="4">
        <f>19005092+16666728+15596813</f>
        <v>51268633</v>
      </c>
      <c r="AJ15" s="4">
        <f>5225+6270+5240</f>
        <v>16735</v>
      </c>
      <c r="AK15" s="4">
        <f>1096+1954+1993</f>
        <v>5043</v>
      </c>
      <c r="AL15" s="4">
        <f>20703310+89229138+11132000</f>
        <v>121064448</v>
      </c>
      <c r="AM15" s="4">
        <f>485+708+242</f>
        <v>1435</v>
      </c>
      <c r="AN15" s="4">
        <f>283+361+177</f>
        <v>821</v>
      </c>
      <c r="AO15" s="4">
        <f>96333480+81333480+86325139</f>
        <v>263992099</v>
      </c>
      <c r="AP15" s="4">
        <f>16+16+16</f>
        <v>48</v>
      </c>
      <c r="AQ15" s="4">
        <f>169+132+102</f>
        <v>403</v>
      </c>
      <c r="AR15" s="4">
        <f>62920000+45700000+32000000</f>
        <v>140620000</v>
      </c>
      <c r="AS15" s="4" t="s">
        <v>59</v>
      </c>
      <c r="AT15" s="4">
        <v>3.66</v>
      </c>
      <c r="AU15" s="4">
        <v>788</v>
      </c>
      <c r="AV15" s="4">
        <v>1986</v>
      </c>
      <c r="AW15" s="4">
        <f t="shared" si="2"/>
        <v>7007</v>
      </c>
    </row>
    <row r="16" spans="1:52" x14ac:dyDescent="0.35">
      <c r="A16" s="4">
        <f>ROW(B16)-2</f>
        <v>14</v>
      </c>
      <c r="B16" s="5" t="s">
        <v>73</v>
      </c>
      <c r="C16" s="4">
        <f>2290+80+1777+120+100+2470+80+1815+120+100+2470+80+120+100+2740+120+100+120+100</f>
        <v>14902</v>
      </c>
      <c r="D16" s="4">
        <f>5515+147+1091+240+214</f>
        <v>7207</v>
      </c>
      <c r="E16" s="4">
        <f>3657+249+1006+106+197</f>
        <v>5215</v>
      </c>
      <c r="F16" s="4">
        <f>D16+E16</f>
        <v>12422</v>
      </c>
      <c r="G16" s="4">
        <f>8947+390+2034+310+406</f>
        <v>12087</v>
      </c>
      <c r="H16" s="4">
        <f>105+5+59+36+5</f>
        <v>210</v>
      </c>
      <c r="I16" s="4">
        <f>120+1+4</f>
        <v>125</v>
      </c>
      <c r="J16" s="4">
        <f>632+23+135+14+17</f>
        <v>821</v>
      </c>
      <c r="K16" s="4">
        <f>7083+337+1851+291+376</f>
        <v>9938</v>
      </c>
      <c r="L16" s="4">
        <f>3926+94+611+113+64</f>
        <v>4808</v>
      </c>
      <c r="M16" s="4">
        <v>77</v>
      </c>
      <c r="N16" s="4">
        <f>540+2</f>
        <v>542</v>
      </c>
      <c r="O16" s="4">
        <f>3174+264+1373+192+329</f>
        <v>5332</v>
      </c>
      <c r="P16" s="4">
        <f t="shared" si="1"/>
        <v>5.3714384092278557E-2</v>
      </c>
      <c r="Q16" s="4">
        <f>2740+2740+2740+120+120+120+2050+2048+1815+120+120+120+100+100+100</f>
        <v>15153</v>
      </c>
      <c r="R16" s="4">
        <f>2738+2333+2878+121+117+113+1725+1424+1107+71+104+106+90+76+96</f>
        <v>13099</v>
      </c>
      <c r="S16" s="4">
        <f>7+5+7</f>
        <v>19</v>
      </c>
      <c r="T16" s="4">
        <f>4621+6996</f>
        <v>11617</v>
      </c>
      <c r="U16" s="4">
        <f>1515+4008</f>
        <v>5523</v>
      </c>
      <c r="V16" s="4">
        <f>550000+500000+630000+180000+190000+216000+500000+500000+500000+400000+400000+500000+550000+400000+750000</f>
        <v>6766000</v>
      </c>
      <c r="W16" s="4">
        <f>442+182</f>
        <v>624</v>
      </c>
      <c r="X16" s="4">
        <f>1078</f>
        <v>1078</v>
      </c>
      <c r="Y16" s="4">
        <v>651</v>
      </c>
      <c r="Z16" s="4">
        <f>157+134+82</f>
        <v>373</v>
      </c>
      <c r="AA16" s="4">
        <f>118+93+100</f>
        <v>311</v>
      </c>
      <c r="AB16" s="4">
        <f>42875287 +31882972+35241177</f>
        <v>109999436</v>
      </c>
      <c r="AC16" s="4">
        <f>253732514+477006385+399459857</f>
        <v>1130198756</v>
      </c>
      <c r="AD16" s="4">
        <f>1977165 +1529555+1804639</f>
        <v>5311359</v>
      </c>
      <c r="AE16" s="4">
        <f>0</f>
        <v>0</v>
      </c>
      <c r="AF16" s="4">
        <f>15095120+189446122+613985729</f>
        <v>818526971</v>
      </c>
      <c r="AG16" s="4">
        <f>2611261352+2242227420+2388017757</f>
        <v>7241506529</v>
      </c>
      <c r="AH16" s="4">
        <f>370650016+330968722+388969010</f>
        <v>1090587748</v>
      </c>
      <c r="AI16" s="4">
        <f>13762213+3106244+7977478</f>
        <v>24845935</v>
      </c>
      <c r="AJ16" s="4">
        <f>119+84+91</f>
        <v>294</v>
      </c>
      <c r="AK16" s="4">
        <f>49+33+39</f>
        <v>121</v>
      </c>
      <c r="AL16" s="4">
        <f>468110570+385574187+360300755</f>
        <v>1213985512</v>
      </c>
      <c r="AM16" s="4">
        <f>860+631+1623</f>
        <v>3114</v>
      </c>
      <c r="AN16" s="4">
        <f>443+348+776</f>
        <v>1567</v>
      </c>
      <c r="AO16" s="4">
        <f>230476674+238971754+286125372</f>
        <v>755573800</v>
      </c>
      <c r="AP16" s="4">
        <f>2+1+1</f>
        <v>4</v>
      </c>
      <c r="AQ16" s="4">
        <f>38+12</f>
        <v>50</v>
      </c>
      <c r="AR16" s="4">
        <f>415000+2229100</f>
        <v>2644100</v>
      </c>
      <c r="AS16" s="4" t="s">
        <v>74</v>
      </c>
      <c r="AT16" s="4" t="s">
        <v>75</v>
      </c>
      <c r="AU16" s="4">
        <v>926</v>
      </c>
      <c r="AV16" s="4">
        <v>1978</v>
      </c>
      <c r="AW16" s="4">
        <f t="shared" si="2"/>
        <v>10759</v>
      </c>
    </row>
    <row r="17" spans="1:49" x14ac:dyDescent="0.35">
      <c r="A17" s="4">
        <f t="shared" si="0"/>
        <v>15</v>
      </c>
      <c r="B17" s="5" t="s">
        <v>76</v>
      </c>
      <c r="C17" s="4">
        <f>280+2830+590+75+985+142+30+310+2480+590+884+131+60+120+2800+430+191+30+2440+430+370</f>
        <v>16198</v>
      </c>
      <c r="D17" s="4">
        <f>318+4608+975+35+748+216+29</f>
        <v>6929</v>
      </c>
      <c r="E17" s="4">
        <f>392+5919+1311+40+1022+241+91</f>
        <v>9016</v>
      </c>
      <c r="F17" s="4">
        <f>D17+E17</f>
        <v>15945</v>
      </c>
      <c r="G17" s="4">
        <f>120+1922+440+22+299+112+21</f>
        <v>2936</v>
      </c>
      <c r="H17" s="4">
        <f>578+8453+1843+53+1412+345+94</f>
        <v>12778</v>
      </c>
      <c r="I17" s="4">
        <f>12+152+3+59+5</f>
        <v>231</v>
      </c>
      <c r="J17" s="4">
        <f>30+737+84+3+110+13+5</f>
        <v>982</v>
      </c>
      <c r="K17" s="4">
        <f>94+1712+290+9+231+57+16</f>
        <v>2409</v>
      </c>
      <c r="L17" s="4">
        <f>15+2</f>
        <v>17</v>
      </c>
      <c r="M17" s="4">
        <f>25+932+91+4+97+8+15</f>
        <v>1172</v>
      </c>
      <c r="N17" s="4">
        <f>0</f>
        <v>0</v>
      </c>
      <c r="O17" s="4">
        <f>99+1502+283+8+242+62+6</f>
        <v>2202</v>
      </c>
      <c r="P17" s="4">
        <f t="shared" si="1"/>
        <v>0.11251497658207167</v>
      </c>
      <c r="Q17" s="4">
        <f>2805+7584+240</f>
        <v>10629</v>
      </c>
      <c r="R17" s="4">
        <f>6725+232+2422</f>
        <v>9379</v>
      </c>
      <c r="S17" s="4">
        <f>189+21</f>
        <v>210</v>
      </c>
      <c r="T17" s="4">
        <f>6664+2302+215</f>
        <v>9181</v>
      </c>
      <c r="U17" s="4">
        <f>5614+114+1954</f>
        <v>7682</v>
      </c>
      <c r="V17" s="4">
        <f>300000+325000+360000+400000+450000+600000+720000+840000+480000+480000+480000+350000+375000+420000+840000+960000+1080000</f>
        <v>9460000</v>
      </c>
      <c r="W17" s="4">
        <f>38+45+174+225+207+20+55+40+2+4+2+40+106+75</f>
        <v>1033</v>
      </c>
      <c r="X17" s="4">
        <f>1204</f>
        <v>1204</v>
      </c>
      <c r="Y17" s="4">
        <v>149</v>
      </c>
      <c r="Z17" s="4">
        <f>76+87+89</f>
        <v>252</v>
      </c>
      <c r="AA17" s="4">
        <f>3+6+8</f>
        <v>17</v>
      </c>
      <c r="AB17" s="4">
        <f>55835036+67415175+89001610</f>
        <v>212251821</v>
      </c>
      <c r="AC17" s="4">
        <f>1622482202+1084174679+1575165204</f>
        <v>4281822085</v>
      </c>
      <c r="AD17" s="4">
        <f>152894711+103604822+103368986</f>
        <v>359868519</v>
      </c>
      <c r="AE17" s="4">
        <f>73157406+52241901+52898764</f>
        <v>178298071</v>
      </c>
      <c r="AF17" s="4">
        <f>252141834+173065541+188962879</f>
        <v>614170254</v>
      </c>
      <c r="AG17" s="4">
        <f>3204269144+2787782867+2735843918</f>
        <v>8727895929</v>
      </c>
      <c r="AH17" s="4">
        <f>3391429539+2908065011+2777511006</f>
        <v>9077005556</v>
      </c>
      <c r="AI17" s="4">
        <f>42698311+41579301+62489896</f>
        <v>146767508</v>
      </c>
      <c r="AJ17" s="4">
        <f>71+104+67</f>
        <v>242</v>
      </c>
      <c r="AK17" s="4">
        <f>33+41+29</f>
        <v>103</v>
      </c>
      <c r="AL17" s="4">
        <f>92545000+101038000+75448000</f>
        <v>269031000</v>
      </c>
      <c r="AM17" s="4">
        <f>58+72+59</f>
        <v>189</v>
      </c>
      <c r="AN17" s="4">
        <f>41+46+34</f>
        <v>121</v>
      </c>
      <c r="AO17" s="4">
        <f>989741000+752506487+113475982</f>
        <v>1855723469</v>
      </c>
      <c r="AP17" s="4">
        <f>2+2+2</f>
        <v>6</v>
      </c>
      <c r="AQ17" s="4">
        <f>60+52+45</f>
        <v>157</v>
      </c>
      <c r="AR17" s="4">
        <f>3600000+2600000+2250000</f>
        <v>8450000</v>
      </c>
      <c r="AS17" s="4" t="s">
        <v>59</v>
      </c>
      <c r="AT17" s="4">
        <v>3.88</v>
      </c>
      <c r="AU17" s="4">
        <v>1206</v>
      </c>
      <c r="AV17" s="4">
        <v>1996</v>
      </c>
      <c r="AW17" s="4">
        <f t="shared" si="2"/>
        <v>3391</v>
      </c>
    </row>
    <row r="18" spans="1:49" x14ac:dyDescent="0.35">
      <c r="A18" s="4">
        <f t="shared" si="0"/>
        <v>16</v>
      </c>
      <c r="B18" s="5" t="s">
        <v>77</v>
      </c>
      <c r="C18" s="4">
        <v>24270</v>
      </c>
      <c r="D18" s="4">
        <f>2013+7230+1249+29+1124+227</f>
        <v>11872</v>
      </c>
      <c r="E18" s="4">
        <f>2464+7457+1592+69+1170+248</f>
        <v>13000</v>
      </c>
      <c r="F18" s="4">
        <f>D18+E18</f>
        <v>24872</v>
      </c>
      <c r="G18" s="4">
        <f>829+171+387+11+312+72</f>
        <v>1782</v>
      </c>
      <c r="H18" s="4">
        <f>3254+13237+2401+72+1794+376</f>
        <v>21134</v>
      </c>
      <c r="I18" s="4">
        <f>394+1279+53+15+188+27</f>
        <v>1956</v>
      </c>
      <c r="J18" s="4">
        <f>53+32+76+7</f>
        <v>168</v>
      </c>
      <c r="K18" s="4">
        <v>7756</v>
      </c>
      <c r="L18" s="4">
        <f>13+2+16</f>
        <v>31</v>
      </c>
      <c r="M18" s="4">
        <f>3824+213+26+760</f>
        <v>4823</v>
      </c>
      <c r="N18" s="4">
        <f>183+370+24+34</f>
        <v>611</v>
      </c>
      <c r="O18" s="4">
        <f>127+1700+453+24+132+23</f>
        <v>2459</v>
      </c>
      <c r="P18" s="4">
        <f t="shared" si="1"/>
        <v>4.8933156668341936E-2</v>
      </c>
      <c r="Q18" s="4">
        <f>16078+4308</f>
        <v>20386</v>
      </c>
      <c r="R18" s="4">
        <f>17366+4412</f>
        <v>21778</v>
      </c>
      <c r="S18" s="4">
        <f>104+95+85</f>
        <v>284</v>
      </c>
      <c r="T18" s="4">
        <f>17493+4394</f>
        <v>21887</v>
      </c>
      <c r="U18" s="4">
        <f>16658+4077</f>
        <v>20735</v>
      </c>
      <c r="V18" s="4">
        <f>600000+600000+600000+800000+850000+900000+1000000+1000000+1020000+900000+900000+900000+900000+900000+900000+1300000+1300000+1350000</f>
        <v>16720000</v>
      </c>
      <c r="W18" s="4">
        <f>754+317</f>
        <v>1071</v>
      </c>
      <c r="X18" s="4">
        <f>1630</f>
        <v>1630</v>
      </c>
      <c r="Y18" s="4">
        <v>0</v>
      </c>
      <c r="Z18" s="4">
        <f>184+137+115</f>
        <v>436</v>
      </c>
      <c r="AA18" s="4">
        <v>0</v>
      </c>
      <c r="AB18" s="4">
        <f>192329314+173546338+168998357</f>
        <v>534874009</v>
      </c>
      <c r="AC18" s="4">
        <f>480509828+482187322+578624440</f>
        <v>1541321590</v>
      </c>
      <c r="AD18" s="4">
        <f>102664704</f>
        <v>102664704</v>
      </c>
      <c r="AE18" s="4">
        <f>0</f>
        <v>0</v>
      </c>
      <c r="AF18" s="4">
        <f>380071240+512817605+325168359</f>
        <v>1218057204</v>
      </c>
      <c r="AG18" s="4">
        <f>2938470643+2928127124 +2876354344</f>
        <v>8742952111</v>
      </c>
      <c r="AH18" s="4">
        <f>1826149023+1888278330+2219196232</f>
        <v>5933623585</v>
      </c>
      <c r="AI18" s="4">
        <f>210497756+204719277+199648297</f>
        <v>614865330</v>
      </c>
      <c r="AJ18" s="4">
        <f>126+101+98</f>
        <v>325</v>
      </c>
      <c r="AK18" s="4">
        <f>49+49+27</f>
        <v>125</v>
      </c>
      <c r="AL18" s="4">
        <f>99127693+103503419+69811859</f>
        <v>272442971</v>
      </c>
      <c r="AM18" s="4">
        <f>61+57+49</f>
        <v>167</v>
      </c>
      <c r="AN18" s="4">
        <f>29+27+19</f>
        <v>75</v>
      </c>
      <c r="AO18" s="4">
        <f>70699602+127540978+25369580</f>
        <v>223610160</v>
      </c>
      <c r="AP18" s="4">
        <v>0</v>
      </c>
      <c r="AQ18" s="4">
        <v>0</v>
      </c>
      <c r="AR18" s="4">
        <v>0</v>
      </c>
      <c r="AS18" s="4" t="s">
        <v>59</v>
      </c>
      <c r="AT18" s="4">
        <v>3.52</v>
      </c>
      <c r="AU18" s="4">
        <v>2005</v>
      </c>
      <c r="AV18" s="4">
        <v>1992</v>
      </c>
      <c r="AW18" s="4">
        <f t="shared" si="2"/>
        <v>7924</v>
      </c>
    </row>
    <row r="19" spans="1:49" x14ac:dyDescent="0.35">
      <c r="A19" s="4">
        <f t="shared" si="0"/>
        <v>17</v>
      </c>
      <c r="B19" s="5" t="s">
        <v>78</v>
      </c>
      <c r="C19" s="4">
        <v>1738</v>
      </c>
      <c r="D19" s="4">
        <v>1033</v>
      </c>
      <c r="E19" s="4">
        <v>504</v>
      </c>
      <c r="F19" s="4">
        <v>1537</v>
      </c>
      <c r="G19" s="4">
        <f>537</f>
        <v>537</v>
      </c>
      <c r="H19" s="4">
        <f>1000</f>
        <v>1000</v>
      </c>
      <c r="I19" s="4">
        <v>0</v>
      </c>
      <c r="J19" s="4">
        <v>4</v>
      </c>
      <c r="K19" s="4">
        <v>623</v>
      </c>
      <c r="L19" s="4">
        <v>123</v>
      </c>
      <c r="M19" s="4">
        <v>0</v>
      </c>
      <c r="N19" s="4">
        <v>0</v>
      </c>
      <c r="O19" s="4">
        <v>504</v>
      </c>
      <c r="P19" s="4">
        <f t="shared" si="1"/>
        <v>0.26366559485530544</v>
      </c>
      <c r="Q19" s="4">
        <f>734+243+600</f>
        <v>1577</v>
      </c>
      <c r="R19" s="4">
        <f>693+553</f>
        <v>1246</v>
      </c>
      <c r="S19" s="4">
        <v>0</v>
      </c>
      <c r="T19" s="4">
        <f>479+454</f>
        <v>933</v>
      </c>
      <c r="U19" s="4">
        <f>443+215</f>
        <v>658</v>
      </c>
      <c r="V19" s="4">
        <f>6700000+6672000</f>
        <v>13372000</v>
      </c>
      <c r="W19" s="4">
        <f>70+71+105</f>
        <v>246</v>
      </c>
      <c r="X19" s="4">
        <f>2144</f>
        <v>2144</v>
      </c>
      <c r="Y19" s="4">
        <v>0</v>
      </c>
      <c r="Z19" s="4">
        <f>302+240+297</f>
        <v>839</v>
      </c>
      <c r="AA19" s="4">
        <v>0</v>
      </c>
      <c r="AB19" s="4">
        <f>522612870+562779920+351291193</f>
        <v>1436683983</v>
      </c>
      <c r="AC19" s="4">
        <f>958560635+1538329286+1330053734</f>
        <v>3826943655</v>
      </c>
      <c r="AD19" s="4">
        <f>108217698+171635721+224231357</f>
        <v>504084776</v>
      </c>
      <c r="AE19" s="4">
        <f>3067283+5024000+4923000</f>
        <v>13014283</v>
      </c>
      <c r="AF19" s="4">
        <f>299816361+265778541+381685846</f>
        <v>947280748</v>
      </c>
      <c r="AG19" s="4">
        <f>3775014302+3508510129+3293475735</f>
        <v>10577000166</v>
      </c>
      <c r="AH19" s="4">
        <f>1081196991+1249565398 +1456958907</f>
        <v>3787721296</v>
      </c>
      <c r="AI19" s="4">
        <f>22738869+10712048+19321769</f>
        <v>52772686</v>
      </c>
      <c r="AJ19" s="4">
        <f>500+956+943</f>
        <v>2399</v>
      </c>
      <c r="AK19" s="4">
        <f>192+218+186</f>
        <v>596</v>
      </c>
      <c r="AL19" s="4">
        <f>5200875480+2889072003+1500326360</f>
        <v>9590273843</v>
      </c>
      <c r="AM19" s="4">
        <f>8</f>
        <v>8</v>
      </c>
      <c r="AN19" s="4">
        <v>8</v>
      </c>
      <c r="AO19" s="4">
        <f>439008+13260000+1353007</f>
        <v>15052015</v>
      </c>
      <c r="AP19" s="4">
        <f>3</f>
        <v>3</v>
      </c>
      <c r="AQ19" s="4">
        <v>96</v>
      </c>
      <c r="AR19" s="4">
        <f>477900</f>
        <v>477900</v>
      </c>
      <c r="AS19" s="4" t="s">
        <v>59</v>
      </c>
      <c r="AT19" s="4">
        <v>3.4</v>
      </c>
      <c r="AU19" s="4">
        <v>1137</v>
      </c>
      <c r="AV19" s="4">
        <v>2005</v>
      </c>
      <c r="AW19" s="4">
        <f t="shared" si="2"/>
        <v>627</v>
      </c>
    </row>
    <row r="20" spans="1:49" x14ac:dyDescent="0.35">
      <c r="A20" s="4">
        <f t="shared" si="0"/>
        <v>18</v>
      </c>
      <c r="B20" s="5" t="s">
        <v>79</v>
      </c>
      <c r="C20" s="4">
        <f>2705+9358+850+2387+256+155+30+1901+8400+650+2301+192+30+3845+10055+690+193+30+10620+790+30+790+30+30</f>
        <v>56318</v>
      </c>
      <c r="D20" s="4">
        <f>5775+19699+1318+2763+189+76+79</f>
        <v>29899</v>
      </c>
      <c r="E20" s="4">
        <f>2615+13401+1204+1718+292+10+94</f>
        <v>19334</v>
      </c>
      <c r="F20" s="4">
        <f>8390+33100+2522+4481+481+86+173</f>
        <v>49233</v>
      </c>
      <c r="G20" s="4">
        <f>5234+4145+1452+1964+181+29+124</f>
        <v>13129</v>
      </c>
      <c r="H20" s="4">
        <f>2994+28499+999+2375+294+57+36</f>
        <v>35254</v>
      </c>
      <c r="I20" s="4">
        <f>162+456+71+142+6+13</f>
        <v>850</v>
      </c>
      <c r="J20" s="4">
        <f>1066+4775+226+475+46+11+6</f>
        <v>6605</v>
      </c>
      <c r="K20" s="4">
        <f>6895+11516+1779+3274+292+44+139</f>
        <v>23939</v>
      </c>
      <c r="L20" s="4">
        <f>40</f>
        <v>40</v>
      </c>
      <c r="M20" s="4">
        <f>2512+2181+8+458+20</f>
        <v>5179</v>
      </c>
      <c r="N20" s="4">
        <f>115+205+301</f>
        <v>621</v>
      </c>
      <c r="O20" s="4">
        <v>24704</v>
      </c>
      <c r="P20" s="4">
        <f t="shared" si="1"/>
        <v>0.20500643118630651</v>
      </c>
      <c r="Q20" s="4">
        <f>38673+11060</f>
        <v>49733</v>
      </c>
      <c r="R20" s="4">
        <f>31995+10523</f>
        <v>42518</v>
      </c>
      <c r="S20" s="4">
        <v>79</v>
      </c>
      <c r="T20" s="4">
        <f>10114+30227+87</f>
        <v>40428</v>
      </c>
      <c r="U20" s="4">
        <f>77+26851+2349</f>
        <v>29277</v>
      </c>
      <c r="V20" s="4">
        <f>8156000+775000+1148000</f>
        <v>10079000</v>
      </c>
      <c r="W20" s="4">
        <f>6117+2171</f>
        <v>8288</v>
      </c>
      <c r="X20" s="4">
        <v>2015</v>
      </c>
      <c r="Y20" s="4">
        <v>915</v>
      </c>
      <c r="Z20" s="4">
        <f>159+65+77</f>
        <v>301</v>
      </c>
      <c r="AA20" s="4">
        <f>160+116+116</f>
        <v>392</v>
      </c>
      <c r="AB20" s="4">
        <f>77800000+22500000+82750004</f>
        <v>183050004</v>
      </c>
      <c r="AC20" s="4">
        <f>565300000+423500000+534331127</f>
        <v>1523131127</v>
      </c>
      <c r="AD20" s="4">
        <f>98900000+110152508</f>
        <v>209052508</v>
      </c>
      <c r="AE20" s="4">
        <f>2620000+2500000+6700000</f>
        <v>11820000</v>
      </c>
      <c r="AF20" s="4">
        <f>112200000+264642431+53600000</f>
        <v>430442431</v>
      </c>
      <c r="AG20" s="4">
        <f>5858100000+5901000000+5896725174</f>
        <v>17655825174</v>
      </c>
      <c r="AH20" s="4">
        <f>9528300000+9992000000+9823998212</f>
        <v>29344298212</v>
      </c>
      <c r="AI20" s="4">
        <f>26432000+23600000+101059685</f>
        <v>151091685</v>
      </c>
      <c r="AJ20" s="4">
        <f>147+87+122</f>
        <v>356</v>
      </c>
      <c r="AK20" s="4">
        <f>27+21+22</f>
        <v>70</v>
      </c>
      <c r="AL20" s="4">
        <f>221216772+117000516+194569279</f>
        <v>532786567</v>
      </c>
      <c r="AM20" s="4">
        <f>167+120+254</f>
        <v>541</v>
      </c>
      <c r="AN20" s="4">
        <f>101+93+177</f>
        <v>371</v>
      </c>
      <c r="AO20" s="4">
        <f>12901025+63283536+41698495</f>
        <v>117883056</v>
      </c>
      <c r="AP20" s="4">
        <f>16</f>
        <v>16</v>
      </c>
      <c r="AQ20" s="4">
        <f>224+579+66</f>
        <v>869</v>
      </c>
      <c r="AR20" s="4">
        <f>418750+836000+3735000</f>
        <v>4989750</v>
      </c>
      <c r="AS20" s="4" t="s">
        <v>59</v>
      </c>
      <c r="AT20" s="4">
        <v>3.55</v>
      </c>
      <c r="AU20" s="4">
        <v>3884</v>
      </c>
      <c r="AV20" s="4">
        <v>1985</v>
      </c>
      <c r="AW20" s="4">
        <f t="shared" si="2"/>
        <v>30544</v>
      </c>
    </row>
    <row r="21" spans="1:49" x14ac:dyDescent="0.35">
      <c r="A21" s="4">
        <f t="shared" si="0"/>
        <v>19</v>
      </c>
      <c r="B21" s="5" t="s">
        <v>80</v>
      </c>
      <c r="C21" s="4">
        <f>220+70+120+220+2810+30+50+2750+90+50+194+90+50+50</f>
        <v>6794</v>
      </c>
      <c r="D21" s="4">
        <f>362+13+23+2744+51+72</f>
        <v>3265</v>
      </c>
      <c r="E21" s="4">
        <f>280+29+28+2096+38+135</f>
        <v>2606</v>
      </c>
      <c r="F21" s="4">
        <f>D21+E21</f>
        <v>5871</v>
      </c>
      <c r="G21" s="4">
        <f>458+42+49+4117+83+185</f>
        <v>4934</v>
      </c>
      <c r="H21" s="4">
        <f>71+2+630+6+14</f>
        <v>723</v>
      </c>
      <c r="I21" s="4">
        <f>113+93+8</f>
        <v>214</v>
      </c>
      <c r="J21" s="4">
        <f>15+305+8+8+1+6</f>
        <v>343</v>
      </c>
      <c r="K21" s="4">
        <f>204+15+25+1955+40+25</f>
        <v>2264</v>
      </c>
      <c r="L21" s="4">
        <f>81+10+11+803+15+11</f>
        <v>931</v>
      </c>
      <c r="M21" s="4">
        <f>0</f>
        <v>0</v>
      </c>
      <c r="N21" s="4">
        <v>0</v>
      </c>
      <c r="O21" s="4">
        <f>138+11+15+1457+33+22</f>
        <v>1676</v>
      </c>
      <c r="P21" s="4">
        <f t="shared" si="1"/>
        <v>6.2014532698571788E-2</v>
      </c>
      <c r="Q21" s="4">
        <f>30+70+194+0+120+120+120+2394+2454+2750+90+90+90+30+50+50</f>
        <v>8652</v>
      </c>
      <c r="R21" s="4">
        <f>30+65+194+0+120+120+120+2020+2440+2750+85+90+90+25+50+50</f>
        <v>8249</v>
      </c>
      <c r="S21" s="4">
        <f>1</f>
        <v>1</v>
      </c>
      <c r="T21" s="4">
        <f>30+60+161+120+120+47+2011+2380+2705+84+86+65+25+48+40</f>
        <v>7982</v>
      </c>
      <c r="U21" s="4">
        <f>10+54+57+40+5+683+546+863+22+32+31+20+14+9</f>
        <v>2386</v>
      </c>
      <c r="V21" s="4">
        <f>355000+300000+450000+385000+400000+250000+500000+530000+500000+455000+510000+250000+455000+450000+450000</f>
        <v>6240000</v>
      </c>
      <c r="W21" s="4">
        <f>14+5+42+2+2+3+91+129+169+6+5+2+3+9+13</f>
        <v>495</v>
      </c>
      <c r="X21" s="4">
        <f>1789</f>
        <v>1789</v>
      </c>
      <c r="Y21" s="4">
        <v>0</v>
      </c>
      <c r="Z21" s="4">
        <f>478+494+475</f>
        <v>1447</v>
      </c>
      <c r="AA21" s="4">
        <v>0</v>
      </c>
      <c r="AB21" s="4">
        <f>9535028+14068738+58720513</f>
        <v>82324279</v>
      </c>
      <c r="AC21" s="4">
        <f>53917403+75937872+110915619</f>
        <v>240770894</v>
      </c>
      <c r="AD21" s="4">
        <f>10536287+21459008+5758541</f>
        <v>37753836</v>
      </c>
      <c r="AE21" s="4">
        <f>0</f>
        <v>0</v>
      </c>
      <c r="AF21" s="4">
        <f>118459793+161165747+376472714</f>
        <v>656098254</v>
      </c>
      <c r="AG21" s="4">
        <f>1364880183+1280845650+1257163889</f>
        <v>3902889722</v>
      </c>
      <c r="AH21" s="4">
        <f>1182345720+1417570065+3493767876</f>
        <v>6093683661</v>
      </c>
      <c r="AI21" s="4">
        <f>3019504+6009643+32225105</f>
        <v>41254252</v>
      </c>
      <c r="AJ21" s="4">
        <f>60+95+150</f>
        <v>305</v>
      </c>
      <c r="AK21" s="4">
        <f>15+20+17</f>
        <v>52</v>
      </c>
      <c r="AL21" s="4">
        <f>389095394+304996410+568083583</f>
        <v>1262175387</v>
      </c>
      <c r="AM21" s="4">
        <f>15+1+27</f>
        <v>43</v>
      </c>
      <c r="AN21" s="4">
        <f>15+1+27</f>
        <v>43</v>
      </c>
      <c r="AO21" s="4">
        <f>27434566+35448810+31899354</f>
        <v>94782730</v>
      </c>
      <c r="AP21" s="4">
        <f>28+34+24</f>
        <v>86</v>
      </c>
      <c r="AQ21" s="4">
        <f>9999+9999+9999</f>
        <v>29997</v>
      </c>
      <c r="AR21" s="4">
        <f>18024000+20737218+11500700</f>
        <v>50261918</v>
      </c>
      <c r="AS21" s="4" t="s">
        <v>59</v>
      </c>
      <c r="AT21" s="4">
        <v>3.6</v>
      </c>
      <c r="AU21" s="4">
        <v>839</v>
      </c>
      <c r="AV21" s="4">
        <v>1949</v>
      </c>
      <c r="AW21" s="4">
        <f t="shared" si="2"/>
        <v>2607</v>
      </c>
    </row>
    <row r="22" spans="1:49" x14ac:dyDescent="0.35">
      <c r="A22" s="4">
        <f t="shared" si="0"/>
        <v>20</v>
      </c>
      <c r="B22" s="5" t="s">
        <v>81</v>
      </c>
      <c r="C22" s="4">
        <v>13267</v>
      </c>
      <c r="D22" s="4">
        <v>11770</v>
      </c>
      <c r="E22" s="4">
        <v>2160</v>
      </c>
      <c r="F22" s="4">
        <f>E22+D22</f>
        <v>13930</v>
      </c>
      <c r="G22" s="4">
        <v>3026</v>
      </c>
      <c r="H22" s="4">
        <v>10461</v>
      </c>
      <c r="I22" s="4">
        <v>443</v>
      </c>
      <c r="J22" s="4">
        <v>3276</v>
      </c>
      <c r="K22" s="4">
        <v>948</v>
      </c>
      <c r="L22" s="4">
        <v>0</v>
      </c>
      <c r="M22" s="4">
        <v>16</v>
      </c>
      <c r="N22" s="4">
        <v>0</v>
      </c>
      <c r="O22" s="4">
        <v>4208</v>
      </c>
      <c r="P22" s="4">
        <f t="shared" si="1"/>
        <v>4.9068199841395717E-2</v>
      </c>
      <c r="Q22" s="4">
        <v>10169</v>
      </c>
      <c r="R22" s="4">
        <v>10169</v>
      </c>
      <c r="S22" s="4">
        <v>0</v>
      </c>
      <c r="T22" s="4">
        <v>10088</v>
      </c>
      <c r="U22" s="4">
        <v>8754</v>
      </c>
      <c r="V22" s="4">
        <v>7667698</v>
      </c>
      <c r="W22" s="4">
        <v>495</v>
      </c>
      <c r="X22" s="4">
        <v>1348</v>
      </c>
      <c r="Y22" s="4">
        <v>360</v>
      </c>
      <c r="Z22" s="4">
        <v>292</v>
      </c>
      <c r="AA22" s="4">
        <v>99</v>
      </c>
      <c r="AB22" s="8">
        <v>353143800</v>
      </c>
      <c r="AC22" s="8">
        <v>1734800123</v>
      </c>
      <c r="AD22" s="8">
        <v>84840133</v>
      </c>
      <c r="AE22" s="8">
        <v>0</v>
      </c>
      <c r="AF22" s="8">
        <v>603672486</v>
      </c>
      <c r="AG22" s="8">
        <v>8804232357</v>
      </c>
      <c r="AH22" s="8">
        <v>5329257044</v>
      </c>
      <c r="AI22" s="8">
        <v>19398515</v>
      </c>
      <c r="AJ22" s="8">
        <v>944</v>
      </c>
      <c r="AK22" s="8">
        <v>298</v>
      </c>
      <c r="AL22" s="8">
        <v>1295860159</v>
      </c>
      <c r="AM22" s="8">
        <v>94</v>
      </c>
      <c r="AN22" s="8">
        <v>83</v>
      </c>
      <c r="AO22" s="8">
        <v>76146111</v>
      </c>
      <c r="AP22" s="8">
        <v>130</v>
      </c>
      <c r="AQ22" s="8">
        <v>90738</v>
      </c>
      <c r="AR22" s="8">
        <v>6586806301</v>
      </c>
      <c r="AS22" s="4" t="s">
        <v>59</v>
      </c>
      <c r="AT22" s="4">
        <v>3.45</v>
      </c>
      <c r="AU22" s="4">
        <v>900</v>
      </c>
      <c r="AV22" s="4">
        <v>1964</v>
      </c>
      <c r="AW22" s="4">
        <f t="shared" si="2"/>
        <v>4224</v>
      </c>
    </row>
    <row r="23" spans="1:49" x14ac:dyDescent="0.35">
      <c r="A23" s="4">
        <f t="shared" si="0"/>
        <v>21</v>
      </c>
      <c r="B23" s="5" t="s">
        <v>82</v>
      </c>
      <c r="C23" s="4">
        <v>3392</v>
      </c>
      <c r="D23" s="4">
        <v>1253</v>
      </c>
      <c r="E23" s="4">
        <v>1926</v>
      </c>
      <c r="F23" s="4">
        <f>D23+E23</f>
        <v>3179</v>
      </c>
      <c r="G23" s="4">
        <v>2891</v>
      </c>
      <c r="H23" s="4">
        <v>279</v>
      </c>
      <c r="I23" s="4">
        <v>9</v>
      </c>
      <c r="J23" s="4">
        <v>264</v>
      </c>
      <c r="K23" s="4">
        <v>1362</v>
      </c>
      <c r="L23" s="4">
        <v>224</v>
      </c>
      <c r="M23" s="4">
        <v>175</v>
      </c>
      <c r="N23" s="4">
        <v>40</v>
      </c>
      <c r="O23" s="4">
        <v>1187</v>
      </c>
      <c r="P23" s="4">
        <f t="shared" si="1"/>
        <v>0.34789272030651341</v>
      </c>
      <c r="Q23" s="4">
        <v>4485</v>
      </c>
      <c r="R23" s="4">
        <v>4317</v>
      </c>
      <c r="S23" s="4">
        <v>0</v>
      </c>
      <c r="T23" s="4">
        <v>3915</v>
      </c>
      <c r="U23" s="4">
        <v>2474</v>
      </c>
      <c r="V23" s="4">
        <v>2624000</v>
      </c>
      <c r="W23" s="4">
        <v>1362</v>
      </c>
      <c r="X23" s="4">
        <v>640</v>
      </c>
      <c r="Y23" s="4">
        <v>182</v>
      </c>
      <c r="Z23" s="4">
        <v>436</v>
      </c>
      <c r="AA23" s="4">
        <v>1199</v>
      </c>
      <c r="AB23" s="8">
        <v>16229337</v>
      </c>
      <c r="AC23" s="8">
        <v>419659119</v>
      </c>
      <c r="AD23" s="8">
        <v>36395341</v>
      </c>
      <c r="AE23" s="8">
        <v>0</v>
      </c>
      <c r="AF23" s="8">
        <v>7235760</v>
      </c>
      <c r="AG23" s="8">
        <v>1908934965</v>
      </c>
      <c r="AH23" s="8">
        <v>1336933984</v>
      </c>
      <c r="AI23" s="8">
        <v>24715194</v>
      </c>
      <c r="AJ23" s="8">
        <v>380</v>
      </c>
      <c r="AK23" s="8">
        <v>75</v>
      </c>
      <c r="AL23" s="8">
        <v>826870590</v>
      </c>
      <c r="AM23" s="8">
        <v>16</v>
      </c>
      <c r="AN23" s="8">
        <v>14</v>
      </c>
      <c r="AO23" s="8">
        <v>15030000</v>
      </c>
      <c r="AP23" s="8">
        <v>11</v>
      </c>
      <c r="AQ23" s="8">
        <v>741</v>
      </c>
      <c r="AR23" s="8">
        <v>1506200</v>
      </c>
      <c r="AS23" s="4" t="s">
        <v>59</v>
      </c>
      <c r="AT23" s="4">
        <v>3.63</v>
      </c>
      <c r="AU23" s="4">
        <v>315</v>
      </c>
      <c r="AV23" s="4">
        <v>1982</v>
      </c>
      <c r="AW23" s="4">
        <f t="shared" si="2"/>
        <v>1626</v>
      </c>
    </row>
    <row r="24" spans="1:49" ht="28" x14ac:dyDescent="0.35">
      <c r="A24" s="4">
        <f t="shared" si="0"/>
        <v>22</v>
      </c>
      <c r="B24" s="5" t="s">
        <v>83</v>
      </c>
      <c r="C24" s="4">
        <v>10840</v>
      </c>
      <c r="D24" s="4">
        <v>6610</v>
      </c>
      <c r="E24" s="4">
        <v>3691</v>
      </c>
      <c r="F24" s="4">
        <f t="shared" ref="F24:F42" si="3">D24+E24</f>
        <v>10301</v>
      </c>
      <c r="G24" s="4">
        <v>3204</v>
      </c>
      <c r="H24" s="4">
        <v>6953</v>
      </c>
      <c r="I24" s="4">
        <v>144</v>
      </c>
      <c r="J24" s="4">
        <v>317</v>
      </c>
      <c r="K24" s="4">
        <v>452</v>
      </c>
      <c r="L24" s="4">
        <v>25</v>
      </c>
      <c r="M24" s="4">
        <v>514</v>
      </c>
      <c r="N24" s="4">
        <v>5</v>
      </c>
      <c r="O24" s="4">
        <v>225</v>
      </c>
      <c r="P24" s="4">
        <f t="shared" si="1"/>
        <v>0.12622124172707216</v>
      </c>
      <c r="Q24" s="4">
        <f>465+6990</f>
        <v>7455</v>
      </c>
      <c r="R24" s="4">
        <f>5910+184</f>
        <v>6094</v>
      </c>
      <c r="S24" s="4">
        <f>66+256</f>
        <v>322</v>
      </c>
      <c r="T24" s="4">
        <f>6110+236</f>
        <v>6346</v>
      </c>
      <c r="U24" s="4">
        <f>90+4404</f>
        <v>4494</v>
      </c>
      <c r="V24" s="4">
        <f>4599500+4001526</f>
        <v>8601026</v>
      </c>
      <c r="W24" s="4">
        <f>792+9</f>
        <v>801</v>
      </c>
      <c r="X24" s="4">
        <v>562</v>
      </c>
      <c r="Y24" s="4">
        <v>133</v>
      </c>
      <c r="Z24" s="4">
        <v>223</v>
      </c>
      <c r="AA24" s="4">
        <v>87</v>
      </c>
      <c r="AB24" s="8">
        <v>79477832</v>
      </c>
      <c r="AC24" s="8">
        <v>293164026</v>
      </c>
      <c r="AD24" s="8">
        <v>248801671</v>
      </c>
      <c r="AE24" s="8">
        <v>1075200000</v>
      </c>
      <c r="AF24" s="8">
        <v>559628703</v>
      </c>
      <c r="AG24" s="8">
        <v>4772402475</v>
      </c>
      <c r="AH24" s="8">
        <v>3162659497</v>
      </c>
      <c r="AI24" s="8">
        <v>70302053</v>
      </c>
      <c r="AJ24" s="8">
        <v>174</v>
      </c>
      <c r="AK24" s="8">
        <v>83</v>
      </c>
      <c r="AL24" s="8">
        <v>281437000</v>
      </c>
      <c r="AM24" s="8">
        <v>253</v>
      </c>
      <c r="AN24" s="8">
        <v>216</v>
      </c>
      <c r="AO24" s="8">
        <v>97851557</v>
      </c>
      <c r="AP24" s="8">
        <v>3</v>
      </c>
      <c r="AQ24" s="8">
        <v>19</v>
      </c>
      <c r="AR24" s="8">
        <v>3990000</v>
      </c>
      <c r="AS24" s="4" t="s">
        <v>59</v>
      </c>
      <c r="AT24" s="4">
        <v>3.29</v>
      </c>
      <c r="AU24" s="4">
        <v>728</v>
      </c>
      <c r="AV24" s="4">
        <v>1956</v>
      </c>
      <c r="AW24" s="4">
        <f t="shared" si="2"/>
        <v>769</v>
      </c>
    </row>
    <row r="25" spans="1:49" x14ac:dyDescent="0.35">
      <c r="A25" s="4">
        <f t="shared" si="0"/>
        <v>23</v>
      </c>
      <c r="B25" s="5" t="s">
        <v>84</v>
      </c>
      <c r="C25" s="4">
        <v>2410</v>
      </c>
      <c r="D25" s="4">
        <v>1524</v>
      </c>
      <c r="E25" s="4">
        <v>816</v>
      </c>
      <c r="F25" s="4">
        <f t="shared" si="3"/>
        <v>2340</v>
      </c>
      <c r="G25" s="4">
        <v>1657</v>
      </c>
      <c r="H25" s="4">
        <v>679</v>
      </c>
      <c r="I25" s="4">
        <v>4</v>
      </c>
      <c r="J25" s="4">
        <v>69</v>
      </c>
      <c r="K25" s="4">
        <v>855</v>
      </c>
      <c r="L25" s="4">
        <v>420</v>
      </c>
      <c r="M25" s="4">
        <v>0</v>
      </c>
      <c r="N25" s="4">
        <v>47</v>
      </c>
      <c r="O25" s="4">
        <v>457</v>
      </c>
      <c r="P25" s="4">
        <f t="shared" si="1"/>
        <v>0.18969555035128804</v>
      </c>
      <c r="Q25" s="4">
        <v>1946</v>
      </c>
      <c r="R25" s="4">
        <v>1744</v>
      </c>
      <c r="S25" s="4">
        <v>0</v>
      </c>
      <c r="T25" s="4">
        <v>1708</v>
      </c>
      <c r="U25" s="4">
        <v>873</v>
      </c>
      <c r="V25" s="4">
        <v>3800000</v>
      </c>
      <c r="W25" s="4">
        <v>324</v>
      </c>
      <c r="X25" s="4">
        <v>549</v>
      </c>
      <c r="Y25" s="4">
        <v>92</v>
      </c>
      <c r="Z25" s="4">
        <v>399</v>
      </c>
      <c r="AA25" s="4">
        <v>19</v>
      </c>
      <c r="AB25" s="8">
        <v>119115747</v>
      </c>
      <c r="AC25" s="8">
        <v>621324870</v>
      </c>
      <c r="AD25" s="8">
        <v>8292000</v>
      </c>
      <c r="AE25" s="8">
        <v>5016302</v>
      </c>
      <c r="AF25" s="8">
        <v>224561289</v>
      </c>
      <c r="AG25" s="8">
        <v>1426428684</v>
      </c>
      <c r="AH25" s="8">
        <v>1103173657</v>
      </c>
      <c r="AI25" s="8">
        <v>38688947</v>
      </c>
      <c r="AJ25" s="8">
        <v>461</v>
      </c>
      <c r="AK25" s="8">
        <v>255</v>
      </c>
      <c r="AL25" s="8">
        <v>960006826</v>
      </c>
      <c r="AM25" s="8">
        <v>580</v>
      </c>
      <c r="AN25" s="8">
        <v>391</v>
      </c>
      <c r="AO25" s="8">
        <v>138891202</v>
      </c>
      <c r="AP25" s="8">
        <v>10</v>
      </c>
      <c r="AQ25" s="8">
        <v>261</v>
      </c>
      <c r="AR25" s="8">
        <v>22926400</v>
      </c>
      <c r="AS25" s="4" t="s">
        <v>59</v>
      </c>
      <c r="AT25" s="4">
        <v>3.77</v>
      </c>
      <c r="AU25" s="4">
        <v>207</v>
      </c>
      <c r="AV25" s="4">
        <v>1933</v>
      </c>
      <c r="AW25" s="4">
        <f t="shared" si="2"/>
        <v>924</v>
      </c>
    </row>
    <row r="26" spans="1:49" x14ac:dyDescent="0.35">
      <c r="A26" s="4">
        <f t="shared" si="0"/>
        <v>24</v>
      </c>
      <c r="B26" s="5" t="s">
        <v>85</v>
      </c>
      <c r="C26" s="4">
        <v>3331</v>
      </c>
      <c r="D26" s="4">
        <v>918</v>
      </c>
      <c r="E26" s="4">
        <v>2413</v>
      </c>
      <c r="F26" s="4">
        <f t="shared" si="3"/>
        <v>3331</v>
      </c>
      <c r="G26" s="4">
        <v>2305</v>
      </c>
      <c r="H26" s="4">
        <v>940</v>
      </c>
      <c r="I26" s="4">
        <v>86</v>
      </c>
      <c r="J26" s="4">
        <v>844</v>
      </c>
      <c r="K26" s="4">
        <v>1484</v>
      </c>
      <c r="L26" s="4">
        <v>1859</v>
      </c>
      <c r="M26" s="4">
        <v>424</v>
      </c>
      <c r="N26" s="4">
        <v>12</v>
      </c>
      <c r="O26" s="4">
        <v>33</v>
      </c>
      <c r="P26" s="4">
        <f t="shared" si="1"/>
        <v>0.53306613226452904</v>
      </c>
      <c r="Q26" s="4">
        <v>3677</v>
      </c>
      <c r="R26" s="4">
        <v>3631</v>
      </c>
      <c r="S26" s="4">
        <v>0</v>
      </c>
      <c r="T26" s="4">
        <v>3493</v>
      </c>
      <c r="U26" s="4">
        <v>1193</v>
      </c>
      <c r="V26" s="4">
        <v>1710000</v>
      </c>
      <c r="W26" s="4">
        <v>1862</v>
      </c>
      <c r="X26" s="4">
        <v>1522</v>
      </c>
      <c r="Y26" s="4">
        <v>484</v>
      </c>
      <c r="Z26" s="4">
        <v>1591</v>
      </c>
      <c r="AA26" s="4">
        <v>418</v>
      </c>
      <c r="AB26" s="8">
        <v>269722967</v>
      </c>
      <c r="AC26" s="8">
        <v>709719144</v>
      </c>
      <c r="AD26" s="8">
        <v>533113618</v>
      </c>
      <c r="AE26" s="8">
        <v>0</v>
      </c>
      <c r="AF26" s="8">
        <v>1381138592</v>
      </c>
      <c r="AG26" s="8">
        <v>5200281557</v>
      </c>
      <c r="AH26" s="8">
        <v>715343194</v>
      </c>
      <c r="AI26" s="8">
        <v>144282416</v>
      </c>
      <c r="AJ26" s="8">
        <v>191</v>
      </c>
      <c r="AK26" s="8">
        <v>87</v>
      </c>
      <c r="AL26" s="8">
        <v>489698673</v>
      </c>
      <c r="AM26" s="8">
        <v>5592</v>
      </c>
      <c r="AN26" s="8">
        <v>273</v>
      </c>
      <c r="AO26" s="8">
        <v>73082290</v>
      </c>
      <c r="AP26" s="8">
        <v>21</v>
      </c>
      <c r="AQ26" s="8">
        <v>4104</v>
      </c>
      <c r="AR26" s="8">
        <v>7073210</v>
      </c>
      <c r="AS26" s="4" t="s">
        <v>59</v>
      </c>
      <c r="AT26" s="4">
        <v>3.67</v>
      </c>
      <c r="AU26" s="4">
        <v>306</v>
      </c>
      <c r="AV26" s="4">
        <v>1937</v>
      </c>
      <c r="AW26" s="4">
        <f t="shared" si="2"/>
        <v>2328</v>
      </c>
    </row>
    <row r="27" spans="1:49" x14ac:dyDescent="0.35">
      <c r="A27" s="4">
        <f t="shared" si="0"/>
        <v>25</v>
      </c>
      <c r="B27" s="5" t="s">
        <v>86</v>
      </c>
      <c r="C27" s="4">
        <v>21846</v>
      </c>
      <c r="D27" s="4">
        <v>8212</v>
      </c>
      <c r="E27" s="4">
        <v>7791</v>
      </c>
      <c r="F27" s="4">
        <f t="shared" si="3"/>
        <v>16003</v>
      </c>
      <c r="G27" s="4">
        <v>5298</v>
      </c>
      <c r="H27" s="4">
        <v>10520</v>
      </c>
      <c r="I27" s="4">
        <v>185</v>
      </c>
      <c r="J27" s="4">
        <v>331</v>
      </c>
      <c r="K27" s="4">
        <v>4334</v>
      </c>
      <c r="L27" s="4">
        <v>1685</v>
      </c>
      <c r="M27" s="4">
        <v>146</v>
      </c>
      <c r="N27" s="4">
        <v>0</v>
      </c>
      <c r="O27" s="4">
        <v>2834</v>
      </c>
      <c r="P27" s="4">
        <f t="shared" si="1"/>
        <v>0.20817134893273675</v>
      </c>
      <c r="Q27" s="4">
        <f>18278+4723+1019</f>
        <v>24020</v>
      </c>
      <c r="R27" s="4">
        <f>14197+771+4006</f>
        <v>18974</v>
      </c>
      <c r="S27" s="4">
        <v>0</v>
      </c>
      <c r="T27" s="4">
        <f>3073+10060+500</f>
        <v>13633</v>
      </c>
      <c r="U27" s="4">
        <f>4031+396+281</f>
        <v>4708</v>
      </c>
      <c r="V27" s="4">
        <f>5700111+860000+2795894</f>
        <v>9356005</v>
      </c>
      <c r="W27" s="4">
        <f>1828+19+991</f>
        <v>2838</v>
      </c>
      <c r="X27" s="4">
        <v>2400</v>
      </c>
      <c r="Y27" s="4">
        <v>454</v>
      </c>
      <c r="Z27" s="4">
        <v>1312</v>
      </c>
      <c r="AA27" s="4">
        <v>0</v>
      </c>
      <c r="AB27" s="8">
        <v>3833869</v>
      </c>
      <c r="AC27" s="8">
        <v>168904492</v>
      </c>
      <c r="AD27" s="8">
        <v>0</v>
      </c>
      <c r="AE27" s="8">
        <v>9799684</v>
      </c>
      <c r="AF27" s="8">
        <v>155411086</v>
      </c>
      <c r="AG27" s="8">
        <v>14668285103</v>
      </c>
      <c r="AH27" s="8">
        <v>3382492023</v>
      </c>
      <c r="AI27" s="8">
        <v>8956085</v>
      </c>
      <c r="AJ27" s="8">
        <v>613</v>
      </c>
      <c r="AK27" s="8">
        <v>77</v>
      </c>
      <c r="AL27" s="8">
        <v>778788029</v>
      </c>
      <c r="AM27" s="8">
        <v>137</v>
      </c>
      <c r="AN27" s="8">
        <v>14956</v>
      </c>
      <c r="AO27" s="8">
        <v>80616981</v>
      </c>
      <c r="AP27" s="8">
        <v>12</v>
      </c>
      <c r="AQ27" s="8">
        <v>1403</v>
      </c>
      <c r="AR27" s="8">
        <v>0</v>
      </c>
      <c r="AS27" s="4" t="s">
        <v>59</v>
      </c>
      <c r="AT27" s="4">
        <v>3.35</v>
      </c>
      <c r="AU27" s="4">
        <v>971</v>
      </c>
      <c r="AV27" s="4">
        <v>1882</v>
      </c>
      <c r="AW27" s="4">
        <f t="shared" si="2"/>
        <v>4665</v>
      </c>
    </row>
    <row r="28" spans="1:49" x14ac:dyDescent="0.35">
      <c r="A28" s="4">
        <f t="shared" si="0"/>
        <v>26</v>
      </c>
      <c r="B28" s="5" t="s">
        <v>87</v>
      </c>
      <c r="C28" s="4">
        <v>10419</v>
      </c>
      <c r="D28" s="4">
        <v>5876</v>
      </c>
      <c r="E28" s="4">
        <v>4484</v>
      </c>
      <c r="F28" s="4">
        <f t="shared" si="3"/>
        <v>10360</v>
      </c>
      <c r="G28" s="4">
        <v>6137</v>
      </c>
      <c r="H28" s="4">
        <v>4199</v>
      </c>
      <c r="I28" s="4">
        <v>24</v>
      </c>
      <c r="J28" s="4">
        <v>474</v>
      </c>
      <c r="K28" s="4">
        <v>1626</v>
      </c>
      <c r="L28" s="4">
        <v>78</v>
      </c>
      <c r="M28" s="4">
        <v>168</v>
      </c>
      <c r="N28" s="4">
        <v>44</v>
      </c>
      <c r="O28" s="4">
        <v>1810</v>
      </c>
      <c r="P28" s="4">
        <f t="shared" si="1"/>
        <v>9.8798758266972597E-2</v>
      </c>
      <c r="Q28" s="4">
        <f>7504+360</f>
        <v>7864</v>
      </c>
      <c r="R28" s="4">
        <f>355+7425</f>
        <v>7780</v>
      </c>
      <c r="S28" s="4">
        <v>155</v>
      </c>
      <c r="T28" s="4">
        <f>7066+343</f>
        <v>7409</v>
      </c>
      <c r="U28" s="4">
        <f>191+5757</f>
        <v>5948</v>
      </c>
      <c r="V28" s="4">
        <f>930000+5520000</f>
        <v>6450000</v>
      </c>
      <c r="W28" s="4">
        <f>104+628</f>
        <v>732</v>
      </c>
      <c r="X28" s="4">
        <v>406</v>
      </c>
      <c r="Y28" s="4">
        <v>134</v>
      </c>
      <c r="Z28" s="4">
        <v>137</v>
      </c>
      <c r="AA28" s="4">
        <v>69</v>
      </c>
      <c r="AB28" s="8">
        <v>105770727</v>
      </c>
      <c r="AC28" s="8">
        <v>1001572658</v>
      </c>
      <c r="AD28" s="8">
        <v>12176</v>
      </c>
      <c r="AE28" s="8">
        <v>0</v>
      </c>
      <c r="AF28" s="8">
        <v>3045653931</v>
      </c>
      <c r="AG28" s="8">
        <v>2557930305</v>
      </c>
      <c r="AH28" s="8">
        <v>1808345175</v>
      </c>
      <c r="AI28" s="8">
        <v>120077420</v>
      </c>
      <c r="AJ28" s="8">
        <v>288</v>
      </c>
      <c r="AK28" s="8">
        <v>49</v>
      </c>
      <c r="AL28" s="8">
        <v>694800152</v>
      </c>
      <c r="AM28" s="8">
        <v>2033</v>
      </c>
      <c r="AN28" s="8">
        <v>346</v>
      </c>
      <c r="AO28" s="8">
        <v>668607993</v>
      </c>
      <c r="AP28" s="8">
        <v>13</v>
      </c>
      <c r="AQ28" s="8">
        <v>14760</v>
      </c>
      <c r="AR28" s="8">
        <v>218389735</v>
      </c>
      <c r="AS28" s="4" t="s">
        <v>59</v>
      </c>
      <c r="AT28" s="4">
        <v>3.76</v>
      </c>
      <c r="AU28" s="4">
        <v>789</v>
      </c>
      <c r="AV28" s="4">
        <v>1984</v>
      </c>
      <c r="AW28" s="4">
        <f t="shared" si="2"/>
        <v>2100</v>
      </c>
    </row>
    <row r="29" spans="1:49" x14ac:dyDescent="0.35">
      <c r="A29" s="4">
        <f t="shared" si="0"/>
        <v>27</v>
      </c>
      <c r="B29" s="5" t="s">
        <v>88</v>
      </c>
      <c r="C29" s="4">
        <v>29565</v>
      </c>
      <c r="D29" s="4">
        <v>14362</v>
      </c>
      <c r="E29" s="4">
        <v>14940</v>
      </c>
      <c r="F29" s="4">
        <f t="shared" si="3"/>
        <v>29302</v>
      </c>
      <c r="G29" s="4">
        <v>2204</v>
      </c>
      <c r="H29" s="4">
        <v>24092</v>
      </c>
      <c r="I29" s="4">
        <v>3006</v>
      </c>
      <c r="J29" s="4">
        <v>3641</v>
      </c>
      <c r="K29" s="4">
        <v>5353</v>
      </c>
      <c r="L29" s="4">
        <v>1641</v>
      </c>
      <c r="M29" s="4">
        <v>5112</v>
      </c>
      <c r="N29" s="4">
        <v>15</v>
      </c>
      <c r="O29" s="4">
        <v>2226</v>
      </c>
      <c r="P29" s="4">
        <f t="shared" si="1"/>
        <v>0.2880406399848075</v>
      </c>
      <c r="Q29" s="4">
        <f>16995+6660</f>
        <v>23655</v>
      </c>
      <c r="R29" s="4">
        <f>6525+14845</f>
        <v>21370</v>
      </c>
      <c r="S29" s="4">
        <v>237</v>
      </c>
      <c r="T29" s="4">
        <f>15059+6004</f>
        <v>21063</v>
      </c>
      <c r="U29" s="4">
        <f>10966+3844</f>
        <v>14810</v>
      </c>
      <c r="V29" s="4">
        <f>756000+5781000</f>
        <v>6537000</v>
      </c>
      <c r="W29" s="4">
        <f>3907+2160</f>
        <v>6067</v>
      </c>
      <c r="X29" s="4">
        <v>951</v>
      </c>
      <c r="Y29" s="4">
        <v>652</v>
      </c>
      <c r="Z29" s="4">
        <v>322</v>
      </c>
      <c r="AA29" s="4">
        <v>178</v>
      </c>
      <c r="AB29" s="8">
        <v>143350528</v>
      </c>
      <c r="AC29" s="8">
        <v>847387559</v>
      </c>
      <c r="AD29" s="8">
        <v>54150543</v>
      </c>
      <c r="AE29" s="8">
        <v>1059722</v>
      </c>
      <c r="AF29" s="8">
        <v>2139077189</v>
      </c>
      <c r="AG29" s="8">
        <v>7468842587</v>
      </c>
      <c r="AH29" s="8">
        <v>4737459831</v>
      </c>
      <c r="AI29" s="8">
        <v>297460971</v>
      </c>
      <c r="AJ29" s="8">
        <v>248</v>
      </c>
      <c r="AK29" s="8">
        <v>209</v>
      </c>
      <c r="AL29" s="8">
        <v>1647535296</v>
      </c>
      <c r="AM29" s="8">
        <v>282</v>
      </c>
      <c r="AN29" s="8">
        <v>253</v>
      </c>
      <c r="AO29" s="8">
        <v>342577293</v>
      </c>
      <c r="AP29" s="8">
        <v>8</v>
      </c>
      <c r="AQ29" s="8">
        <v>1701</v>
      </c>
      <c r="AR29" s="8">
        <v>315111900</v>
      </c>
      <c r="AS29" s="4" t="s">
        <v>59</v>
      </c>
      <c r="AT29" s="4">
        <v>3.28</v>
      </c>
      <c r="AU29" s="4">
        <v>2658</v>
      </c>
      <c r="AV29" s="4">
        <v>2012</v>
      </c>
      <c r="AW29" s="4">
        <f t="shared" si="2"/>
        <v>8994</v>
      </c>
    </row>
    <row r="30" spans="1:49" ht="28" x14ac:dyDescent="0.35">
      <c r="A30" s="4">
        <f t="shared" si="0"/>
        <v>28</v>
      </c>
      <c r="B30" s="5" t="s">
        <v>89</v>
      </c>
      <c r="C30" s="4">
        <v>14116</v>
      </c>
      <c r="D30" s="4">
        <v>8503</v>
      </c>
      <c r="E30" s="4">
        <v>5121</v>
      </c>
      <c r="F30" s="4">
        <f t="shared" si="3"/>
        <v>13624</v>
      </c>
      <c r="G30" s="4">
        <v>7930</v>
      </c>
      <c r="H30" s="4">
        <v>5417</v>
      </c>
      <c r="I30" s="4">
        <v>277</v>
      </c>
      <c r="J30" s="4">
        <v>91</v>
      </c>
      <c r="K30" s="4">
        <v>1125</v>
      </c>
      <c r="L30" s="4">
        <v>2</v>
      </c>
      <c r="M30" s="4">
        <v>438</v>
      </c>
      <c r="N30" s="4">
        <v>0</v>
      </c>
      <c r="O30" s="4">
        <v>776</v>
      </c>
      <c r="P30" s="4">
        <f t="shared" si="1"/>
        <v>0.13079453693549994</v>
      </c>
      <c r="Q30" s="4">
        <v>12296</v>
      </c>
      <c r="R30" s="4">
        <v>12076</v>
      </c>
      <c r="S30" s="4">
        <v>0</v>
      </c>
      <c r="T30" s="4">
        <v>10031</v>
      </c>
      <c r="U30" s="4">
        <v>5784</v>
      </c>
      <c r="V30" s="4">
        <v>2900500</v>
      </c>
      <c r="W30" s="4">
        <v>1312</v>
      </c>
      <c r="X30" s="4">
        <v>369</v>
      </c>
      <c r="Y30" s="4">
        <v>443</v>
      </c>
      <c r="Z30" s="4">
        <v>159</v>
      </c>
      <c r="AA30" s="4">
        <v>245</v>
      </c>
      <c r="AB30" s="8">
        <v>124713123</v>
      </c>
      <c r="AC30" s="8">
        <v>145070130</v>
      </c>
      <c r="AD30" s="8">
        <v>14599035</v>
      </c>
      <c r="AE30" s="8">
        <v>0</v>
      </c>
      <c r="AF30" s="8">
        <v>162526761</v>
      </c>
      <c r="AG30" s="8">
        <v>3381472491</v>
      </c>
      <c r="AH30" s="8">
        <v>1997701492</v>
      </c>
      <c r="AI30" s="8">
        <v>30941457</v>
      </c>
      <c r="AJ30" s="8">
        <v>413</v>
      </c>
      <c r="AK30" s="8">
        <v>49</v>
      </c>
      <c r="AL30" s="8">
        <v>218555541</v>
      </c>
      <c r="AM30" s="8">
        <v>542</v>
      </c>
      <c r="AN30" s="8">
        <v>461</v>
      </c>
      <c r="AO30" s="8">
        <v>42680549</v>
      </c>
      <c r="AP30" s="8">
        <v>22</v>
      </c>
      <c r="AQ30" s="8">
        <v>668</v>
      </c>
      <c r="AR30" s="8">
        <v>4745881</v>
      </c>
      <c r="AS30" s="4" t="s">
        <v>59</v>
      </c>
      <c r="AT30" s="4">
        <v>3.28</v>
      </c>
      <c r="AU30" s="4">
        <v>2658</v>
      </c>
      <c r="AV30" s="4">
        <v>1980</v>
      </c>
      <c r="AW30" s="4">
        <f t="shared" si="2"/>
        <v>1216</v>
      </c>
    </row>
    <row r="31" spans="1:49" x14ac:dyDescent="0.35">
      <c r="A31" s="4">
        <f t="shared" si="0"/>
        <v>29</v>
      </c>
      <c r="B31" s="5" t="s">
        <v>90</v>
      </c>
      <c r="C31" s="4">
        <v>8250</v>
      </c>
      <c r="D31" s="4">
        <v>3617</v>
      </c>
      <c r="E31" s="4">
        <v>4432</v>
      </c>
      <c r="F31" s="4">
        <f t="shared" si="3"/>
        <v>8049</v>
      </c>
      <c r="G31" s="4">
        <v>2537</v>
      </c>
      <c r="H31" s="4">
        <v>5177</v>
      </c>
      <c r="I31" s="4">
        <v>335</v>
      </c>
      <c r="J31" s="4">
        <v>1631</v>
      </c>
      <c r="K31" s="4">
        <v>5192</v>
      </c>
      <c r="L31" s="4">
        <v>306</v>
      </c>
      <c r="M31" s="4">
        <v>2778</v>
      </c>
      <c r="N31" s="4">
        <v>782</v>
      </c>
      <c r="O31" s="4">
        <v>2957</v>
      </c>
      <c r="P31" s="4">
        <f t="shared" si="1"/>
        <v>6.0795267827801515E-2</v>
      </c>
      <c r="Q31" s="4">
        <f>1505+5128</f>
        <v>6633</v>
      </c>
      <c r="R31" s="4">
        <f>1454+4705</f>
        <v>6159</v>
      </c>
      <c r="S31" s="4">
        <v>131</v>
      </c>
      <c r="T31" s="4">
        <f>1403+4683</f>
        <v>6086</v>
      </c>
      <c r="U31" s="4">
        <f>1132+4348</f>
        <v>5480</v>
      </c>
      <c r="V31" s="4">
        <f>5399000+1102000</f>
        <v>6501000</v>
      </c>
      <c r="W31" s="4">
        <f>193+177</f>
        <v>370</v>
      </c>
      <c r="X31" s="4">
        <v>484</v>
      </c>
      <c r="Y31" s="4">
        <v>148</v>
      </c>
      <c r="Z31" s="4">
        <v>293</v>
      </c>
      <c r="AA31" s="4">
        <v>59</v>
      </c>
      <c r="AB31" s="8">
        <v>60085761</v>
      </c>
      <c r="AC31" s="8">
        <v>237924595</v>
      </c>
      <c r="AD31" s="8">
        <v>75022528</v>
      </c>
      <c r="AE31" s="8">
        <v>49544403</v>
      </c>
      <c r="AF31" s="8">
        <v>381310946</v>
      </c>
      <c r="AG31" s="8">
        <v>2554412655</v>
      </c>
      <c r="AH31" s="8">
        <v>1709708870</v>
      </c>
      <c r="AI31" s="8">
        <v>221203835</v>
      </c>
      <c r="AJ31" s="8">
        <v>644</v>
      </c>
      <c r="AK31" s="8">
        <v>366</v>
      </c>
      <c r="AL31" s="8">
        <v>39360218</v>
      </c>
      <c r="AM31" s="8">
        <v>391</v>
      </c>
      <c r="AN31" s="8">
        <v>275</v>
      </c>
      <c r="AO31" s="8">
        <v>251009576</v>
      </c>
      <c r="AP31" s="8">
        <v>13</v>
      </c>
      <c r="AQ31" s="8">
        <v>3627</v>
      </c>
      <c r="AR31" s="8">
        <v>114990902</v>
      </c>
      <c r="AS31" s="4" t="s">
        <v>59</v>
      </c>
      <c r="AT31" s="4">
        <v>3.11</v>
      </c>
      <c r="AU31" s="4">
        <v>596</v>
      </c>
      <c r="AV31" s="4">
        <v>1984</v>
      </c>
      <c r="AW31" s="4">
        <f t="shared" si="2"/>
        <v>6823</v>
      </c>
    </row>
    <row r="32" spans="1:49" x14ac:dyDescent="0.35">
      <c r="A32" s="4">
        <f t="shared" si="0"/>
        <v>30</v>
      </c>
      <c r="B32" s="5" t="s">
        <v>91</v>
      </c>
      <c r="C32" s="4">
        <v>3919</v>
      </c>
      <c r="D32" s="4">
        <v>1417</v>
      </c>
      <c r="E32" s="4">
        <v>2442</v>
      </c>
      <c r="F32" s="4">
        <f t="shared" si="3"/>
        <v>3859</v>
      </c>
      <c r="G32" s="4">
        <v>3734</v>
      </c>
      <c r="H32" s="4">
        <v>120</v>
      </c>
      <c r="I32" s="4">
        <v>5</v>
      </c>
      <c r="J32" s="4">
        <v>1938</v>
      </c>
      <c r="K32" s="4">
        <v>1713</v>
      </c>
      <c r="L32" s="4">
        <v>487</v>
      </c>
      <c r="M32" s="4">
        <v>0</v>
      </c>
      <c r="N32" s="4">
        <v>60</v>
      </c>
      <c r="O32" s="4">
        <v>3104</v>
      </c>
      <c r="P32" s="4">
        <f t="shared" si="1"/>
        <v>2.4637681159420291E-2</v>
      </c>
      <c r="Q32" s="4">
        <f>4156+621+22</f>
        <v>4799</v>
      </c>
      <c r="R32" s="4">
        <f>3810+598</f>
        <v>4408</v>
      </c>
      <c r="S32" s="4">
        <v>0</v>
      </c>
      <c r="T32" s="4">
        <f>3606+534</f>
        <v>4140</v>
      </c>
      <c r="U32" s="4">
        <v>398</v>
      </c>
      <c r="V32" s="4">
        <f>288000+840000</f>
        <v>1128000</v>
      </c>
      <c r="W32" s="4">
        <v>102</v>
      </c>
      <c r="X32" s="4">
        <v>779</v>
      </c>
      <c r="Y32" s="4">
        <v>878</v>
      </c>
      <c r="Z32" s="4">
        <v>272</v>
      </c>
      <c r="AA32" s="4">
        <v>284</v>
      </c>
      <c r="AB32" s="8">
        <v>11344698</v>
      </c>
      <c r="AC32" s="8">
        <v>195249856</v>
      </c>
      <c r="AD32" s="8">
        <v>28418467</v>
      </c>
      <c r="AE32" s="8">
        <v>1137834</v>
      </c>
      <c r="AF32" s="8">
        <v>58980051</v>
      </c>
      <c r="AG32" s="8">
        <v>2001292273</v>
      </c>
      <c r="AH32" s="8">
        <v>598024478</v>
      </c>
      <c r="AI32" s="8">
        <v>21394634</v>
      </c>
      <c r="AJ32" s="8">
        <v>104</v>
      </c>
      <c r="AK32" s="8">
        <v>37</v>
      </c>
      <c r="AL32" s="8">
        <v>275173773</v>
      </c>
      <c r="AM32" s="8">
        <v>10</v>
      </c>
      <c r="AN32" s="8">
        <v>40</v>
      </c>
      <c r="AO32" s="8">
        <v>8544239</v>
      </c>
      <c r="AP32" s="8">
        <v>6</v>
      </c>
      <c r="AQ32" s="8">
        <v>365</v>
      </c>
      <c r="AR32" s="8">
        <v>9502000</v>
      </c>
      <c r="AS32" s="4" t="s">
        <v>59</v>
      </c>
      <c r="AT32" s="4">
        <v>3.64</v>
      </c>
      <c r="AU32" s="4">
        <v>378</v>
      </c>
      <c r="AV32" s="4">
        <v>1985</v>
      </c>
      <c r="AW32" s="4">
        <f t="shared" si="2"/>
        <v>3651</v>
      </c>
    </row>
    <row r="33" spans="1:50" x14ac:dyDescent="0.35">
      <c r="A33" s="4">
        <f t="shared" si="0"/>
        <v>31</v>
      </c>
      <c r="B33" s="5" t="s">
        <v>92</v>
      </c>
      <c r="C33" s="4">
        <v>1447</v>
      </c>
      <c r="D33" s="4">
        <v>476</v>
      </c>
      <c r="E33" s="4">
        <v>831</v>
      </c>
      <c r="F33" s="4">
        <f t="shared" si="3"/>
        <v>1307</v>
      </c>
      <c r="G33" s="4">
        <v>1286</v>
      </c>
      <c r="H33" s="4">
        <v>13</v>
      </c>
      <c r="I33" s="4">
        <v>8</v>
      </c>
      <c r="J33" s="4">
        <v>81</v>
      </c>
      <c r="K33" s="4">
        <v>583</v>
      </c>
      <c r="L33" s="4">
        <v>431</v>
      </c>
      <c r="M33" s="4">
        <v>0</v>
      </c>
      <c r="N33" s="4">
        <v>0</v>
      </c>
      <c r="O33" s="4">
        <v>233</v>
      </c>
      <c r="P33" s="4">
        <f t="shared" si="1"/>
        <v>0.19344524380495604</v>
      </c>
      <c r="Q33" s="4">
        <f>26+1468</f>
        <v>1494</v>
      </c>
      <c r="R33" s="4">
        <f>1413+26</f>
        <v>1439</v>
      </c>
      <c r="S33" s="4">
        <v>0</v>
      </c>
      <c r="T33" s="4">
        <f>1225+26</f>
        <v>1251</v>
      </c>
      <c r="U33" s="4">
        <v>307</v>
      </c>
      <c r="V33" s="4">
        <v>1972000</v>
      </c>
      <c r="W33" s="4">
        <f>242</f>
        <v>242</v>
      </c>
      <c r="X33" s="4">
        <v>378</v>
      </c>
      <c r="Y33" s="4">
        <v>184</v>
      </c>
      <c r="Z33" s="4">
        <v>257</v>
      </c>
      <c r="AA33" s="4">
        <v>102</v>
      </c>
      <c r="AB33" s="8">
        <v>59624820</v>
      </c>
      <c r="AC33" s="8">
        <v>279390656</v>
      </c>
      <c r="AD33" s="8">
        <v>19023328</v>
      </c>
      <c r="AE33" s="8">
        <v>0</v>
      </c>
      <c r="AF33" s="8">
        <v>119560242</v>
      </c>
      <c r="AG33" s="8">
        <v>5535118781</v>
      </c>
      <c r="AH33" s="8">
        <v>118020919</v>
      </c>
      <c r="AI33" s="8">
        <v>7750579</v>
      </c>
      <c r="AJ33" s="8">
        <v>241</v>
      </c>
      <c r="AK33" s="8">
        <v>104</v>
      </c>
      <c r="AL33" s="8">
        <v>3686640115</v>
      </c>
      <c r="AM33" s="8">
        <v>1333</v>
      </c>
      <c r="AN33" s="8">
        <v>968</v>
      </c>
      <c r="AO33" s="8">
        <v>21576333</v>
      </c>
      <c r="AP33" s="8">
        <v>555</v>
      </c>
      <c r="AQ33" s="8">
        <v>27106</v>
      </c>
      <c r="AR33" s="8">
        <v>28619582</v>
      </c>
      <c r="AS33" s="4" t="s">
        <v>59</v>
      </c>
      <c r="AT33" s="4">
        <v>3.24</v>
      </c>
      <c r="AU33" s="4">
        <v>160</v>
      </c>
      <c r="AV33" s="4">
        <v>1983</v>
      </c>
      <c r="AW33" s="4">
        <f t="shared" si="2"/>
        <v>664</v>
      </c>
    </row>
    <row r="34" spans="1:50" x14ac:dyDescent="0.35">
      <c r="A34" s="4">
        <f t="shared" si="0"/>
        <v>32</v>
      </c>
      <c r="B34" s="5" t="s">
        <v>93</v>
      </c>
      <c r="C34" s="4">
        <v>18025</v>
      </c>
      <c r="D34" s="4">
        <v>8783</v>
      </c>
      <c r="E34" s="4">
        <v>7876</v>
      </c>
      <c r="F34" s="4">
        <f t="shared" si="3"/>
        <v>16659</v>
      </c>
      <c r="G34" s="4">
        <v>7267</v>
      </c>
      <c r="H34" s="4">
        <v>8598</v>
      </c>
      <c r="I34" s="4">
        <v>794</v>
      </c>
      <c r="J34" s="4">
        <v>10</v>
      </c>
      <c r="K34" s="4">
        <v>180</v>
      </c>
      <c r="L34" s="4">
        <v>111</v>
      </c>
      <c r="M34" s="4">
        <v>72</v>
      </c>
      <c r="N34" s="4">
        <v>7</v>
      </c>
      <c r="O34" s="4">
        <v>0</v>
      </c>
      <c r="P34" s="4">
        <f t="shared" si="1"/>
        <v>0.1634191952705556</v>
      </c>
      <c r="Q34" s="4">
        <f>14054+3522</f>
        <v>17576</v>
      </c>
      <c r="R34" s="4">
        <f>3883+14416</f>
        <v>18299</v>
      </c>
      <c r="S34" s="4">
        <v>182</v>
      </c>
      <c r="T34" s="4">
        <f>13322+3255</f>
        <v>16577</v>
      </c>
      <c r="U34" s="4">
        <f>1964+11895</f>
        <v>13859</v>
      </c>
      <c r="V34" s="4">
        <f>2274000+13618250</f>
        <v>15892250</v>
      </c>
      <c r="W34" s="4">
        <f>1291+1418</f>
        <v>2709</v>
      </c>
      <c r="X34" s="4">
        <v>591</v>
      </c>
      <c r="Y34" s="4">
        <v>173</v>
      </c>
      <c r="Z34" s="4">
        <v>395</v>
      </c>
      <c r="AA34" s="4">
        <v>238</v>
      </c>
      <c r="AB34" s="8">
        <v>1017935575</v>
      </c>
      <c r="AC34" s="8">
        <v>2161261106</v>
      </c>
      <c r="AD34" s="8">
        <v>899942705</v>
      </c>
      <c r="AE34" s="8">
        <v>0</v>
      </c>
      <c r="AF34" s="8">
        <v>461444172</v>
      </c>
      <c r="AG34" s="8">
        <v>9244529091</v>
      </c>
      <c r="AH34" s="8">
        <v>14055063942</v>
      </c>
      <c r="AI34" s="8">
        <v>401259042</v>
      </c>
      <c r="AJ34" s="8">
        <v>271</v>
      </c>
      <c r="AK34" s="8">
        <v>114</v>
      </c>
      <c r="AL34" s="8">
        <v>188183222</v>
      </c>
      <c r="AM34" s="8">
        <v>320</v>
      </c>
      <c r="AN34" s="8">
        <v>522</v>
      </c>
      <c r="AO34" s="8">
        <v>117700499</v>
      </c>
      <c r="AP34" s="8">
        <v>333</v>
      </c>
      <c r="AQ34" s="8">
        <v>22333</v>
      </c>
      <c r="AR34" s="8">
        <v>704804966</v>
      </c>
      <c r="AS34" s="4" t="s">
        <v>59</v>
      </c>
      <c r="AT34" s="4">
        <v>3.56</v>
      </c>
      <c r="AU34" s="4">
        <v>1177</v>
      </c>
      <c r="AV34" s="4">
        <v>1971</v>
      </c>
      <c r="AW34" s="4">
        <f t="shared" si="2"/>
        <v>190</v>
      </c>
    </row>
    <row r="35" spans="1:50" x14ac:dyDescent="0.35">
      <c r="A35" s="4">
        <f t="shared" si="0"/>
        <v>33</v>
      </c>
      <c r="B35" s="5" t="s">
        <v>94</v>
      </c>
      <c r="C35" s="4">
        <v>8516</v>
      </c>
      <c r="D35" s="4">
        <v>3831</v>
      </c>
      <c r="E35" s="4">
        <v>4458</v>
      </c>
      <c r="F35" s="4">
        <f t="shared" si="3"/>
        <v>8289</v>
      </c>
      <c r="G35" s="4">
        <v>8289</v>
      </c>
      <c r="H35" s="4">
        <v>0</v>
      </c>
      <c r="I35" s="4">
        <v>0</v>
      </c>
      <c r="J35" s="4">
        <v>5056</v>
      </c>
      <c r="K35" s="4">
        <v>3233</v>
      </c>
      <c r="L35" s="4">
        <v>2525</v>
      </c>
      <c r="M35" s="4">
        <v>672</v>
      </c>
      <c r="N35" s="4">
        <v>0</v>
      </c>
      <c r="O35" s="4">
        <v>5092</v>
      </c>
      <c r="P35" s="4">
        <f t="shared" si="1"/>
        <v>0.13667838500053264</v>
      </c>
      <c r="Q35" s="4">
        <f>195+10010</f>
        <v>10205</v>
      </c>
      <c r="R35" s="4">
        <f>193+9845</f>
        <v>10038</v>
      </c>
      <c r="S35" s="4">
        <v>0</v>
      </c>
      <c r="T35" s="4">
        <f>9212+175</f>
        <v>9387</v>
      </c>
      <c r="U35" s="4">
        <f>94+1369</f>
        <v>1463</v>
      </c>
      <c r="V35" s="4">
        <f>6725000+2400000</f>
        <v>9125000</v>
      </c>
      <c r="W35" s="4">
        <f>51+1232</f>
        <v>1283</v>
      </c>
      <c r="X35" s="4">
        <v>1091</v>
      </c>
      <c r="Y35" s="4">
        <v>54</v>
      </c>
      <c r="Z35" s="4">
        <v>464</v>
      </c>
      <c r="AA35" s="4">
        <v>22</v>
      </c>
      <c r="AB35" s="8">
        <v>88136908</v>
      </c>
      <c r="AC35" s="8">
        <v>514414338</v>
      </c>
      <c r="AD35" s="8">
        <v>52424868</v>
      </c>
      <c r="AE35" s="8">
        <v>9032674</v>
      </c>
      <c r="AF35" s="8">
        <v>279023912</v>
      </c>
      <c r="AG35" s="8">
        <v>7894780020</v>
      </c>
      <c r="AH35" s="8">
        <v>336226841</v>
      </c>
      <c r="AI35" s="8">
        <v>11299170</v>
      </c>
      <c r="AJ35" s="8">
        <v>274</v>
      </c>
      <c r="AK35" s="8">
        <v>72</v>
      </c>
      <c r="AL35" s="8">
        <v>1147798209</v>
      </c>
      <c r="AM35" s="8">
        <v>34</v>
      </c>
      <c r="AN35" s="8">
        <v>19</v>
      </c>
      <c r="AO35" s="8">
        <v>108389308</v>
      </c>
      <c r="AP35" s="8">
        <v>6</v>
      </c>
      <c r="AQ35" s="8">
        <v>162</v>
      </c>
      <c r="AR35" s="8">
        <v>26200000</v>
      </c>
      <c r="AS35" s="4" t="s">
        <v>59</v>
      </c>
      <c r="AT35" s="4">
        <v>3.31</v>
      </c>
      <c r="AU35" s="4">
        <v>593</v>
      </c>
      <c r="AV35" s="4">
        <v>1948</v>
      </c>
      <c r="AW35" s="4">
        <f t="shared" si="2"/>
        <v>8289</v>
      </c>
    </row>
    <row r="36" spans="1:50" x14ac:dyDescent="0.35">
      <c r="A36" s="4">
        <f t="shared" si="0"/>
        <v>34</v>
      </c>
      <c r="B36" s="5" t="s">
        <v>95</v>
      </c>
      <c r="C36" s="4">
        <v>7390</v>
      </c>
      <c r="D36" s="4">
        <v>3054</v>
      </c>
      <c r="E36" s="4">
        <v>4336</v>
      </c>
      <c r="F36" s="4">
        <f t="shared" si="3"/>
        <v>7390</v>
      </c>
      <c r="G36" s="4">
        <v>2058</v>
      </c>
      <c r="H36" s="4">
        <v>4909</v>
      </c>
      <c r="I36" s="4">
        <v>423</v>
      </c>
      <c r="J36" s="4">
        <v>1454</v>
      </c>
      <c r="K36" s="4">
        <v>3367</v>
      </c>
      <c r="L36" s="4">
        <v>1318</v>
      </c>
      <c r="M36" s="4">
        <v>723</v>
      </c>
      <c r="N36" s="4">
        <v>865</v>
      </c>
      <c r="O36" s="4">
        <v>1915</v>
      </c>
      <c r="P36" s="4">
        <f t="shared" si="1"/>
        <v>0.39630320501950145</v>
      </c>
      <c r="Q36" s="4">
        <f>3647+1409+820</f>
        <v>5876</v>
      </c>
      <c r="R36" s="4">
        <f>3642+820+1409</f>
        <v>5871</v>
      </c>
      <c r="S36" s="4">
        <v>57</v>
      </c>
      <c r="T36" s="4">
        <f>817+3670+1410</f>
        <v>5897</v>
      </c>
      <c r="U36" s="4">
        <f>1917+615+1028</f>
        <v>3560</v>
      </c>
      <c r="V36" s="4">
        <f>2530371+8218086+558763</f>
        <v>11307220</v>
      </c>
      <c r="W36" s="4">
        <f>1753+202+382</f>
        <v>2337</v>
      </c>
      <c r="X36" s="4">
        <v>353</v>
      </c>
      <c r="Y36" s="4">
        <v>201</v>
      </c>
      <c r="Z36" s="4">
        <v>156</v>
      </c>
      <c r="AA36" s="4">
        <v>58</v>
      </c>
      <c r="AB36" s="8">
        <v>211760195</v>
      </c>
      <c r="AC36" s="8">
        <v>519524286</v>
      </c>
      <c r="AD36" s="8">
        <v>75550050</v>
      </c>
      <c r="AE36" s="8">
        <v>240297187</v>
      </c>
      <c r="AF36" s="8">
        <v>578792808</v>
      </c>
      <c r="AG36" s="8">
        <v>5273677314</v>
      </c>
      <c r="AH36" s="8">
        <v>7345884535</v>
      </c>
      <c r="AI36" s="8">
        <v>134286699</v>
      </c>
      <c r="AJ36" s="8">
        <v>354</v>
      </c>
      <c r="AK36" s="8">
        <v>163</v>
      </c>
      <c r="AL36" s="8">
        <v>445971933</v>
      </c>
      <c r="AM36" s="8">
        <v>631</v>
      </c>
      <c r="AN36" s="8">
        <v>492</v>
      </c>
      <c r="AO36" s="8">
        <v>195424004</v>
      </c>
      <c r="AP36" s="8">
        <v>264</v>
      </c>
      <c r="AQ36" s="8">
        <v>10754</v>
      </c>
      <c r="AR36" s="4">
        <v>102307715</v>
      </c>
      <c r="AS36" s="4" t="s">
        <v>59</v>
      </c>
      <c r="AT36" s="4">
        <v>3.48</v>
      </c>
      <c r="AU36" s="4">
        <v>892</v>
      </c>
      <c r="AV36" s="4">
        <v>2008</v>
      </c>
      <c r="AW36" s="4">
        <f t="shared" si="2"/>
        <v>4821</v>
      </c>
    </row>
    <row r="37" spans="1:50" x14ac:dyDescent="0.35">
      <c r="A37" s="4">
        <f t="shared" si="0"/>
        <v>35</v>
      </c>
      <c r="B37" s="5" t="s">
        <v>96</v>
      </c>
      <c r="C37" s="4">
        <v>37395</v>
      </c>
      <c r="D37" s="4">
        <v>17490</v>
      </c>
      <c r="E37" s="4">
        <v>16952</v>
      </c>
      <c r="F37" s="4">
        <f t="shared" si="3"/>
        <v>34442</v>
      </c>
      <c r="G37" s="4">
        <v>12620</v>
      </c>
      <c r="H37" s="4">
        <v>21685</v>
      </c>
      <c r="I37" s="4">
        <v>137</v>
      </c>
      <c r="J37" s="4">
        <v>1868</v>
      </c>
      <c r="K37" s="4">
        <v>5755</v>
      </c>
      <c r="L37" s="4">
        <v>0</v>
      </c>
      <c r="M37" s="4">
        <v>277</v>
      </c>
      <c r="N37" s="4">
        <v>0</v>
      </c>
      <c r="O37" s="4">
        <v>7346</v>
      </c>
      <c r="P37" s="4">
        <f t="shared" si="1"/>
        <v>0.24600694444444443</v>
      </c>
      <c r="Q37" s="4">
        <f>23325+13800+730</f>
        <v>37855</v>
      </c>
      <c r="R37" s="4">
        <f>21469+706+13467</f>
        <v>35642</v>
      </c>
      <c r="S37" s="4">
        <v>0</v>
      </c>
      <c r="T37" s="4">
        <f>20848+13026+686</f>
        <v>34560</v>
      </c>
      <c r="U37" s="4">
        <f>8622+333+930</f>
        <v>9885</v>
      </c>
      <c r="V37" s="4">
        <f>4308000+1100000+2430000</f>
        <v>7838000</v>
      </c>
      <c r="W37" s="4">
        <f>1679+59+6764</f>
        <v>8502</v>
      </c>
      <c r="X37" s="4">
        <v>777</v>
      </c>
      <c r="Y37" s="4">
        <v>1852</v>
      </c>
      <c r="Z37" s="4">
        <v>200</v>
      </c>
      <c r="AA37" s="4">
        <v>528</v>
      </c>
      <c r="AB37" s="8">
        <v>127549119</v>
      </c>
      <c r="AC37" s="8">
        <v>39112729</v>
      </c>
      <c r="AD37" s="8">
        <v>0</v>
      </c>
      <c r="AE37" s="8">
        <v>0</v>
      </c>
      <c r="AF37" s="8">
        <v>249351967</v>
      </c>
      <c r="AG37" s="8">
        <v>7307663205</v>
      </c>
      <c r="AH37" s="8">
        <v>12716192660</v>
      </c>
      <c r="AI37" s="8">
        <v>58434283</v>
      </c>
      <c r="AJ37" s="8">
        <v>297</v>
      </c>
      <c r="AK37" s="8">
        <v>96</v>
      </c>
      <c r="AL37" s="8">
        <v>349119526</v>
      </c>
      <c r="AM37" s="8">
        <v>23</v>
      </c>
      <c r="AN37" s="8">
        <v>20</v>
      </c>
      <c r="AO37" s="8">
        <v>3257587</v>
      </c>
      <c r="AP37" s="8">
        <v>358</v>
      </c>
      <c r="AQ37" s="8">
        <v>5903</v>
      </c>
      <c r="AR37" s="8">
        <v>341621681</v>
      </c>
      <c r="AS37" s="4" t="s">
        <v>59</v>
      </c>
      <c r="AT37" s="4">
        <v>3.27</v>
      </c>
      <c r="AU37" s="4">
        <v>1907</v>
      </c>
      <c r="AV37" s="4">
        <v>2005</v>
      </c>
      <c r="AW37" s="4">
        <f t="shared" si="2"/>
        <v>7623</v>
      </c>
    </row>
    <row r="38" spans="1:50" x14ac:dyDescent="0.35">
      <c r="A38" s="4">
        <f t="shared" si="0"/>
        <v>36</v>
      </c>
      <c r="B38" s="5" t="s">
        <v>97</v>
      </c>
      <c r="C38" s="4">
        <v>7398</v>
      </c>
      <c r="D38" s="4">
        <v>3851</v>
      </c>
      <c r="E38" s="4">
        <v>3687</v>
      </c>
      <c r="F38" s="4">
        <f t="shared" si="3"/>
        <v>7538</v>
      </c>
      <c r="G38" s="4">
        <v>6966</v>
      </c>
      <c r="H38" s="4">
        <v>348</v>
      </c>
      <c r="I38" s="4">
        <v>224</v>
      </c>
      <c r="J38" s="4">
        <v>794</v>
      </c>
      <c r="K38" s="4">
        <v>6178</v>
      </c>
      <c r="L38" s="4">
        <v>5740</v>
      </c>
      <c r="M38" s="4">
        <v>0</v>
      </c>
      <c r="N38" s="4">
        <v>12</v>
      </c>
      <c r="O38" s="4">
        <v>1220</v>
      </c>
      <c r="P38" s="4">
        <f t="shared" si="1"/>
        <v>0.20950118764845604</v>
      </c>
      <c r="Q38" s="4">
        <f>9207+180</f>
        <v>9387</v>
      </c>
      <c r="R38" s="4">
        <f>8860+180</f>
        <v>9040</v>
      </c>
      <c r="S38" s="4">
        <v>142</v>
      </c>
      <c r="T38" s="4">
        <f>8255+165</f>
        <v>8420</v>
      </c>
      <c r="U38" s="4">
        <f>5770+75</f>
        <v>5845</v>
      </c>
      <c r="V38" s="4">
        <f>6485000+1125000</f>
        <v>7610000</v>
      </c>
      <c r="W38" s="4">
        <f>72+1692</f>
        <v>1764</v>
      </c>
      <c r="X38" s="4">
        <v>1800</v>
      </c>
      <c r="Y38" s="4">
        <v>1100</v>
      </c>
      <c r="Z38" s="4">
        <v>535</v>
      </c>
      <c r="AA38" s="4">
        <v>420</v>
      </c>
      <c r="AB38" s="8">
        <v>36024000</v>
      </c>
      <c r="AC38" s="8">
        <v>414838630</v>
      </c>
      <c r="AD38" s="8">
        <v>8900000</v>
      </c>
      <c r="AE38" s="8">
        <v>600000</v>
      </c>
      <c r="AF38" s="8">
        <v>180000000</v>
      </c>
      <c r="AG38" s="8">
        <v>14878527157</v>
      </c>
      <c r="AH38" s="8">
        <v>3165000000</v>
      </c>
      <c r="AI38" s="8">
        <v>482000000</v>
      </c>
      <c r="AJ38" s="8">
        <v>241</v>
      </c>
      <c r="AK38" s="8">
        <v>78</v>
      </c>
      <c r="AL38" s="8">
        <v>1545757133</v>
      </c>
      <c r="AM38" s="8">
        <v>477</v>
      </c>
      <c r="AN38" s="8">
        <v>192</v>
      </c>
      <c r="AO38" s="8">
        <v>1127355000</v>
      </c>
      <c r="AP38" s="8">
        <v>123</v>
      </c>
      <c r="AQ38" s="8">
        <v>12825</v>
      </c>
      <c r="AR38" s="8">
        <v>1898965000</v>
      </c>
      <c r="AS38" s="4" t="s">
        <v>59</v>
      </c>
      <c r="AT38" s="4">
        <v>3.52</v>
      </c>
      <c r="AU38" s="4">
        <v>429</v>
      </c>
      <c r="AV38" s="4">
        <v>1918</v>
      </c>
      <c r="AW38" s="4">
        <f t="shared" si="2"/>
        <v>6972</v>
      </c>
    </row>
    <row r="39" spans="1:50" x14ac:dyDescent="0.35">
      <c r="A39" s="4">
        <f t="shared" si="0"/>
        <v>37</v>
      </c>
      <c r="B39" s="5" t="s">
        <v>98</v>
      </c>
      <c r="C39" s="4">
        <v>3233</v>
      </c>
      <c r="D39" s="4">
        <v>1455</v>
      </c>
      <c r="E39" s="4">
        <v>1776</v>
      </c>
      <c r="F39" s="4">
        <f t="shared" si="3"/>
        <v>3231</v>
      </c>
      <c r="G39" s="4">
        <v>3116</v>
      </c>
      <c r="H39" s="4">
        <v>104</v>
      </c>
      <c r="I39" s="4">
        <v>11</v>
      </c>
      <c r="J39" s="4">
        <v>112</v>
      </c>
      <c r="K39" s="4">
        <v>1841</v>
      </c>
      <c r="L39" s="4">
        <v>384</v>
      </c>
      <c r="M39" s="4">
        <v>0</v>
      </c>
      <c r="N39" s="4">
        <v>0</v>
      </c>
      <c r="O39" s="4">
        <v>1569</v>
      </c>
      <c r="P39" s="4">
        <f t="shared" si="1"/>
        <v>0.11709159584513693</v>
      </c>
      <c r="Q39" s="4">
        <f>3163+60+240</f>
        <v>3463</v>
      </c>
      <c r="R39" s="4">
        <f>3152+239+59</f>
        <v>3450</v>
      </c>
      <c r="S39" s="4">
        <v>52</v>
      </c>
      <c r="T39" s="4">
        <f>2914+204+59</f>
        <v>3177</v>
      </c>
      <c r="U39" s="4">
        <v>6956</v>
      </c>
      <c r="V39" s="4">
        <f>331+12</f>
        <v>343</v>
      </c>
      <c r="W39" s="4">
        <f>331+12+29</f>
        <v>372</v>
      </c>
      <c r="X39" s="4">
        <v>730</v>
      </c>
      <c r="Y39" s="4">
        <v>304</v>
      </c>
      <c r="Z39" s="4">
        <v>267</v>
      </c>
      <c r="AA39" s="4">
        <v>268</v>
      </c>
      <c r="AB39" s="8">
        <v>96202783</v>
      </c>
      <c r="AC39" s="8">
        <v>115930381</v>
      </c>
      <c r="AD39" s="8">
        <v>34455108</v>
      </c>
      <c r="AE39" s="8">
        <v>2150758</v>
      </c>
      <c r="AF39" s="8">
        <v>64439808</v>
      </c>
      <c r="AG39" s="8">
        <v>4117203254</v>
      </c>
      <c r="AH39" s="8">
        <v>291370637</v>
      </c>
      <c r="AI39" s="8">
        <v>10746169</v>
      </c>
      <c r="AJ39" s="8">
        <v>308</v>
      </c>
      <c r="AK39" s="8">
        <v>69</v>
      </c>
      <c r="AL39" s="8">
        <v>451709406</v>
      </c>
      <c r="AM39" s="8">
        <v>377</v>
      </c>
      <c r="AN39" s="8">
        <v>148</v>
      </c>
      <c r="AO39" s="8">
        <v>65250217</v>
      </c>
      <c r="AP39" s="8">
        <v>12</v>
      </c>
      <c r="AQ39" s="8">
        <v>1335</v>
      </c>
      <c r="AR39" s="8">
        <v>52279465</v>
      </c>
      <c r="AS39" s="4" t="s">
        <v>59</v>
      </c>
      <c r="AT39" s="4">
        <v>3.39</v>
      </c>
      <c r="AU39" s="4">
        <v>268</v>
      </c>
      <c r="AV39" s="4">
        <v>1971</v>
      </c>
      <c r="AW39" s="4">
        <f t="shared" si="2"/>
        <v>1953</v>
      </c>
    </row>
    <row r="40" spans="1:50" x14ac:dyDescent="0.35">
      <c r="A40" s="4">
        <f t="shared" si="0"/>
        <v>38</v>
      </c>
      <c r="B40" s="5" t="s">
        <v>99</v>
      </c>
      <c r="C40" s="4">
        <v>30896</v>
      </c>
      <c r="D40" s="4">
        <v>23243</v>
      </c>
      <c r="E40" s="4">
        <v>7965</v>
      </c>
      <c r="F40" s="4">
        <f t="shared" si="3"/>
        <v>31208</v>
      </c>
      <c r="G40" s="4">
        <v>2948</v>
      </c>
      <c r="H40" s="4">
        <v>26533</v>
      </c>
      <c r="I40" s="4">
        <v>1727</v>
      </c>
      <c r="J40" s="4">
        <v>7555</v>
      </c>
      <c r="K40" s="4">
        <v>5036</v>
      </c>
      <c r="L40" s="4">
        <v>0</v>
      </c>
      <c r="M40" s="4">
        <v>0</v>
      </c>
      <c r="N40" s="4">
        <v>0</v>
      </c>
      <c r="O40" s="4">
        <v>12591</v>
      </c>
      <c r="P40" s="4">
        <f t="shared" si="1"/>
        <v>8.079768923356942E-2</v>
      </c>
      <c r="Q40" s="4">
        <f>5315+22771+410</f>
        <v>28496</v>
      </c>
      <c r="R40" s="4">
        <f>4782+21256+363</f>
        <v>26401</v>
      </c>
      <c r="S40" s="4">
        <f>91+870</f>
        <v>961</v>
      </c>
      <c r="T40" s="4">
        <f>264+20589+4420</f>
        <v>25273</v>
      </c>
      <c r="U40" s="4">
        <f>13317+257+1154</f>
        <v>14728</v>
      </c>
      <c r="V40" s="4">
        <f>1075000+7287256</f>
        <v>8362256</v>
      </c>
      <c r="W40" s="4">
        <f>5+1018+1019</f>
        <v>2042</v>
      </c>
      <c r="X40" s="4">
        <v>770</v>
      </c>
      <c r="Y40" s="4">
        <v>1353</v>
      </c>
      <c r="Z40" s="4">
        <f>36+25+30</f>
        <v>91</v>
      </c>
      <c r="AA40" s="4">
        <f>146+86+59</f>
        <v>291</v>
      </c>
      <c r="AB40" s="8">
        <v>183266412</v>
      </c>
      <c r="AC40" s="8">
        <v>183272762</v>
      </c>
      <c r="AD40" s="8">
        <v>1490920</v>
      </c>
      <c r="AE40" s="8">
        <v>363501</v>
      </c>
      <c r="AF40" s="8">
        <v>424188668</v>
      </c>
      <c r="AG40" s="8">
        <v>4904293067</v>
      </c>
      <c r="AH40" s="8">
        <v>5194230635</v>
      </c>
      <c r="AI40" s="8">
        <v>1490920</v>
      </c>
      <c r="AJ40" s="8">
        <v>320</v>
      </c>
      <c r="AK40" s="8">
        <v>104</v>
      </c>
      <c r="AL40" s="8">
        <v>155259465</v>
      </c>
      <c r="AM40" s="8">
        <v>756</v>
      </c>
      <c r="AN40" s="8">
        <v>320</v>
      </c>
      <c r="AO40" s="8">
        <v>94705945</v>
      </c>
      <c r="AP40" s="8">
        <v>11</v>
      </c>
      <c r="AQ40" s="8">
        <v>1323</v>
      </c>
      <c r="AR40" s="8">
        <v>229372500</v>
      </c>
      <c r="AS40" s="4" t="s">
        <v>74</v>
      </c>
      <c r="AT40" s="4" t="s">
        <v>75</v>
      </c>
      <c r="AU40" s="4">
        <v>2226</v>
      </c>
      <c r="AV40" s="4">
        <v>2005</v>
      </c>
      <c r="AW40" s="4">
        <f t="shared" si="2"/>
        <v>12591</v>
      </c>
    </row>
    <row r="41" spans="1:50" x14ac:dyDescent="0.35">
      <c r="A41" s="4">
        <f t="shared" si="0"/>
        <v>39</v>
      </c>
      <c r="B41" s="5" t="s">
        <v>100</v>
      </c>
      <c r="C41" s="4">
        <v>6281</v>
      </c>
      <c r="D41" s="4">
        <v>2134</v>
      </c>
      <c r="E41" s="4">
        <v>3524</v>
      </c>
      <c r="F41" s="4">
        <f t="shared" si="3"/>
        <v>5658</v>
      </c>
      <c r="G41" s="4">
        <v>2767</v>
      </c>
      <c r="H41" s="4">
        <v>2772</v>
      </c>
      <c r="I41" s="4">
        <v>119</v>
      </c>
      <c r="J41" s="4">
        <v>60</v>
      </c>
      <c r="K41" s="4">
        <v>2831</v>
      </c>
      <c r="L41" s="4">
        <v>0</v>
      </c>
      <c r="M41" s="4">
        <v>781</v>
      </c>
      <c r="N41" s="4">
        <v>29</v>
      </c>
      <c r="O41" s="4">
        <v>2081</v>
      </c>
      <c r="P41" s="4">
        <f t="shared" si="1"/>
        <v>0.17240015816528273</v>
      </c>
      <c r="Q41" s="4">
        <f>2632+540</f>
        <v>3172</v>
      </c>
      <c r="R41" s="4">
        <f>2353+338</f>
        <v>2691</v>
      </c>
      <c r="S41" s="4">
        <v>128</v>
      </c>
      <c r="T41" s="4">
        <f>366+2163</f>
        <v>2529</v>
      </c>
      <c r="U41" s="4">
        <f>1746+340</f>
        <v>2086</v>
      </c>
      <c r="V41" s="4">
        <f>13000000+1344000</f>
        <v>14344000</v>
      </c>
      <c r="W41" s="4">
        <f>26+410</f>
        <v>436</v>
      </c>
      <c r="X41" s="4">
        <v>670</v>
      </c>
      <c r="Y41" s="4">
        <v>214</v>
      </c>
      <c r="Z41" s="4">
        <v>67</v>
      </c>
      <c r="AA41" s="4">
        <v>44</v>
      </c>
      <c r="AB41" s="8">
        <v>202752700</v>
      </c>
      <c r="AC41" s="8">
        <v>617595127</v>
      </c>
      <c r="AD41" s="8">
        <v>8584764</v>
      </c>
      <c r="AE41" s="8">
        <v>0</v>
      </c>
      <c r="AF41" s="8">
        <v>125138576</v>
      </c>
      <c r="AG41" s="8">
        <v>4615570481</v>
      </c>
      <c r="AH41" s="8">
        <v>1217867988</v>
      </c>
      <c r="AI41" s="8">
        <v>42470351</v>
      </c>
      <c r="AJ41" s="8">
        <v>297</v>
      </c>
      <c r="AK41" s="8">
        <v>117</v>
      </c>
      <c r="AL41" s="8">
        <v>422167817</v>
      </c>
      <c r="AM41" s="8">
        <v>219</v>
      </c>
      <c r="AN41" s="8">
        <v>109</v>
      </c>
      <c r="AO41" s="8">
        <v>91811313</v>
      </c>
      <c r="AP41" s="8">
        <v>149</v>
      </c>
      <c r="AQ41" s="8">
        <v>310</v>
      </c>
      <c r="AR41" s="8">
        <v>58320000</v>
      </c>
      <c r="AS41" s="4" t="s">
        <v>59</v>
      </c>
      <c r="AT41" s="4">
        <v>3.53</v>
      </c>
      <c r="AU41" s="4">
        <v>644</v>
      </c>
      <c r="AV41" s="4">
        <v>1990</v>
      </c>
      <c r="AW41" s="4">
        <f t="shared" si="2"/>
        <v>2891</v>
      </c>
    </row>
    <row r="42" spans="1:50" x14ac:dyDescent="0.35">
      <c r="A42" s="4">
        <f t="shared" si="0"/>
        <v>40</v>
      </c>
      <c r="B42" s="5" t="s">
        <v>101</v>
      </c>
      <c r="C42" s="4">
        <v>11904</v>
      </c>
      <c r="D42" s="4">
        <v>9746</v>
      </c>
      <c r="E42" s="4">
        <v>2243</v>
      </c>
      <c r="F42" s="4">
        <f t="shared" si="3"/>
        <v>11989</v>
      </c>
      <c r="G42" s="4">
        <v>5582</v>
      </c>
      <c r="H42" s="4">
        <v>5785</v>
      </c>
      <c r="I42" s="4">
        <v>622</v>
      </c>
      <c r="J42" s="4">
        <v>143</v>
      </c>
      <c r="K42" s="4">
        <v>5047</v>
      </c>
      <c r="L42" s="4">
        <v>2689</v>
      </c>
      <c r="M42" s="4">
        <v>825</v>
      </c>
      <c r="N42" s="4">
        <v>59</v>
      </c>
      <c r="O42" s="4">
        <v>1617</v>
      </c>
      <c r="P42" s="4">
        <f t="shared" si="1"/>
        <v>0.17385834696188199</v>
      </c>
      <c r="Q42" s="4">
        <f>1974+7026</f>
        <v>9000</v>
      </c>
      <c r="R42" s="4">
        <f>1528+6673</f>
        <v>8201</v>
      </c>
      <c r="S42" s="4">
        <v>139</v>
      </c>
      <c r="T42" s="4">
        <f>1432+6517</f>
        <v>7949</v>
      </c>
      <c r="U42" s="4">
        <f>1213+5354</f>
        <v>6567</v>
      </c>
      <c r="V42" s="4">
        <v>8300000</v>
      </c>
      <c r="W42" s="4">
        <f>219+1163</f>
        <v>1382</v>
      </c>
      <c r="X42" s="4">
        <v>750</v>
      </c>
      <c r="Y42" s="4">
        <v>667</v>
      </c>
      <c r="Z42" s="4">
        <v>97</v>
      </c>
      <c r="AA42" s="4">
        <v>90</v>
      </c>
      <c r="AB42" s="8">
        <v>111354137</v>
      </c>
      <c r="AC42" s="8">
        <v>362427295</v>
      </c>
      <c r="AD42" s="8">
        <v>234300594</v>
      </c>
      <c r="AE42" s="8">
        <v>150904</v>
      </c>
      <c r="AF42" s="8">
        <v>74259480</v>
      </c>
      <c r="AG42" s="8">
        <v>3849635609</v>
      </c>
      <c r="AH42" s="8">
        <v>2026622798</v>
      </c>
      <c r="AI42" s="8">
        <v>760245995</v>
      </c>
      <c r="AJ42" s="8">
        <v>164</v>
      </c>
      <c r="AK42" s="8">
        <v>45</v>
      </c>
      <c r="AL42" s="8">
        <v>260404350</v>
      </c>
      <c r="AM42" s="8">
        <v>62</v>
      </c>
      <c r="AN42" s="8">
        <v>28</v>
      </c>
      <c r="AO42" s="8">
        <v>300079628</v>
      </c>
      <c r="AP42" s="8">
        <v>3</v>
      </c>
      <c r="AQ42" s="8">
        <v>170</v>
      </c>
      <c r="AR42" s="8">
        <v>41250000</v>
      </c>
      <c r="AS42" s="4" t="s">
        <v>59</v>
      </c>
      <c r="AT42" s="4">
        <v>3.22</v>
      </c>
      <c r="AU42" s="4">
        <v>901</v>
      </c>
      <c r="AV42" s="4">
        <v>1941</v>
      </c>
      <c r="AW42" s="4">
        <f t="shared" si="2"/>
        <v>5190</v>
      </c>
    </row>
    <row r="43" spans="1:50" x14ac:dyDescent="0.35">
      <c r="A43" s="4">
        <f t="shared" si="0"/>
        <v>41</v>
      </c>
      <c r="B43" s="5" t="s">
        <v>102</v>
      </c>
      <c r="C43" s="4">
        <v>3510</v>
      </c>
      <c r="D43" s="4">
        <v>1202</v>
      </c>
      <c r="E43" s="4">
        <v>1575</v>
      </c>
      <c r="F43" s="4">
        <f>D43+E43</f>
        <v>2777</v>
      </c>
      <c r="G43" s="4">
        <v>2620</v>
      </c>
      <c r="H43" s="4">
        <v>155</v>
      </c>
      <c r="I43" s="4">
        <v>2</v>
      </c>
      <c r="J43" s="4">
        <v>60</v>
      </c>
      <c r="K43" s="4">
        <v>2123</v>
      </c>
      <c r="L43" s="4">
        <v>549</v>
      </c>
      <c r="M43" s="4">
        <v>0</v>
      </c>
      <c r="N43" s="4">
        <v>7</v>
      </c>
      <c r="O43" s="4">
        <v>1627</v>
      </c>
      <c r="P43" s="4">
        <f t="shared" si="1"/>
        <v>0.21358024691358024</v>
      </c>
      <c r="Q43" s="4">
        <f>3155+360</f>
        <v>3515</v>
      </c>
      <c r="R43" s="4">
        <f>288+2282</f>
        <v>2570</v>
      </c>
      <c r="S43" s="4">
        <v>0</v>
      </c>
      <c r="T43" s="4">
        <f>276+2154</f>
        <v>2430</v>
      </c>
      <c r="U43" s="4">
        <f>805+120</f>
        <v>925</v>
      </c>
      <c r="V43" s="4">
        <f>463200+1900000</f>
        <v>2363200</v>
      </c>
      <c r="W43" s="4">
        <f>471+48</f>
        <v>519</v>
      </c>
      <c r="X43" s="4">
        <v>454</v>
      </c>
      <c r="Y43" s="4">
        <v>265</v>
      </c>
      <c r="Z43" s="4">
        <v>584</v>
      </c>
      <c r="AA43" s="4">
        <v>590</v>
      </c>
      <c r="AB43" s="8">
        <v>7634111</v>
      </c>
      <c r="AC43" s="8">
        <v>60164081</v>
      </c>
      <c r="AD43" s="8">
        <v>272181</v>
      </c>
      <c r="AE43" s="8">
        <v>218850</v>
      </c>
      <c r="AF43" s="8">
        <v>65225371</v>
      </c>
      <c r="AG43" s="8">
        <v>3024109134</v>
      </c>
      <c r="AH43" s="8">
        <v>720838292</v>
      </c>
      <c r="AI43" s="8">
        <v>5322738</v>
      </c>
      <c r="AJ43" s="8">
        <v>155</v>
      </c>
      <c r="AK43" s="8">
        <v>73</v>
      </c>
      <c r="AL43" s="8">
        <v>739086487</v>
      </c>
      <c r="AM43" s="8">
        <v>50</v>
      </c>
      <c r="AN43" s="8">
        <v>33</v>
      </c>
      <c r="AO43" s="8">
        <v>3516762</v>
      </c>
      <c r="AP43" s="8">
        <v>15</v>
      </c>
      <c r="AQ43" s="8">
        <v>575</v>
      </c>
      <c r="AR43" s="8">
        <v>530400</v>
      </c>
      <c r="AS43" s="4" t="s">
        <v>59</v>
      </c>
      <c r="AT43" s="4">
        <v>3.32</v>
      </c>
      <c r="AU43" s="4">
        <v>285</v>
      </c>
      <c r="AV43" s="4">
        <v>1982</v>
      </c>
      <c r="AW43" s="4">
        <f t="shared" si="2"/>
        <v>2183</v>
      </c>
    </row>
    <row r="44" spans="1:50" x14ac:dyDescent="0.35">
      <c r="A44" s="4">
        <f t="shared" si="0"/>
        <v>42</v>
      </c>
      <c r="B44" s="5" t="s">
        <v>103</v>
      </c>
      <c r="C44" s="4">
        <v>3604</v>
      </c>
      <c r="D44" s="4">
        <v>1704</v>
      </c>
      <c r="E44" s="4">
        <v>1900</v>
      </c>
      <c r="F44" s="4">
        <f t="shared" ref="F44:F52" si="4">D44+E44</f>
        <v>3604</v>
      </c>
      <c r="G44" s="4">
        <v>1231</v>
      </c>
      <c r="H44" s="4">
        <v>2367</v>
      </c>
      <c r="I44" s="4">
        <v>6</v>
      </c>
      <c r="J44" s="4">
        <v>388</v>
      </c>
      <c r="K44" s="4">
        <v>2515</v>
      </c>
      <c r="L44" s="4">
        <v>1113</v>
      </c>
      <c r="M44" s="4">
        <v>1714</v>
      </c>
      <c r="N44" s="4">
        <v>0</v>
      </c>
      <c r="O44" s="4">
        <v>76</v>
      </c>
      <c r="P44" s="4">
        <f t="shared" si="1"/>
        <v>0.20362229646562335</v>
      </c>
      <c r="Q44" s="4">
        <f>4998+760</f>
        <v>5758</v>
      </c>
      <c r="R44" s="4">
        <f>760+4946</f>
        <v>5706</v>
      </c>
      <c r="S44" s="4">
        <v>9</v>
      </c>
      <c r="T44" s="4">
        <f>756+4931</f>
        <v>5687</v>
      </c>
      <c r="U44" s="4">
        <f>4066+327</f>
        <v>4393</v>
      </c>
      <c r="V44" s="4">
        <f>1724000+5680000</f>
        <v>7404000</v>
      </c>
      <c r="W44" s="4">
        <f>736+422</f>
        <v>1158</v>
      </c>
      <c r="X44" s="4">
        <v>665</v>
      </c>
      <c r="Y44" s="4">
        <v>0</v>
      </c>
      <c r="Z44" s="4">
        <v>572</v>
      </c>
      <c r="AA44" s="4">
        <v>0</v>
      </c>
      <c r="AB44" s="8">
        <v>83577141</v>
      </c>
      <c r="AC44" s="8">
        <v>92470311</v>
      </c>
      <c r="AD44" s="8">
        <v>25126974</v>
      </c>
      <c r="AE44" s="8">
        <v>40220993</v>
      </c>
      <c r="AF44" s="8">
        <v>105400000</v>
      </c>
      <c r="AG44" s="8">
        <v>1935153259</v>
      </c>
      <c r="AH44" s="8">
        <v>646888130</v>
      </c>
      <c r="AI44" s="8">
        <v>2739575</v>
      </c>
      <c r="AJ44" s="8">
        <v>135</v>
      </c>
      <c r="AK44" s="8">
        <v>37</v>
      </c>
      <c r="AL44" s="8">
        <v>323875000</v>
      </c>
      <c r="AM44" s="8">
        <v>77</v>
      </c>
      <c r="AN44" s="8">
        <v>67</v>
      </c>
      <c r="AO44" s="8">
        <v>4520700</v>
      </c>
      <c r="AP44" s="8">
        <v>26</v>
      </c>
      <c r="AQ44" s="8">
        <v>1100</v>
      </c>
      <c r="AR44" s="8">
        <v>5200500</v>
      </c>
      <c r="AS44" s="4" t="s">
        <v>59</v>
      </c>
      <c r="AT44" s="4">
        <v>3.01</v>
      </c>
      <c r="AU44" s="4">
        <v>329</v>
      </c>
      <c r="AV44" s="4">
        <v>1996</v>
      </c>
      <c r="AW44" s="4">
        <f t="shared" si="2"/>
        <v>2903</v>
      </c>
    </row>
    <row r="45" spans="1:50" x14ac:dyDescent="0.35">
      <c r="A45" s="4">
        <f t="shared" si="0"/>
        <v>43</v>
      </c>
      <c r="B45" s="5" t="s">
        <v>104</v>
      </c>
      <c r="C45" s="4">
        <v>9808</v>
      </c>
      <c r="D45" s="4">
        <v>5116</v>
      </c>
      <c r="E45" s="4">
        <v>4692</v>
      </c>
      <c r="F45" s="4">
        <f t="shared" si="4"/>
        <v>9808</v>
      </c>
      <c r="G45" s="4">
        <v>8840</v>
      </c>
      <c r="H45" s="4">
        <v>446</v>
      </c>
      <c r="I45" s="4">
        <v>522</v>
      </c>
      <c r="J45" s="4">
        <v>1956</v>
      </c>
      <c r="K45" s="4">
        <v>5173</v>
      </c>
      <c r="L45" s="4">
        <v>5242</v>
      </c>
      <c r="M45" s="4">
        <v>152</v>
      </c>
      <c r="N45" s="4">
        <v>345</v>
      </c>
      <c r="O45" s="4">
        <v>1390</v>
      </c>
      <c r="P45" s="4">
        <f t="shared" si="1"/>
        <v>0.19133777069466579</v>
      </c>
      <c r="Q45" s="4">
        <f>10644+280+90</f>
        <v>11014</v>
      </c>
      <c r="R45" s="4">
        <f>10643+90+280</f>
        <v>11013</v>
      </c>
      <c r="S45" s="4">
        <v>24</v>
      </c>
      <c r="T45" s="4">
        <f>10382+88+197</f>
        <v>10667</v>
      </c>
      <c r="U45" s="4">
        <f>6946+87+38</f>
        <v>7071</v>
      </c>
      <c r="V45" s="4">
        <f>4793000+800000+700000</f>
        <v>6293000</v>
      </c>
      <c r="W45" s="4">
        <f>1965+76</f>
        <v>2041</v>
      </c>
      <c r="X45" s="4">
        <v>549</v>
      </c>
      <c r="Y45" s="4">
        <v>225</v>
      </c>
      <c r="Z45" s="4">
        <v>709</v>
      </c>
      <c r="AA45" s="4">
        <v>724</v>
      </c>
      <c r="AB45" s="8">
        <v>108388262</v>
      </c>
      <c r="AC45" s="8">
        <v>2290310337</v>
      </c>
      <c r="AD45" s="8">
        <v>573915918</v>
      </c>
      <c r="AE45" s="8">
        <v>20645237</v>
      </c>
      <c r="AF45" s="8">
        <v>933861995</v>
      </c>
      <c r="AG45" s="8">
        <v>12912682154</v>
      </c>
      <c r="AH45" s="8">
        <v>1832433824</v>
      </c>
      <c r="AI45" s="8">
        <v>178811525</v>
      </c>
      <c r="AJ45" s="8">
        <v>166</v>
      </c>
      <c r="AK45" s="8">
        <v>129</v>
      </c>
      <c r="AL45" s="8">
        <v>939157844</v>
      </c>
      <c r="AM45" s="8">
        <v>537</v>
      </c>
      <c r="AN45" s="8">
        <v>407</v>
      </c>
      <c r="AO45" s="8">
        <v>345691599</v>
      </c>
      <c r="AP45" s="8">
        <v>146</v>
      </c>
      <c r="AQ45" s="8">
        <v>3305</v>
      </c>
      <c r="AR45" s="8">
        <v>246014060</v>
      </c>
      <c r="AS45" s="4" t="s">
        <v>59</v>
      </c>
      <c r="AT45" s="4">
        <v>3.6</v>
      </c>
      <c r="AU45" s="4">
        <v>702</v>
      </c>
      <c r="AV45" s="4">
        <v>1926</v>
      </c>
      <c r="AW45" s="4">
        <f t="shared" si="2"/>
        <v>7129</v>
      </c>
    </row>
    <row r="46" spans="1:50" x14ac:dyDescent="0.35">
      <c r="A46" s="4">
        <f t="shared" si="0"/>
        <v>44</v>
      </c>
      <c r="B46" s="5" t="s">
        <v>105</v>
      </c>
      <c r="C46" s="4">
        <v>6478</v>
      </c>
      <c r="D46" s="4">
        <v>3786</v>
      </c>
      <c r="E46" s="4">
        <v>2692</v>
      </c>
      <c r="F46" s="4">
        <f t="shared" si="4"/>
        <v>6478</v>
      </c>
      <c r="G46" s="4">
        <v>5002</v>
      </c>
      <c r="H46" s="4">
        <v>1366</v>
      </c>
      <c r="I46" s="4">
        <v>110</v>
      </c>
      <c r="J46" s="4">
        <v>0</v>
      </c>
      <c r="K46" s="4">
        <v>2565</v>
      </c>
      <c r="L46" s="4">
        <v>2565</v>
      </c>
      <c r="M46" s="4">
        <v>0</v>
      </c>
      <c r="N46" s="4">
        <v>0</v>
      </c>
      <c r="O46" s="4">
        <v>0</v>
      </c>
      <c r="P46" s="4">
        <f t="shared" si="1"/>
        <v>0.12369732668781151</v>
      </c>
      <c r="Q46" s="4">
        <f>194+360+8250</f>
        <v>8804</v>
      </c>
      <c r="R46" s="4">
        <v>8982</v>
      </c>
      <c r="S46" s="4">
        <v>0</v>
      </c>
      <c r="T46" s="4">
        <v>8828</v>
      </c>
      <c r="U46" s="4">
        <v>4527</v>
      </c>
      <c r="V46" s="4">
        <v>3293000</v>
      </c>
      <c r="W46" s="4">
        <v>1092</v>
      </c>
      <c r="X46" s="4">
        <v>350</v>
      </c>
      <c r="Y46" s="4">
        <v>565</v>
      </c>
      <c r="Z46" s="4">
        <v>841</v>
      </c>
      <c r="AA46" s="4">
        <v>112</v>
      </c>
      <c r="AB46" s="8">
        <v>15994714</v>
      </c>
      <c r="AC46" s="8">
        <v>242054016</v>
      </c>
      <c r="AD46" s="8">
        <v>2404666</v>
      </c>
      <c r="AE46" s="8">
        <v>4383053</v>
      </c>
      <c r="AF46" s="8">
        <v>730712638</v>
      </c>
      <c r="AG46" s="8">
        <v>5280553087</v>
      </c>
      <c r="AH46" s="8">
        <v>863863075</v>
      </c>
      <c r="AI46" s="8">
        <v>12474650</v>
      </c>
      <c r="AJ46" s="8">
        <v>235</v>
      </c>
      <c r="AK46" s="8">
        <v>64</v>
      </c>
      <c r="AL46" s="8">
        <v>284567790</v>
      </c>
      <c r="AM46" s="8">
        <v>9</v>
      </c>
      <c r="AN46" s="8">
        <v>9</v>
      </c>
      <c r="AO46" s="8">
        <v>2814720</v>
      </c>
      <c r="AP46" s="8">
        <v>70</v>
      </c>
      <c r="AQ46" s="8">
        <v>2684</v>
      </c>
      <c r="AR46" s="8">
        <v>3833901</v>
      </c>
      <c r="AS46" s="4" t="s">
        <v>59</v>
      </c>
      <c r="AT46" s="4">
        <v>3.01</v>
      </c>
      <c r="AU46" s="4">
        <v>427</v>
      </c>
      <c r="AV46" s="4">
        <v>1916</v>
      </c>
      <c r="AW46" s="4">
        <f t="shared" si="2"/>
        <v>2565</v>
      </c>
    </row>
    <row r="47" spans="1:50" x14ac:dyDescent="0.35">
      <c r="A47" s="4">
        <f t="shared" si="0"/>
        <v>45</v>
      </c>
      <c r="B47" s="5" t="s">
        <v>106</v>
      </c>
      <c r="C47" s="4">
        <v>3447</v>
      </c>
      <c r="D47" s="4">
        <v>1646</v>
      </c>
      <c r="E47" s="4">
        <v>1438</v>
      </c>
      <c r="F47" s="4">
        <f t="shared" si="4"/>
        <v>3084</v>
      </c>
      <c r="G47" s="4">
        <v>2469</v>
      </c>
      <c r="H47" s="4">
        <v>615</v>
      </c>
      <c r="I47" s="4">
        <v>0</v>
      </c>
      <c r="J47" s="4">
        <v>36</v>
      </c>
      <c r="K47" s="4">
        <v>1583</v>
      </c>
      <c r="L47" s="4">
        <v>1198</v>
      </c>
      <c r="M47" s="4">
        <v>0</v>
      </c>
      <c r="N47" s="4">
        <v>0</v>
      </c>
      <c r="O47" s="4">
        <v>421</v>
      </c>
      <c r="P47" s="4">
        <f t="shared" si="1"/>
        <v>0.10634239389604197</v>
      </c>
      <c r="Q47" s="4">
        <v>2500</v>
      </c>
      <c r="R47" s="4">
        <v>2271</v>
      </c>
      <c r="S47" s="4">
        <v>0</v>
      </c>
      <c r="T47" s="4">
        <v>2097</v>
      </c>
      <c r="U47" s="4">
        <v>1874</v>
      </c>
      <c r="V47" s="4">
        <v>14970000</v>
      </c>
      <c r="W47" s="4">
        <v>223</v>
      </c>
      <c r="X47" s="4">
        <v>114</v>
      </c>
      <c r="Y47" s="4">
        <v>0</v>
      </c>
      <c r="Z47" s="4">
        <v>46</v>
      </c>
      <c r="AA47" s="4">
        <v>0</v>
      </c>
      <c r="AB47" s="8">
        <v>107015541</v>
      </c>
      <c r="AC47" s="8">
        <v>1361861553</v>
      </c>
      <c r="AD47" s="8">
        <v>0</v>
      </c>
      <c r="AE47" s="8">
        <v>0</v>
      </c>
      <c r="AF47" s="8">
        <v>210347770</v>
      </c>
      <c r="AG47" s="8">
        <v>13066286438</v>
      </c>
      <c r="AH47" s="8">
        <v>1168922355</v>
      </c>
      <c r="AI47" s="8">
        <v>51208889</v>
      </c>
      <c r="AJ47" s="8">
        <v>723</v>
      </c>
      <c r="AK47" s="8">
        <v>182</v>
      </c>
      <c r="AL47" s="8">
        <v>749526181</v>
      </c>
      <c r="AM47" s="8">
        <v>171</v>
      </c>
      <c r="AN47" s="8">
        <v>106</v>
      </c>
      <c r="AO47" s="8">
        <v>88695902</v>
      </c>
      <c r="AP47" s="8">
        <v>42</v>
      </c>
      <c r="AQ47" s="8">
        <v>1482</v>
      </c>
      <c r="AR47" s="8">
        <v>2657418</v>
      </c>
      <c r="AS47" s="4" t="s">
        <v>59</v>
      </c>
      <c r="AT47" s="4">
        <v>3.36</v>
      </c>
      <c r="AU47" s="4">
        <v>518</v>
      </c>
      <c r="AV47" s="8">
        <v>1911</v>
      </c>
      <c r="AW47" s="4">
        <f t="shared" si="2"/>
        <v>1619</v>
      </c>
      <c r="AX47" s="8"/>
    </row>
    <row r="48" spans="1:50" x14ac:dyDescent="0.35">
      <c r="A48" s="4">
        <f t="shared" si="0"/>
        <v>46</v>
      </c>
      <c r="B48" s="5" t="s">
        <v>107</v>
      </c>
      <c r="C48" s="4">
        <v>5275</v>
      </c>
      <c r="D48" s="4">
        <v>1840</v>
      </c>
      <c r="E48" s="4">
        <v>3107</v>
      </c>
      <c r="F48" s="4">
        <f t="shared" si="4"/>
        <v>4947</v>
      </c>
      <c r="G48" s="4">
        <v>2614</v>
      </c>
      <c r="H48" s="4">
        <v>2305</v>
      </c>
      <c r="I48" s="4">
        <v>28</v>
      </c>
      <c r="J48" s="4">
        <v>20</v>
      </c>
      <c r="K48" s="4">
        <v>1263</v>
      </c>
      <c r="L48" s="4">
        <v>7</v>
      </c>
      <c r="M48" s="4">
        <v>30</v>
      </c>
      <c r="N48" s="4">
        <v>41</v>
      </c>
      <c r="O48" s="4">
        <v>1205</v>
      </c>
      <c r="P48" s="4">
        <f t="shared" si="1"/>
        <v>0.15445184736523318</v>
      </c>
      <c r="Q48" s="4">
        <f>120+3846+90</f>
        <v>4056</v>
      </c>
      <c r="R48" s="4">
        <f>82+3484+104</f>
        <v>3670</v>
      </c>
      <c r="S48" s="4">
        <v>22</v>
      </c>
      <c r="T48" s="4">
        <f>73+3140+89</f>
        <v>3302</v>
      </c>
      <c r="U48" s="4">
        <f>2635+37+57</f>
        <v>2729</v>
      </c>
      <c r="V48" s="4">
        <f>6768000+1025000+602000</f>
        <v>8395000</v>
      </c>
      <c r="W48" s="4">
        <f>49+453+8</f>
        <v>510</v>
      </c>
      <c r="X48" s="4">
        <v>208</v>
      </c>
      <c r="Y48" s="4">
        <v>0</v>
      </c>
      <c r="Z48" s="4">
        <v>50</v>
      </c>
      <c r="AA48" s="4">
        <v>0</v>
      </c>
      <c r="AB48" s="8">
        <v>137844391</v>
      </c>
      <c r="AC48" s="8">
        <v>747298984</v>
      </c>
      <c r="AD48" s="8">
        <v>0</v>
      </c>
      <c r="AE48" s="8">
        <v>0</v>
      </c>
      <c r="AF48" s="8">
        <v>525163115</v>
      </c>
      <c r="AG48" s="8">
        <v>7495424945</v>
      </c>
      <c r="AH48" s="8">
        <v>4857198704</v>
      </c>
      <c r="AI48" s="8">
        <v>26124389</v>
      </c>
      <c r="AJ48" s="8">
        <v>205</v>
      </c>
      <c r="AK48" s="8">
        <v>59</v>
      </c>
      <c r="AL48" s="8">
        <v>109801905</v>
      </c>
      <c r="AM48" s="8">
        <v>67</v>
      </c>
      <c r="AN48" s="8">
        <v>49</v>
      </c>
      <c r="AO48" s="8">
        <v>579432782</v>
      </c>
      <c r="AP48" s="8">
        <v>61</v>
      </c>
      <c r="AQ48" s="8">
        <v>300</v>
      </c>
      <c r="AR48" s="8">
        <v>25290000</v>
      </c>
      <c r="AS48" s="4" t="s">
        <v>59</v>
      </c>
      <c r="AT48" s="4">
        <v>3.64</v>
      </c>
      <c r="AU48" s="4">
        <v>523</v>
      </c>
      <c r="AV48" s="4">
        <v>2003</v>
      </c>
      <c r="AW48" s="4">
        <f t="shared" si="2"/>
        <v>1283</v>
      </c>
    </row>
    <row r="49" spans="1:49" x14ac:dyDescent="0.35">
      <c r="A49" s="4">
        <f t="shared" si="0"/>
        <v>47</v>
      </c>
      <c r="B49" s="5" t="s">
        <v>108</v>
      </c>
      <c r="C49" s="4">
        <v>6899</v>
      </c>
      <c r="D49" s="4">
        <v>3428</v>
      </c>
      <c r="E49" s="4">
        <v>3361</v>
      </c>
      <c r="F49" s="4">
        <f t="shared" si="4"/>
        <v>6789</v>
      </c>
      <c r="G49" s="4">
        <v>2990</v>
      </c>
      <c r="H49" s="4">
        <v>3791</v>
      </c>
      <c r="I49" s="4">
        <v>8</v>
      </c>
      <c r="J49" s="4">
        <v>348</v>
      </c>
      <c r="K49" s="4">
        <v>453</v>
      </c>
      <c r="L49" s="4">
        <v>8</v>
      </c>
      <c r="M49" s="4">
        <v>12</v>
      </c>
      <c r="N49" s="4">
        <v>53</v>
      </c>
      <c r="O49" s="4">
        <v>728</v>
      </c>
      <c r="P49" s="4">
        <f t="shared" si="1"/>
        <v>0.14471989697359949</v>
      </c>
      <c r="Q49" s="4">
        <f>4766+1800</f>
        <v>6566</v>
      </c>
      <c r="R49" s="4">
        <f>1800+4560</f>
        <v>6360</v>
      </c>
      <c r="S49" s="4">
        <v>183</v>
      </c>
      <c r="T49" s="4">
        <f>1759+4453</f>
        <v>6212</v>
      </c>
      <c r="U49" s="4">
        <f>3826+557</f>
        <v>4383</v>
      </c>
      <c r="V49" s="4">
        <f>10914508+1440000</f>
        <v>12354508</v>
      </c>
      <c r="W49" s="4">
        <f>416+483</f>
        <v>899</v>
      </c>
      <c r="X49" s="4">
        <v>267</v>
      </c>
      <c r="Y49" s="4">
        <v>0</v>
      </c>
      <c r="Z49" s="4">
        <v>72</v>
      </c>
      <c r="AA49" s="8">
        <v>0</v>
      </c>
      <c r="AB49" s="8">
        <v>77510812</v>
      </c>
      <c r="AC49" s="8">
        <v>19024496</v>
      </c>
      <c r="AD49" s="8">
        <v>21170258</v>
      </c>
      <c r="AE49" s="8">
        <v>3206951</v>
      </c>
      <c r="AF49" s="8">
        <v>1300334779</v>
      </c>
      <c r="AG49" s="8">
        <v>6234766712</v>
      </c>
      <c r="AH49" s="8">
        <v>8594428518</v>
      </c>
      <c r="AI49" s="8">
        <v>54290847</v>
      </c>
      <c r="AJ49" s="8">
        <v>102</v>
      </c>
      <c r="AK49" s="8">
        <v>74</v>
      </c>
      <c r="AL49" s="8">
        <v>65207111</v>
      </c>
      <c r="AM49" s="8">
        <v>116</v>
      </c>
      <c r="AN49" s="8">
        <v>53</v>
      </c>
      <c r="AO49" s="8">
        <v>203659717</v>
      </c>
      <c r="AP49" s="8">
        <v>36</v>
      </c>
      <c r="AQ49" s="8">
        <v>5113</v>
      </c>
      <c r="AR49" s="8">
        <v>210536158</v>
      </c>
      <c r="AS49" s="4" t="s">
        <v>59</v>
      </c>
      <c r="AT49" s="4">
        <v>3.59</v>
      </c>
      <c r="AU49" s="4">
        <v>554</v>
      </c>
      <c r="AV49" s="4">
        <v>1981</v>
      </c>
      <c r="AW49" s="4">
        <f t="shared" si="2"/>
        <v>801</v>
      </c>
    </row>
    <row r="50" spans="1:49" x14ac:dyDescent="0.35">
      <c r="A50" s="4">
        <f t="shared" si="0"/>
        <v>48</v>
      </c>
      <c r="B50" s="5" t="s">
        <v>109</v>
      </c>
      <c r="C50" s="4">
        <v>11892</v>
      </c>
      <c r="D50" s="4">
        <v>4814</v>
      </c>
      <c r="E50" s="4">
        <v>6506</v>
      </c>
      <c r="F50" s="4">
        <f t="shared" si="4"/>
        <v>11320</v>
      </c>
      <c r="G50" s="4">
        <v>8131</v>
      </c>
      <c r="H50" s="4">
        <v>3141</v>
      </c>
      <c r="I50" s="4">
        <v>48</v>
      </c>
      <c r="J50" s="4">
        <v>2051</v>
      </c>
      <c r="K50" s="4">
        <v>3234</v>
      </c>
      <c r="L50" s="4">
        <v>2498</v>
      </c>
      <c r="M50" s="4">
        <v>2317</v>
      </c>
      <c r="N50" s="4">
        <v>32</v>
      </c>
      <c r="O50" s="4">
        <v>438</v>
      </c>
      <c r="P50" s="4">
        <f t="shared" si="1"/>
        <v>0.23337049424005946</v>
      </c>
      <c r="Q50" s="4">
        <f>9261+1990+660</f>
        <v>11911</v>
      </c>
      <c r="R50" s="4">
        <f>8534+639+1922</f>
        <v>11095</v>
      </c>
      <c r="S50" s="4">
        <v>4</v>
      </c>
      <c r="T50" s="4">
        <f>8301+635+1828</f>
        <v>10764</v>
      </c>
      <c r="U50" s="4">
        <f>6214+1423+614</f>
        <v>8251</v>
      </c>
      <c r="V50" s="4">
        <f>6648000+2120000+1165000</f>
        <v>9933000</v>
      </c>
      <c r="W50" s="4">
        <f>2086+405+21</f>
        <v>2512</v>
      </c>
      <c r="X50" s="4">
        <v>724</v>
      </c>
      <c r="Y50" s="4">
        <v>306</v>
      </c>
      <c r="Z50" s="4">
        <v>386</v>
      </c>
      <c r="AA50" s="4">
        <v>127</v>
      </c>
      <c r="AB50" s="8">
        <v>191546462</v>
      </c>
      <c r="AC50" s="8">
        <v>402064354</v>
      </c>
      <c r="AD50" s="8">
        <v>38194983</v>
      </c>
      <c r="AE50" s="8">
        <v>2537226</v>
      </c>
      <c r="AF50" s="8">
        <v>533110187</v>
      </c>
      <c r="AG50" s="8">
        <v>5077820545</v>
      </c>
      <c r="AH50" s="8">
        <v>5488211100</v>
      </c>
      <c r="AI50" s="8">
        <v>14244367</v>
      </c>
      <c r="AJ50" s="8">
        <v>236</v>
      </c>
      <c r="AK50" s="8">
        <v>53</v>
      </c>
      <c r="AL50" s="8">
        <v>509930524</v>
      </c>
      <c r="AM50" s="8">
        <v>32</v>
      </c>
      <c r="AN50" s="8">
        <v>43</v>
      </c>
      <c r="AO50" s="8">
        <v>52266657</v>
      </c>
      <c r="AP50" s="8">
        <v>46</v>
      </c>
      <c r="AQ50" s="8">
        <v>3666</v>
      </c>
      <c r="AR50" s="8">
        <v>417315645</v>
      </c>
      <c r="AS50" s="4" t="s">
        <v>59</v>
      </c>
      <c r="AT50" s="4">
        <v>3.85</v>
      </c>
      <c r="AU50" s="4">
        <v>652</v>
      </c>
      <c r="AV50" s="4">
        <v>1969</v>
      </c>
      <c r="AW50" s="4">
        <f t="shared" si="2"/>
        <v>5285</v>
      </c>
    </row>
    <row r="51" spans="1:49" x14ac:dyDescent="0.35">
      <c r="A51" s="4">
        <f t="shared" si="0"/>
        <v>49</v>
      </c>
      <c r="B51" s="5" t="s">
        <v>110</v>
      </c>
      <c r="C51" s="4">
        <v>15851</v>
      </c>
      <c r="D51" s="4">
        <v>7168</v>
      </c>
      <c r="E51" s="4">
        <v>7005</v>
      </c>
      <c r="F51" s="4">
        <f t="shared" si="4"/>
        <v>14173</v>
      </c>
      <c r="G51" s="4">
        <v>4354</v>
      </c>
      <c r="H51" s="4">
        <v>9727</v>
      </c>
      <c r="I51" s="4">
        <v>92</v>
      </c>
      <c r="J51" s="4">
        <v>2548</v>
      </c>
      <c r="K51" s="4">
        <v>8597</v>
      </c>
      <c r="L51" s="4">
        <v>9</v>
      </c>
      <c r="M51" s="4">
        <v>1086</v>
      </c>
      <c r="N51" s="4">
        <v>0</v>
      </c>
      <c r="O51" s="4">
        <v>10050</v>
      </c>
      <c r="P51" s="4">
        <f t="shared" si="1"/>
        <v>0.1874456048738033</v>
      </c>
      <c r="Q51" s="4">
        <f>820+11008</f>
        <v>11828</v>
      </c>
      <c r="R51" s="4">
        <f>820+8737</f>
        <v>9557</v>
      </c>
      <c r="S51" s="4">
        <v>200</v>
      </c>
      <c r="T51" s="4">
        <f>798+8394</f>
        <v>9192</v>
      </c>
      <c r="U51" s="4">
        <f>6735+512</f>
        <v>7247</v>
      </c>
      <c r="V51" s="4">
        <f>1025000+6615000</f>
        <v>7640000</v>
      </c>
      <c r="W51" s="4">
        <f>265+1458</f>
        <v>1723</v>
      </c>
      <c r="X51" s="4">
        <v>209</v>
      </c>
      <c r="Y51" s="4">
        <v>829</v>
      </c>
      <c r="Z51" s="4">
        <v>115</v>
      </c>
      <c r="AA51" s="4">
        <v>314</v>
      </c>
      <c r="AB51" s="8">
        <v>324497695</v>
      </c>
      <c r="AC51" s="8">
        <v>942737219</v>
      </c>
      <c r="AD51" s="8">
        <v>176720961</v>
      </c>
      <c r="AE51" s="8">
        <v>35881467</v>
      </c>
      <c r="AF51" s="8">
        <v>517765733</v>
      </c>
      <c r="AG51" s="8">
        <v>4180257687</v>
      </c>
      <c r="AH51" s="8">
        <v>716772647</v>
      </c>
      <c r="AI51" s="8">
        <v>84627701</v>
      </c>
      <c r="AJ51" s="8">
        <v>411</v>
      </c>
      <c r="AK51" s="8">
        <v>194</v>
      </c>
      <c r="AL51" s="8">
        <v>590180960</v>
      </c>
      <c r="AM51" s="8">
        <v>270</v>
      </c>
      <c r="AN51" s="8">
        <v>153</v>
      </c>
      <c r="AO51" s="8">
        <v>85339500</v>
      </c>
      <c r="AP51" s="8">
        <v>98</v>
      </c>
      <c r="AQ51" s="8">
        <v>1203</v>
      </c>
      <c r="AR51" s="8">
        <v>19816500</v>
      </c>
      <c r="AS51" s="4" t="s">
        <v>59</v>
      </c>
      <c r="AT51" s="4">
        <v>3.09</v>
      </c>
      <c r="AU51" s="4">
        <v>1309</v>
      </c>
      <c r="AV51" s="4">
        <v>1989</v>
      </c>
      <c r="AW51" s="4">
        <f t="shared" si="2"/>
        <v>11145</v>
      </c>
    </row>
    <row r="52" spans="1:49" x14ac:dyDescent="0.35">
      <c r="A52" s="4">
        <f t="shared" si="0"/>
        <v>50</v>
      </c>
      <c r="B52" s="5" t="s">
        <v>111</v>
      </c>
      <c r="C52" s="4">
        <v>4190</v>
      </c>
      <c r="D52" s="4">
        <v>1333</v>
      </c>
      <c r="E52" s="4">
        <v>2132</v>
      </c>
      <c r="F52" s="4">
        <f t="shared" si="4"/>
        <v>3465</v>
      </c>
      <c r="G52" s="4">
        <v>2977</v>
      </c>
      <c r="H52" s="4">
        <v>474</v>
      </c>
      <c r="I52" s="4">
        <v>14</v>
      </c>
      <c r="J52" s="4">
        <v>301</v>
      </c>
      <c r="K52" s="4">
        <v>2788</v>
      </c>
      <c r="L52" s="4">
        <v>836</v>
      </c>
      <c r="M52" s="4">
        <v>30</v>
      </c>
      <c r="N52" s="4">
        <v>19</v>
      </c>
      <c r="O52" s="4">
        <v>2204</v>
      </c>
      <c r="P52" s="4">
        <f t="shared" si="1"/>
        <v>0.13572503763171098</v>
      </c>
      <c r="Q52" s="4">
        <v>5703</v>
      </c>
      <c r="R52" s="4">
        <v>4748</v>
      </c>
      <c r="S52" s="4">
        <v>0</v>
      </c>
      <c r="T52" s="4">
        <v>3986</v>
      </c>
      <c r="U52" s="4">
        <v>820</v>
      </c>
      <c r="V52" s="4">
        <v>1602046</v>
      </c>
      <c r="W52" s="4">
        <v>541</v>
      </c>
      <c r="X52" s="4">
        <v>439</v>
      </c>
      <c r="Y52" s="4">
        <v>92</v>
      </c>
      <c r="Z52" s="4">
        <v>367</v>
      </c>
      <c r="AA52" s="4">
        <v>110</v>
      </c>
      <c r="AB52" s="8">
        <v>20308093</v>
      </c>
      <c r="AC52" s="8">
        <v>151540180</v>
      </c>
      <c r="AD52" s="8">
        <v>26366649</v>
      </c>
      <c r="AE52" s="8">
        <v>992975</v>
      </c>
      <c r="AF52" s="8">
        <v>58977794</v>
      </c>
      <c r="AG52" s="8">
        <v>2732165921</v>
      </c>
      <c r="AH52" s="8">
        <v>874883383</v>
      </c>
      <c r="AI52" s="8">
        <v>18135502</v>
      </c>
      <c r="AJ52" s="8">
        <v>485</v>
      </c>
      <c r="AK52" s="8">
        <v>104</v>
      </c>
      <c r="AL52" s="8">
        <v>722974458</v>
      </c>
      <c r="AM52" s="8">
        <v>110</v>
      </c>
      <c r="AN52" s="8">
        <v>73</v>
      </c>
      <c r="AO52" s="8">
        <v>8120874</v>
      </c>
      <c r="AP52" s="8">
        <v>83</v>
      </c>
      <c r="AQ52" s="8">
        <v>4051</v>
      </c>
      <c r="AR52" s="8">
        <v>12855315</v>
      </c>
      <c r="AS52" s="4" t="s">
        <v>59</v>
      </c>
      <c r="AT52" s="4">
        <v>3.32</v>
      </c>
      <c r="AU52" s="4">
        <v>372</v>
      </c>
      <c r="AV52" s="4">
        <v>1857</v>
      </c>
      <c r="AW52" s="4">
        <f t="shared" si="2"/>
        <v>3089</v>
      </c>
    </row>
    <row r="53" spans="1:49" x14ac:dyDescent="0.35">
      <c r="A53" s="4">
        <f t="shared" si="0"/>
        <v>51</v>
      </c>
      <c r="B53" s="5" t="s">
        <v>112</v>
      </c>
      <c r="C53" s="4">
        <v>15851</v>
      </c>
      <c r="D53" s="4">
        <v>7168</v>
      </c>
      <c r="E53" s="4">
        <v>7005</v>
      </c>
      <c r="F53" s="4">
        <f>D53+E53</f>
        <v>14173</v>
      </c>
      <c r="G53" s="4">
        <v>4354</v>
      </c>
      <c r="H53" s="4">
        <v>9727</v>
      </c>
      <c r="I53" s="4">
        <v>92</v>
      </c>
      <c r="J53" s="4">
        <v>2548</v>
      </c>
      <c r="K53" s="4">
        <v>8597</v>
      </c>
      <c r="L53" s="4">
        <v>9</v>
      </c>
      <c r="M53" s="4">
        <v>1086</v>
      </c>
      <c r="N53" s="4">
        <v>0</v>
      </c>
      <c r="O53" s="4">
        <v>10050</v>
      </c>
      <c r="P53" s="4">
        <f t="shared" si="1"/>
        <v>0.1874456048738033</v>
      </c>
      <c r="Q53" s="4">
        <f>820+11008</f>
        <v>11828</v>
      </c>
      <c r="R53" s="4">
        <f>8737+820</f>
        <v>9557</v>
      </c>
      <c r="S53" s="4">
        <v>200</v>
      </c>
      <c r="T53" s="4">
        <f>798+8394</f>
        <v>9192</v>
      </c>
      <c r="U53" s="4">
        <f>6735+512</f>
        <v>7247</v>
      </c>
      <c r="V53" s="4">
        <f>1025000+6615000</f>
        <v>7640000</v>
      </c>
      <c r="W53" s="4">
        <f>1458+265</f>
        <v>1723</v>
      </c>
      <c r="X53" s="4">
        <v>209</v>
      </c>
      <c r="Y53" s="4">
        <v>829</v>
      </c>
      <c r="Z53" s="4">
        <v>115</v>
      </c>
      <c r="AA53" s="4">
        <v>314</v>
      </c>
      <c r="AB53" s="8">
        <v>324497695</v>
      </c>
      <c r="AC53" s="8">
        <v>942737219</v>
      </c>
      <c r="AD53" s="8">
        <v>176720961</v>
      </c>
      <c r="AE53" s="8">
        <v>35881467</v>
      </c>
      <c r="AF53" s="8">
        <v>517765733</v>
      </c>
      <c r="AG53" s="8">
        <v>4180257687</v>
      </c>
      <c r="AH53" s="8">
        <v>716772647</v>
      </c>
      <c r="AI53" s="8">
        <v>84627701</v>
      </c>
      <c r="AJ53" s="8">
        <v>411</v>
      </c>
      <c r="AK53" s="8">
        <v>194</v>
      </c>
      <c r="AL53" s="8">
        <v>590180960</v>
      </c>
      <c r="AM53" s="8">
        <v>270</v>
      </c>
      <c r="AN53" s="8">
        <v>153</v>
      </c>
      <c r="AO53" s="8">
        <v>85339500</v>
      </c>
      <c r="AP53" s="8">
        <v>98</v>
      </c>
      <c r="AQ53" s="8">
        <v>1203</v>
      </c>
      <c r="AR53" s="8">
        <v>19816500</v>
      </c>
      <c r="AS53" s="4" t="s">
        <v>59</v>
      </c>
      <c r="AT53" s="4">
        <v>3.09</v>
      </c>
      <c r="AU53" s="4">
        <v>1309</v>
      </c>
      <c r="AV53" s="4">
        <v>1987</v>
      </c>
      <c r="AW53" s="4">
        <f t="shared" si="2"/>
        <v>11145</v>
      </c>
    </row>
    <row r="54" spans="1:49" x14ac:dyDescent="0.35">
      <c r="A54" s="4">
        <f t="shared" si="0"/>
        <v>52</v>
      </c>
      <c r="B54" s="5" t="s">
        <v>113</v>
      </c>
      <c r="C54" s="4">
        <v>11810</v>
      </c>
      <c r="D54" s="4">
        <v>8241</v>
      </c>
      <c r="E54" s="4">
        <v>3963</v>
      </c>
      <c r="F54" s="4">
        <f t="shared" ref="F54:F102" si="5">D54+E54</f>
        <v>12204</v>
      </c>
      <c r="G54" s="4">
        <v>2246</v>
      </c>
      <c r="H54" s="4">
        <v>9926</v>
      </c>
      <c r="I54" s="4">
        <v>32</v>
      </c>
      <c r="J54" s="4">
        <v>2533</v>
      </c>
      <c r="K54" s="4">
        <v>578</v>
      </c>
      <c r="L54" s="4">
        <v>0</v>
      </c>
      <c r="M54" s="4">
        <v>55</v>
      </c>
      <c r="N54" s="4">
        <v>0</v>
      </c>
      <c r="O54" s="4">
        <v>3056</v>
      </c>
      <c r="P54" s="4">
        <f t="shared" si="1"/>
        <v>5.1279416298427707E-2</v>
      </c>
      <c r="Q54" s="4">
        <f>1915+9500+180</f>
        <v>11595</v>
      </c>
      <c r="R54" s="4">
        <f>8799+157+1799</f>
        <v>10755</v>
      </c>
      <c r="S54" s="4">
        <v>0</v>
      </c>
      <c r="T54" s="4">
        <f>1508+8090+133</f>
        <v>9731</v>
      </c>
      <c r="U54" s="4">
        <f>6262+95+702</f>
        <v>7059</v>
      </c>
      <c r="V54" s="4">
        <f>1077000+4264000+1431000</f>
        <v>6772000</v>
      </c>
      <c r="W54" s="4">
        <f>207+292</f>
        <v>499</v>
      </c>
      <c r="X54" s="4">
        <v>89</v>
      </c>
      <c r="Y54" s="4">
        <v>472</v>
      </c>
      <c r="Z54" s="4">
        <v>7</v>
      </c>
      <c r="AA54" s="4">
        <v>121</v>
      </c>
      <c r="AB54" s="8">
        <v>224431701</v>
      </c>
      <c r="AC54" s="8">
        <v>100522015</v>
      </c>
      <c r="AD54" s="8">
        <v>11006612</v>
      </c>
      <c r="AE54" s="8">
        <v>1800388</v>
      </c>
      <c r="AF54" s="8">
        <v>130958444</v>
      </c>
      <c r="AG54" s="8">
        <v>5664957138</v>
      </c>
      <c r="AH54" s="8">
        <v>3391100906</v>
      </c>
      <c r="AI54" s="8">
        <v>41680104</v>
      </c>
      <c r="AJ54" s="8">
        <v>60</v>
      </c>
      <c r="AK54" s="8">
        <v>28</v>
      </c>
      <c r="AL54" s="8">
        <v>76317991</v>
      </c>
      <c r="AM54" s="8">
        <v>211</v>
      </c>
      <c r="AN54" s="8">
        <v>110</v>
      </c>
      <c r="AO54" s="8">
        <v>44994733</v>
      </c>
      <c r="AP54" s="8">
        <v>22</v>
      </c>
      <c r="AQ54" s="8">
        <v>840</v>
      </c>
      <c r="AR54" s="8">
        <v>29310999</v>
      </c>
      <c r="AS54" s="4" t="s">
        <v>59</v>
      </c>
      <c r="AT54" s="4">
        <v>3.02</v>
      </c>
      <c r="AU54" s="4">
        <v>997</v>
      </c>
      <c r="AV54" s="4">
        <v>2003</v>
      </c>
      <c r="AW54" s="4">
        <f t="shared" si="2"/>
        <v>3111</v>
      </c>
    </row>
    <row r="55" spans="1:49" x14ac:dyDescent="0.35">
      <c r="A55" s="4">
        <f t="shared" si="0"/>
        <v>53</v>
      </c>
      <c r="B55" s="5" t="s">
        <v>114</v>
      </c>
      <c r="C55" s="4">
        <v>1900</v>
      </c>
      <c r="D55" s="4">
        <v>932</v>
      </c>
      <c r="E55" s="4">
        <v>887</v>
      </c>
      <c r="F55" s="4">
        <f t="shared" si="5"/>
        <v>1819</v>
      </c>
      <c r="G55" s="4">
        <v>1624</v>
      </c>
      <c r="H55" s="4">
        <v>195</v>
      </c>
      <c r="I55" s="4">
        <v>0</v>
      </c>
      <c r="J55" s="4">
        <v>228</v>
      </c>
      <c r="K55" s="4">
        <v>1591</v>
      </c>
      <c r="L55" s="4">
        <v>256</v>
      </c>
      <c r="M55" s="4">
        <v>23</v>
      </c>
      <c r="N55" s="4">
        <v>2</v>
      </c>
      <c r="O55" s="4">
        <v>1538</v>
      </c>
      <c r="P55" s="4">
        <f t="shared" si="1"/>
        <v>0.12468322351748606</v>
      </c>
      <c r="Q55" s="4">
        <f>241+2346</f>
        <v>2587</v>
      </c>
      <c r="R55" s="4">
        <f>2225+90</f>
        <v>2315</v>
      </c>
      <c r="S55" s="4">
        <v>0</v>
      </c>
      <c r="T55" s="4">
        <v>1973</v>
      </c>
      <c r="U55" s="4">
        <f>511+37</f>
        <v>548</v>
      </c>
      <c r="V55" s="4">
        <f>1385000+468000</f>
        <v>1853000</v>
      </c>
      <c r="W55" s="4">
        <v>246</v>
      </c>
      <c r="X55" s="4">
        <v>316</v>
      </c>
      <c r="Y55" s="4">
        <v>918</v>
      </c>
      <c r="Z55" s="4">
        <v>198</v>
      </c>
      <c r="AA55" s="4">
        <v>439</v>
      </c>
      <c r="AB55" s="8">
        <v>3944828</v>
      </c>
      <c r="AC55" s="8">
        <v>134414270</v>
      </c>
      <c r="AD55" s="8">
        <v>2251827</v>
      </c>
      <c r="AE55" s="8">
        <v>21853750</v>
      </c>
      <c r="AF55" s="8">
        <v>43427189</v>
      </c>
      <c r="AG55" s="8">
        <v>1643751699</v>
      </c>
      <c r="AH55" s="8">
        <v>574831036</v>
      </c>
      <c r="AI55" s="8">
        <v>10333314</v>
      </c>
      <c r="AJ55" s="8">
        <v>275</v>
      </c>
      <c r="AK55" s="8">
        <v>40</v>
      </c>
      <c r="AL55" s="8">
        <v>480160798</v>
      </c>
      <c r="AM55" s="8">
        <v>11</v>
      </c>
      <c r="AN55" s="8">
        <v>65</v>
      </c>
      <c r="AO55" s="8">
        <v>4615758</v>
      </c>
      <c r="AP55" s="8">
        <v>56</v>
      </c>
      <c r="AQ55" s="8">
        <v>4816</v>
      </c>
      <c r="AR55" s="8">
        <v>3251953</v>
      </c>
      <c r="AS55" s="4" t="s">
        <v>59</v>
      </c>
      <c r="AT55" s="4">
        <v>3.54</v>
      </c>
      <c r="AU55" s="4">
        <v>211</v>
      </c>
      <c r="AV55" s="4">
        <v>1966</v>
      </c>
      <c r="AW55" s="4">
        <f t="shared" si="2"/>
        <v>1819</v>
      </c>
    </row>
    <row r="56" spans="1:49" x14ac:dyDescent="0.35">
      <c r="A56" s="4">
        <f t="shared" si="0"/>
        <v>54</v>
      </c>
      <c r="B56" s="5" t="s">
        <v>115</v>
      </c>
      <c r="C56" s="4">
        <v>4328</v>
      </c>
      <c r="D56" s="4">
        <v>1772</v>
      </c>
      <c r="E56" s="4">
        <v>1909</v>
      </c>
      <c r="F56" s="4">
        <f t="shared" si="5"/>
        <v>3681</v>
      </c>
      <c r="G56" s="4">
        <v>3399</v>
      </c>
      <c r="H56" s="4">
        <v>246</v>
      </c>
      <c r="I56" s="4">
        <v>36</v>
      </c>
      <c r="J56" s="4">
        <v>192</v>
      </c>
      <c r="K56" s="4">
        <v>639</v>
      </c>
      <c r="L56" s="4">
        <v>64</v>
      </c>
      <c r="M56" s="4">
        <v>4</v>
      </c>
      <c r="N56" s="4">
        <v>4</v>
      </c>
      <c r="O56" s="4">
        <v>759</v>
      </c>
      <c r="P56" s="4">
        <f t="shared" si="1"/>
        <v>8.0029640607632457E-2</v>
      </c>
      <c r="Q56" s="4">
        <f>3162+621</f>
        <v>3783</v>
      </c>
      <c r="R56" s="4">
        <f>2758+617</f>
        <v>3375</v>
      </c>
      <c r="S56" s="4">
        <v>0</v>
      </c>
      <c r="T56" s="4">
        <f>2201+498</f>
        <v>2699</v>
      </c>
      <c r="U56" s="4">
        <f>451+13</f>
        <v>464</v>
      </c>
      <c r="V56" s="4">
        <f>930000+1860000</f>
        <v>2790000</v>
      </c>
      <c r="W56" s="4">
        <f>204+12</f>
        <v>216</v>
      </c>
      <c r="X56" s="4">
        <v>625</v>
      </c>
      <c r="Y56" s="4">
        <v>0</v>
      </c>
      <c r="Z56" s="4">
        <v>272</v>
      </c>
      <c r="AA56" s="4">
        <v>0</v>
      </c>
      <c r="AB56" s="8">
        <v>15433968</v>
      </c>
      <c r="AC56" s="8">
        <v>299702093</v>
      </c>
      <c r="AD56" s="8">
        <v>0</v>
      </c>
      <c r="AE56" s="8">
        <v>0</v>
      </c>
      <c r="AF56" s="8">
        <v>74433262</v>
      </c>
      <c r="AG56" s="8">
        <v>13730761963</v>
      </c>
      <c r="AH56" s="8">
        <v>250421512</v>
      </c>
      <c r="AI56" s="8">
        <v>94640954</v>
      </c>
      <c r="AJ56" s="8">
        <v>1661</v>
      </c>
      <c r="AK56" s="8">
        <v>515</v>
      </c>
      <c r="AL56" s="8">
        <v>3878218527</v>
      </c>
      <c r="AM56" s="8">
        <v>15</v>
      </c>
      <c r="AN56" s="8">
        <v>12</v>
      </c>
      <c r="AO56" s="8">
        <v>1925376</v>
      </c>
      <c r="AP56" s="4">
        <v>0</v>
      </c>
      <c r="AQ56" s="4">
        <v>0</v>
      </c>
      <c r="AR56" s="4">
        <v>0</v>
      </c>
      <c r="AS56" s="4" t="s">
        <v>74</v>
      </c>
      <c r="AT56" s="4" t="s">
        <v>75</v>
      </c>
      <c r="AU56" s="4">
        <v>781</v>
      </c>
      <c r="AV56" s="4">
        <v>1962</v>
      </c>
      <c r="AW56" s="4">
        <f t="shared" si="2"/>
        <v>831</v>
      </c>
    </row>
    <row r="57" spans="1:49" x14ac:dyDescent="0.35">
      <c r="A57" s="4">
        <f t="shared" si="0"/>
        <v>55</v>
      </c>
      <c r="B57" s="5" t="s">
        <v>116</v>
      </c>
      <c r="C57" s="4">
        <v>8010</v>
      </c>
      <c r="D57" s="4">
        <v>4408</v>
      </c>
      <c r="E57" s="4">
        <v>3617</v>
      </c>
      <c r="F57" s="4">
        <f t="shared" si="5"/>
        <v>8025</v>
      </c>
      <c r="G57" s="4">
        <v>2005</v>
      </c>
      <c r="H57" s="4">
        <v>5780</v>
      </c>
      <c r="I57" s="4">
        <v>240</v>
      </c>
      <c r="J57" s="4">
        <v>0</v>
      </c>
      <c r="K57" s="4">
        <v>240</v>
      </c>
      <c r="L57" s="4">
        <v>0</v>
      </c>
      <c r="M57" s="4">
        <v>240</v>
      </c>
      <c r="N57" s="4">
        <v>0</v>
      </c>
      <c r="O57" s="4">
        <v>0</v>
      </c>
      <c r="P57" s="4">
        <f t="shared" si="1"/>
        <v>0.19867774199016783</v>
      </c>
      <c r="Q57" s="4">
        <f>1643+5150</f>
        <v>6793</v>
      </c>
      <c r="R57" s="4">
        <f>4949+1579</f>
        <v>6528</v>
      </c>
      <c r="S57" s="4">
        <v>16</v>
      </c>
      <c r="T57" s="4">
        <f>4402+1497</f>
        <v>5899</v>
      </c>
      <c r="U57" s="4">
        <f>948+3146</f>
        <v>4094</v>
      </c>
      <c r="V57" s="4">
        <f>3025000+1789000</f>
        <v>4814000</v>
      </c>
      <c r="W57" s="4">
        <f>204+968</f>
        <v>1172</v>
      </c>
      <c r="X57" s="4">
        <v>191</v>
      </c>
      <c r="Y57" s="4">
        <v>166</v>
      </c>
      <c r="Z57" s="4">
        <v>58</v>
      </c>
      <c r="AA57" s="4">
        <v>66</v>
      </c>
      <c r="AB57" s="8">
        <v>63672000</v>
      </c>
      <c r="AC57" s="8">
        <v>825448978</v>
      </c>
      <c r="AD57" s="8">
        <v>6431620</v>
      </c>
      <c r="AE57" s="8">
        <v>1505000</v>
      </c>
      <c r="AF57" s="8">
        <v>134906500</v>
      </c>
      <c r="AG57" s="8">
        <v>1172228013</v>
      </c>
      <c r="AH57" s="8">
        <v>2471521470</v>
      </c>
      <c r="AI57" s="8">
        <v>6645960</v>
      </c>
      <c r="AJ57" s="8">
        <v>190</v>
      </c>
      <c r="AK57" s="8">
        <v>67</v>
      </c>
      <c r="AL57" s="8">
        <v>43474452</v>
      </c>
      <c r="AM57" s="8">
        <v>27</v>
      </c>
      <c r="AN57" s="8">
        <v>5</v>
      </c>
      <c r="AO57" s="8">
        <v>2500000</v>
      </c>
      <c r="AP57" s="8">
        <v>17</v>
      </c>
      <c r="AQ57" s="8">
        <v>420</v>
      </c>
      <c r="AR57" s="8">
        <v>78324350</v>
      </c>
      <c r="AS57" s="4" t="s">
        <v>59</v>
      </c>
      <c r="AT57" s="4">
        <v>3.29</v>
      </c>
      <c r="AU57" s="4">
        <v>582</v>
      </c>
      <c r="AV57" s="4">
        <v>1993</v>
      </c>
      <c r="AW57" s="4">
        <f t="shared" si="2"/>
        <v>240</v>
      </c>
    </row>
    <row r="58" spans="1:49" x14ac:dyDescent="0.35">
      <c r="A58" s="4">
        <f t="shared" si="0"/>
        <v>56</v>
      </c>
      <c r="B58" s="5" t="s">
        <v>117</v>
      </c>
      <c r="C58" s="4">
        <v>7872</v>
      </c>
      <c r="D58" s="4">
        <v>3686</v>
      </c>
      <c r="E58" s="4">
        <v>3786</v>
      </c>
      <c r="F58" s="4">
        <f t="shared" si="5"/>
        <v>7472</v>
      </c>
      <c r="G58" s="4">
        <v>6670</v>
      </c>
      <c r="H58" s="4">
        <v>789</v>
      </c>
      <c r="I58" s="4">
        <v>13</v>
      </c>
      <c r="J58" s="4">
        <v>1757</v>
      </c>
      <c r="K58" s="4">
        <v>4380</v>
      </c>
      <c r="L58" s="4">
        <v>4333</v>
      </c>
      <c r="M58" s="4">
        <v>709</v>
      </c>
      <c r="N58" s="4">
        <v>113</v>
      </c>
      <c r="O58" s="4">
        <v>982</v>
      </c>
      <c r="P58" s="4">
        <f t="shared" si="1"/>
        <v>0.18479102167182662</v>
      </c>
      <c r="Q58" s="4">
        <f>10292+722</f>
        <v>11014</v>
      </c>
      <c r="R58" s="4">
        <f>564+10074</f>
        <v>10638</v>
      </c>
      <c r="S58" s="4">
        <v>3</v>
      </c>
      <c r="T58" s="4">
        <f>511+9825</f>
        <v>10336</v>
      </c>
      <c r="U58" s="4">
        <f>335+7367</f>
        <v>7702</v>
      </c>
      <c r="V58" s="4">
        <f>1270000+8450000</f>
        <v>9720000</v>
      </c>
      <c r="W58" s="4">
        <f>1778+132</f>
        <v>1910</v>
      </c>
      <c r="X58" s="4">
        <v>955</v>
      </c>
      <c r="Y58" s="4">
        <v>0</v>
      </c>
      <c r="Z58" s="4">
        <v>793</v>
      </c>
      <c r="AA58" s="4">
        <v>0</v>
      </c>
      <c r="AB58" s="8">
        <v>325618878</v>
      </c>
      <c r="AC58" s="8">
        <v>426194028</v>
      </c>
      <c r="AD58" s="8">
        <v>36176758</v>
      </c>
      <c r="AE58" s="8">
        <v>285064</v>
      </c>
      <c r="AF58" s="8">
        <v>683757491</v>
      </c>
      <c r="AG58" s="8">
        <v>5220015449</v>
      </c>
      <c r="AH58" s="8">
        <v>6842745323</v>
      </c>
      <c r="AI58" s="8">
        <v>100002076</v>
      </c>
      <c r="AJ58" s="8">
        <v>91</v>
      </c>
      <c r="AK58" s="8">
        <v>61</v>
      </c>
      <c r="AL58" s="8">
        <v>685772400</v>
      </c>
      <c r="AM58" s="8">
        <v>21</v>
      </c>
      <c r="AN58" s="8">
        <v>20</v>
      </c>
      <c r="AO58" s="8">
        <v>28854398</v>
      </c>
      <c r="AP58" s="8">
        <v>67</v>
      </c>
      <c r="AQ58" s="8">
        <v>3983</v>
      </c>
      <c r="AR58" s="8">
        <v>117053125</v>
      </c>
      <c r="AS58" s="4" t="s">
        <v>59</v>
      </c>
      <c r="AT58" s="4">
        <v>3.65</v>
      </c>
      <c r="AU58" s="4">
        <v>456</v>
      </c>
      <c r="AV58" s="4">
        <v>1857</v>
      </c>
      <c r="AW58" s="4">
        <f t="shared" si="2"/>
        <v>6137</v>
      </c>
    </row>
    <row r="59" spans="1:49" x14ac:dyDescent="0.35">
      <c r="A59" s="4">
        <f t="shared" si="0"/>
        <v>57</v>
      </c>
      <c r="B59" s="5" t="s">
        <v>118</v>
      </c>
      <c r="C59" s="4">
        <v>8678</v>
      </c>
      <c r="D59" s="4">
        <v>2976</v>
      </c>
      <c r="E59" s="4">
        <v>5186</v>
      </c>
      <c r="F59" s="4">
        <f>D59+E59</f>
        <v>8162</v>
      </c>
      <c r="G59" s="4">
        <v>5234</v>
      </c>
      <c r="H59" s="4">
        <v>2677</v>
      </c>
      <c r="I59" s="4">
        <v>251</v>
      </c>
      <c r="J59" s="4">
        <v>569</v>
      </c>
      <c r="K59" s="4">
        <v>2666</v>
      </c>
      <c r="L59" s="4">
        <v>575</v>
      </c>
      <c r="M59" s="4">
        <v>1189</v>
      </c>
      <c r="N59" s="4">
        <v>165</v>
      </c>
      <c r="O59" s="4">
        <v>1306</v>
      </c>
      <c r="P59" s="4">
        <f t="shared" si="1"/>
        <v>0.28825910931174087</v>
      </c>
      <c r="Q59" s="4">
        <f>5211+420+121</f>
        <v>5752</v>
      </c>
      <c r="R59" s="4">
        <f>391+4863+123</f>
        <v>5377</v>
      </c>
      <c r="S59" s="4">
        <v>79</v>
      </c>
      <c r="T59" s="4">
        <f>336+4487+117</f>
        <v>4940</v>
      </c>
      <c r="U59" s="4">
        <f>102+2549+105</f>
        <v>2756</v>
      </c>
      <c r="V59" s="4">
        <f>690000+9821000+4114667</f>
        <v>14625667</v>
      </c>
      <c r="W59" s="4">
        <f>213+1202+9</f>
        <v>1424</v>
      </c>
      <c r="X59" s="4">
        <v>143</v>
      </c>
      <c r="Y59" s="4">
        <v>156</v>
      </c>
      <c r="Z59" s="4">
        <v>37</v>
      </c>
      <c r="AA59" s="4">
        <v>50</v>
      </c>
      <c r="AB59" s="8">
        <v>117328038</v>
      </c>
      <c r="AC59" s="8">
        <v>725137714</v>
      </c>
      <c r="AD59" s="8">
        <v>72897486</v>
      </c>
      <c r="AE59" s="8">
        <v>5008125</v>
      </c>
      <c r="AF59" s="8">
        <v>0</v>
      </c>
      <c r="AG59" s="8">
        <v>7315736839</v>
      </c>
      <c r="AH59" s="8">
        <v>10190550223</v>
      </c>
      <c r="AI59" s="8">
        <v>65103767</v>
      </c>
      <c r="AJ59" s="8">
        <v>653</v>
      </c>
      <c r="AK59" s="8">
        <v>98</v>
      </c>
      <c r="AL59" s="8">
        <v>537158616</v>
      </c>
      <c r="AM59" s="8">
        <v>464</v>
      </c>
      <c r="AN59" s="8">
        <v>347</v>
      </c>
      <c r="AO59" s="8">
        <v>232703367</v>
      </c>
      <c r="AP59" s="8">
        <v>120</v>
      </c>
      <c r="AQ59" s="8">
        <v>18610</v>
      </c>
      <c r="AR59" s="8">
        <v>35060866</v>
      </c>
      <c r="AS59" s="4" t="s">
        <v>59</v>
      </c>
      <c r="AT59" s="4">
        <v>3.53</v>
      </c>
      <c r="AU59" s="4">
        <v>755</v>
      </c>
      <c r="AV59" s="4">
        <v>1985</v>
      </c>
      <c r="AW59" s="4">
        <f t="shared" si="2"/>
        <v>3235</v>
      </c>
    </row>
    <row r="60" spans="1:49" x14ac:dyDescent="0.35">
      <c r="A60" s="4">
        <f t="shared" si="0"/>
        <v>58</v>
      </c>
      <c r="B60" s="5" t="s">
        <v>119</v>
      </c>
      <c r="C60" s="4">
        <v>11693</v>
      </c>
      <c r="D60" s="4">
        <v>0</v>
      </c>
      <c r="E60" s="4">
        <v>11861</v>
      </c>
      <c r="F60" s="4">
        <f t="shared" si="5"/>
        <v>11861</v>
      </c>
      <c r="G60" s="4">
        <v>1283</v>
      </c>
      <c r="H60" s="4">
        <v>10315</v>
      </c>
      <c r="I60" s="4">
        <v>263</v>
      </c>
      <c r="J60" s="4">
        <v>2389</v>
      </c>
      <c r="K60" s="4">
        <v>818</v>
      </c>
      <c r="L60" s="4">
        <v>621</v>
      </c>
      <c r="M60" s="4">
        <v>1654</v>
      </c>
      <c r="N60" s="4">
        <v>153</v>
      </c>
      <c r="O60" s="4">
        <v>779</v>
      </c>
      <c r="P60" s="4">
        <f t="shared" si="1"/>
        <v>0.27003205128205127</v>
      </c>
      <c r="Q60" s="4">
        <f>7263+3315+250</f>
        <v>10828</v>
      </c>
      <c r="R60" s="4">
        <f>4043+7170+140</f>
        <v>11353</v>
      </c>
      <c r="S60" s="4">
        <v>41</v>
      </c>
      <c r="T60" s="4">
        <f>7034+180+4018</f>
        <v>11232</v>
      </c>
      <c r="U60" s="4">
        <f>228+3556+99</f>
        <v>3883</v>
      </c>
      <c r="V60" s="4">
        <f>1185000+4147000+875000</f>
        <v>6207000</v>
      </c>
      <c r="W60" s="4">
        <f>2139+885+9</f>
        <v>3033</v>
      </c>
      <c r="X60" s="4">
        <v>822</v>
      </c>
      <c r="Y60" s="4">
        <v>0</v>
      </c>
      <c r="Z60" s="4">
        <v>679</v>
      </c>
      <c r="AA60" s="4">
        <v>0</v>
      </c>
      <c r="AB60" s="8">
        <v>97837623</v>
      </c>
      <c r="AC60" s="8">
        <v>729550944</v>
      </c>
      <c r="AD60" s="8">
        <v>42021843</v>
      </c>
      <c r="AE60" s="8">
        <v>1500000</v>
      </c>
      <c r="AF60" s="8">
        <v>134335409</v>
      </c>
      <c r="AG60" s="8">
        <v>2935766950</v>
      </c>
      <c r="AH60" s="8">
        <v>1960298128</v>
      </c>
      <c r="AI60" s="8">
        <v>4532202</v>
      </c>
      <c r="AJ60" s="8">
        <v>106</v>
      </c>
      <c r="AK60" s="8">
        <v>44</v>
      </c>
      <c r="AL60" s="8">
        <v>466032953</v>
      </c>
      <c r="AM60" s="8">
        <v>35</v>
      </c>
      <c r="AN60" s="8">
        <v>29</v>
      </c>
      <c r="AO60" s="8">
        <v>190248693</v>
      </c>
      <c r="AP60" s="8">
        <v>49</v>
      </c>
      <c r="AQ60" s="8">
        <v>413</v>
      </c>
      <c r="AR60" s="8">
        <v>4627000</v>
      </c>
      <c r="AS60" s="4" t="s">
        <v>59</v>
      </c>
      <c r="AT60" s="4">
        <v>3.63</v>
      </c>
      <c r="AU60" s="4">
        <v>590</v>
      </c>
      <c r="AV60" s="4">
        <v>1935</v>
      </c>
      <c r="AW60" s="4">
        <f t="shared" si="2"/>
        <v>3207</v>
      </c>
    </row>
    <row r="61" spans="1:49" x14ac:dyDescent="0.35">
      <c r="A61" s="4">
        <f t="shared" si="0"/>
        <v>59</v>
      </c>
      <c r="B61" s="5" t="s">
        <v>120</v>
      </c>
      <c r="C61" s="4">
        <v>2306</v>
      </c>
      <c r="D61" s="4">
        <v>720</v>
      </c>
      <c r="E61" s="4">
        <v>1266</v>
      </c>
      <c r="F61" s="4">
        <f t="shared" si="5"/>
        <v>1986</v>
      </c>
      <c r="G61" s="4">
        <v>1924</v>
      </c>
      <c r="H61" s="4">
        <v>59</v>
      </c>
      <c r="I61" s="4">
        <v>3</v>
      </c>
      <c r="J61" s="4">
        <v>438</v>
      </c>
      <c r="K61" s="4">
        <v>1548</v>
      </c>
      <c r="L61" s="4">
        <v>1344</v>
      </c>
      <c r="M61" s="4">
        <v>57</v>
      </c>
      <c r="N61" s="4">
        <v>0</v>
      </c>
      <c r="O61" s="4">
        <v>585</v>
      </c>
      <c r="P61" s="4">
        <f t="shared" si="1"/>
        <v>0.14362139917695474</v>
      </c>
      <c r="Q61" s="4">
        <f>3000</f>
        <v>3000</v>
      </c>
      <c r="R61" s="4">
        <v>2601</v>
      </c>
      <c r="S61" s="4">
        <v>0</v>
      </c>
      <c r="T61" s="4">
        <v>2430</v>
      </c>
      <c r="U61" s="4">
        <v>652</v>
      </c>
      <c r="V61" s="4">
        <v>2120804</v>
      </c>
      <c r="W61" s="4">
        <v>349</v>
      </c>
      <c r="X61" s="4">
        <v>366</v>
      </c>
      <c r="Y61" s="4">
        <v>178</v>
      </c>
      <c r="Z61" s="4">
        <v>291</v>
      </c>
      <c r="AA61" s="4">
        <v>200</v>
      </c>
      <c r="AB61" s="8">
        <v>17626548</v>
      </c>
      <c r="AC61" s="8">
        <v>80202940</v>
      </c>
      <c r="AD61" s="8">
        <v>18669727</v>
      </c>
      <c r="AE61" s="8">
        <v>626791</v>
      </c>
      <c r="AF61" s="8">
        <v>112715067</v>
      </c>
      <c r="AG61" s="8">
        <v>1009658655</v>
      </c>
      <c r="AH61" s="8">
        <v>326040340</v>
      </c>
      <c r="AI61" s="8">
        <v>14200395</v>
      </c>
      <c r="AJ61" s="8">
        <v>59</v>
      </c>
      <c r="AK61" s="8">
        <v>26</v>
      </c>
      <c r="AL61" s="8">
        <v>73971463</v>
      </c>
      <c r="AM61" s="8">
        <v>63</v>
      </c>
      <c r="AN61" s="8">
        <v>40</v>
      </c>
      <c r="AO61" s="8">
        <v>28280551</v>
      </c>
      <c r="AP61" s="8">
        <v>68</v>
      </c>
      <c r="AQ61" s="8">
        <v>1985</v>
      </c>
      <c r="AR61" s="8">
        <v>1012500</v>
      </c>
      <c r="AS61" s="4" t="s">
        <v>59</v>
      </c>
      <c r="AT61" s="4">
        <v>3.61</v>
      </c>
      <c r="AU61" s="4">
        <v>157</v>
      </c>
      <c r="AV61" s="4">
        <v>1997</v>
      </c>
      <c r="AW61" s="4">
        <f t="shared" si="2"/>
        <v>1986</v>
      </c>
    </row>
    <row r="62" spans="1:49" x14ac:dyDescent="0.35">
      <c r="A62" s="4">
        <f t="shared" si="0"/>
        <v>60</v>
      </c>
      <c r="B62" s="5" t="s">
        <v>121</v>
      </c>
      <c r="C62" s="4">
        <v>6656</v>
      </c>
      <c r="D62" s="4">
        <v>3081</v>
      </c>
      <c r="E62" s="4">
        <v>3190</v>
      </c>
      <c r="F62" s="4">
        <f t="shared" si="5"/>
        <v>6271</v>
      </c>
      <c r="G62" s="4">
        <v>5422</v>
      </c>
      <c r="H62" s="4">
        <v>843</v>
      </c>
      <c r="I62" s="4">
        <v>6</v>
      </c>
      <c r="J62" s="4">
        <v>765</v>
      </c>
      <c r="K62" s="4">
        <v>3984</v>
      </c>
      <c r="L62" s="4">
        <v>4278</v>
      </c>
      <c r="M62" s="4">
        <v>0</v>
      </c>
      <c r="N62" s="4">
        <v>54</v>
      </c>
      <c r="O62" s="4">
        <v>417</v>
      </c>
      <c r="P62" s="4">
        <f t="shared" si="1"/>
        <v>0.10843530330643061</v>
      </c>
      <c r="Q62" s="4">
        <f>7284+1320</f>
        <v>8604</v>
      </c>
      <c r="R62" s="4">
        <f>1243+6854</f>
        <v>8097</v>
      </c>
      <c r="S62" s="4">
        <v>231</v>
      </c>
      <c r="T62" s="4">
        <f>6308+1374</f>
        <v>7682</v>
      </c>
      <c r="U62" s="4">
        <f>567+1382</f>
        <v>1949</v>
      </c>
      <c r="V62" s="4">
        <f>3200000+1780000</f>
        <v>4980000</v>
      </c>
      <c r="W62" s="4">
        <f>224+609</f>
        <v>833</v>
      </c>
      <c r="X62" s="4">
        <v>369</v>
      </c>
      <c r="Y62" s="4">
        <v>313</v>
      </c>
      <c r="Z62" s="4">
        <v>386</v>
      </c>
      <c r="AA62" s="4">
        <v>226</v>
      </c>
      <c r="AB62" s="8">
        <v>22360335</v>
      </c>
      <c r="AC62" s="8">
        <v>87797970</v>
      </c>
      <c r="AD62" s="8">
        <v>24056815</v>
      </c>
      <c r="AE62" s="8">
        <v>5654865</v>
      </c>
      <c r="AF62" s="8">
        <v>174998730</v>
      </c>
      <c r="AG62" s="8">
        <v>5610754988</v>
      </c>
      <c r="AH62" s="8">
        <v>1735278306</v>
      </c>
      <c r="AI62" s="8">
        <v>10960793</v>
      </c>
      <c r="AJ62" s="8">
        <v>76</v>
      </c>
      <c r="AK62" s="8">
        <v>41</v>
      </c>
      <c r="AL62" s="8">
        <v>355629311</v>
      </c>
      <c r="AM62" s="8">
        <v>1524</v>
      </c>
      <c r="AN62" s="8">
        <v>96</v>
      </c>
      <c r="AO62" s="8">
        <v>21893168</v>
      </c>
      <c r="AP62" s="8">
        <v>187</v>
      </c>
      <c r="AQ62" s="8">
        <v>4300</v>
      </c>
      <c r="AR62" s="8">
        <v>4300000</v>
      </c>
      <c r="AS62" s="4" t="s">
        <v>59</v>
      </c>
      <c r="AT62" s="4">
        <v>3.52</v>
      </c>
      <c r="AU62" s="4">
        <v>445</v>
      </c>
      <c r="AV62" s="4">
        <v>1954</v>
      </c>
      <c r="AW62" s="4">
        <f t="shared" si="2"/>
        <v>4749</v>
      </c>
    </row>
    <row r="63" spans="1:49" x14ac:dyDescent="0.35">
      <c r="A63" s="4">
        <f t="shared" si="0"/>
        <v>61</v>
      </c>
      <c r="B63" s="5" t="s">
        <v>122</v>
      </c>
      <c r="C63" s="4">
        <v>3540</v>
      </c>
      <c r="D63" s="4">
        <v>1376</v>
      </c>
      <c r="E63" s="4">
        <v>2120</v>
      </c>
      <c r="F63" s="4">
        <f t="shared" si="5"/>
        <v>3496</v>
      </c>
      <c r="G63" s="4">
        <v>2466</v>
      </c>
      <c r="H63" s="4">
        <v>768</v>
      </c>
      <c r="I63" s="4">
        <v>262</v>
      </c>
      <c r="J63" s="4">
        <v>350</v>
      </c>
      <c r="K63" s="4">
        <v>1890</v>
      </c>
      <c r="L63" s="4">
        <v>2240</v>
      </c>
      <c r="M63" s="4">
        <v>0</v>
      </c>
      <c r="N63" s="4">
        <v>0</v>
      </c>
      <c r="O63" s="4">
        <v>0</v>
      </c>
      <c r="P63" s="4">
        <f t="shared" si="1"/>
        <v>0.31098879496756437</v>
      </c>
      <c r="Q63" s="4">
        <v>5310</v>
      </c>
      <c r="R63" s="4">
        <v>5136</v>
      </c>
      <c r="S63" s="4">
        <v>0</v>
      </c>
      <c r="T63" s="4">
        <v>5087</v>
      </c>
      <c r="U63" s="4">
        <v>2838</v>
      </c>
      <c r="V63" s="4">
        <v>2561000</v>
      </c>
      <c r="W63" s="4">
        <v>1582</v>
      </c>
      <c r="X63" s="4">
        <v>1274</v>
      </c>
      <c r="Y63" s="4">
        <v>44</v>
      </c>
      <c r="Z63" s="4">
        <v>632</v>
      </c>
      <c r="AA63" s="4">
        <v>11</v>
      </c>
      <c r="AB63" s="8">
        <v>44988898</v>
      </c>
      <c r="AC63" s="8">
        <v>171468511</v>
      </c>
      <c r="AD63" s="8">
        <v>399540378</v>
      </c>
      <c r="AE63" s="8">
        <v>22456357</v>
      </c>
      <c r="AF63" s="8">
        <v>487470258</v>
      </c>
      <c r="AG63" s="8">
        <v>1853978724</v>
      </c>
      <c r="AH63" s="8">
        <v>1627031002</v>
      </c>
      <c r="AI63" s="8">
        <v>132101658</v>
      </c>
      <c r="AJ63" s="8">
        <v>145</v>
      </c>
      <c r="AK63" s="8">
        <v>61</v>
      </c>
      <c r="AL63" s="8">
        <v>3628581679</v>
      </c>
      <c r="AM63" s="8">
        <v>71</v>
      </c>
      <c r="AN63" s="8">
        <v>57</v>
      </c>
      <c r="AO63" s="8">
        <v>505671642</v>
      </c>
      <c r="AP63" s="8">
        <v>368</v>
      </c>
      <c r="AQ63" s="8">
        <v>21463</v>
      </c>
      <c r="AR63" s="8">
        <v>52582991</v>
      </c>
      <c r="AS63" s="4" t="s">
        <v>74</v>
      </c>
      <c r="AT63" s="4" t="s">
        <v>75</v>
      </c>
      <c r="AU63" s="4">
        <v>519</v>
      </c>
      <c r="AV63" s="4">
        <v>1949</v>
      </c>
      <c r="AW63" s="4">
        <f t="shared" si="2"/>
        <v>2240</v>
      </c>
    </row>
    <row r="64" spans="1:49" x14ac:dyDescent="0.35">
      <c r="A64" s="4">
        <f t="shared" si="0"/>
        <v>62</v>
      </c>
      <c r="B64" s="5" t="s">
        <v>123</v>
      </c>
      <c r="C64" s="4">
        <v>2720</v>
      </c>
      <c r="D64" s="4">
        <v>1560</v>
      </c>
      <c r="E64" s="4">
        <v>978</v>
      </c>
      <c r="F64" s="4">
        <f t="shared" si="5"/>
        <v>2538</v>
      </c>
      <c r="G64" s="4">
        <v>809</v>
      </c>
      <c r="H64" s="4">
        <v>1677</v>
      </c>
      <c r="I64" s="4">
        <v>52</v>
      </c>
      <c r="J64" s="4">
        <v>47</v>
      </c>
      <c r="K64" s="4">
        <v>325</v>
      </c>
      <c r="L64" s="4">
        <v>0</v>
      </c>
      <c r="M64" s="4">
        <v>246</v>
      </c>
      <c r="N64" s="4">
        <v>40</v>
      </c>
      <c r="O64" s="4">
        <v>86</v>
      </c>
      <c r="P64" s="4">
        <f t="shared" si="1"/>
        <v>0.20634920634920634</v>
      </c>
      <c r="Q64" s="4">
        <v>2016</v>
      </c>
      <c r="R64" s="4">
        <v>1603</v>
      </c>
      <c r="S64" s="4">
        <v>0</v>
      </c>
      <c r="T64" s="4">
        <v>1449</v>
      </c>
      <c r="U64" s="4">
        <v>876</v>
      </c>
      <c r="V64" s="4">
        <v>4414000</v>
      </c>
      <c r="W64" s="4">
        <v>299</v>
      </c>
      <c r="X64" s="4">
        <v>364</v>
      </c>
      <c r="Y64" s="4">
        <v>4</v>
      </c>
      <c r="Z64" s="4">
        <v>78</v>
      </c>
      <c r="AA64" s="4">
        <v>1</v>
      </c>
      <c r="AB64" s="8">
        <v>11184829</v>
      </c>
      <c r="AC64" s="8">
        <v>313247869</v>
      </c>
      <c r="AD64" s="8">
        <v>33259843</v>
      </c>
      <c r="AE64" s="8">
        <v>3644713</v>
      </c>
      <c r="AF64" s="8">
        <v>181765059</v>
      </c>
      <c r="AG64" s="8">
        <v>2865303309</v>
      </c>
      <c r="AH64" s="8">
        <v>1679537283</v>
      </c>
      <c r="AI64" s="8">
        <v>35406343</v>
      </c>
      <c r="AJ64" s="8">
        <v>147</v>
      </c>
      <c r="AK64" s="8">
        <v>28</v>
      </c>
      <c r="AL64" s="8">
        <v>120077000</v>
      </c>
      <c r="AM64" s="8">
        <v>6</v>
      </c>
      <c r="AN64" s="8">
        <v>6</v>
      </c>
      <c r="AO64" s="8">
        <v>21988322</v>
      </c>
      <c r="AP64" s="8">
        <v>7</v>
      </c>
      <c r="AQ64" s="8">
        <v>302</v>
      </c>
      <c r="AR64" s="8">
        <v>57252567</v>
      </c>
      <c r="AS64" s="4" t="s">
        <v>59</v>
      </c>
      <c r="AT64" s="4">
        <v>3.06</v>
      </c>
      <c r="AU64" s="4">
        <v>248</v>
      </c>
      <c r="AV64" s="4">
        <v>2011</v>
      </c>
      <c r="AW64" s="4">
        <f t="shared" si="2"/>
        <v>372</v>
      </c>
    </row>
    <row r="65" spans="1:49" x14ac:dyDescent="0.35">
      <c r="A65" s="4">
        <f t="shared" si="0"/>
        <v>63</v>
      </c>
      <c r="B65" s="5" t="s">
        <v>124</v>
      </c>
      <c r="C65" s="4">
        <v>4564</v>
      </c>
      <c r="D65" s="4">
        <v>1491</v>
      </c>
      <c r="E65" s="4">
        <v>2871</v>
      </c>
      <c r="F65" s="4">
        <f t="shared" si="5"/>
        <v>4362</v>
      </c>
      <c r="G65" s="4">
        <v>4345</v>
      </c>
      <c r="H65" s="4">
        <v>14</v>
      </c>
      <c r="I65" s="4">
        <v>3</v>
      </c>
      <c r="J65" s="4">
        <v>80</v>
      </c>
      <c r="K65" s="4">
        <v>543</v>
      </c>
      <c r="L65" s="4">
        <v>433</v>
      </c>
      <c r="M65" s="4">
        <v>70</v>
      </c>
      <c r="N65" s="4">
        <v>0</v>
      </c>
      <c r="O65" s="4">
        <v>120</v>
      </c>
      <c r="P65" s="4">
        <f t="shared" si="1"/>
        <v>0.14932562620423892</v>
      </c>
      <c r="Q65" s="4">
        <f>5879+225</f>
        <v>6104</v>
      </c>
      <c r="R65" s="4">
        <f>5652+147</f>
        <v>5799</v>
      </c>
      <c r="S65" s="4">
        <v>0</v>
      </c>
      <c r="T65" s="4">
        <f>118+5072</f>
        <v>5190</v>
      </c>
      <c r="U65" s="4">
        <f>956</f>
        <v>956</v>
      </c>
      <c r="V65" s="4">
        <f>618000+5568000</f>
        <v>6186000</v>
      </c>
      <c r="W65" s="4">
        <f>775</f>
        <v>775</v>
      </c>
      <c r="X65" s="4">
        <v>555</v>
      </c>
      <c r="Y65" s="4">
        <v>123</v>
      </c>
      <c r="Z65" s="4">
        <v>295</v>
      </c>
      <c r="AA65" s="4">
        <v>113</v>
      </c>
      <c r="AB65" s="8">
        <v>53415397</v>
      </c>
      <c r="AC65" s="8">
        <v>119536687</v>
      </c>
      <c r="AD65" s="8">
        <v>64000</v>
      </c>
      <c r="AE65" s="8">
        <v>130000</v>
      </c>
      <c r="AF65" s="8">
        <v>66614799</v>
      </c>
      <c r="AG65" s="8">
        <v>6434188000</v>
      </c>
      <c r="AH65" s="8">
        <v>504798245</v>
      </c>
      <c r="AI65" s="8">
        <v>14988666</v>
      </c>
      <c r="AJ65" s="8">
        <v>129</v>
      </c>
      <c r="AK65" s="8">
        <v>31</v>
      </c>
      <c r="AL65" s="8">
        <v>648847824</v>
      </c>
      <c r="AM65" s="8">
        <v>5</v>
      </c>
      <c r="AN65" s="8">
        <v>4</v>
      </c>
      <c r="AO65" s="8">
        <v>3214000</v>
      </c>
      <c r="AP65" s="8">
        <v>2</v>
      </c>
      <c r="AQ65" s="8">
        <v>100</v>
      </c>
      <c r="AR65" s="8">
        <v>80000</v>
      </c>
      <c r="AS65" s="4" t="s">
        <v>59</v>
      </c>
      <c r="AT65" s="4">
        <v>3.51</v>
      </c>
      <c r="AU65" s="4">
        <v>419</v>
      </c>
      <c r="AV65" s="4">
        <v>1969</v>
      </c>
      <c r="AW65" s="4">
        <f t="shared" si="2"/>
        <v>623</v>
      </c>
    </row>
    <row r="66" spans="1:49" x14ac:dyDescent="0.35">
      <c r="A66" s="4">
        <f t="shared" si="0"/>
        <v>64</v>
      </c>
      <c r="B66" s="5" t="s">
        <v>125</v>
      </c>
      <c r="C66" s="4">
        <v>2622</v>
      </c>
      <c r="D66" s="4">
        <v>1110</v>
      </c>
      <c r="E66" s="4">
        <v>1277</v>
      </c>
      <c r="F66" s="4">
        <f t="shared" si="5"/>
        <v>2387</v>
      </c>
      <c r="G66" s="4">
        <v>2349</v>
      </c>
      <c r="H66" s="4">
        <v>38</v>
      </c>
      <c r="I66" s="4">
        <v>0</v>
      </c>
      <c r="J66" s="4">
        <v>1244</v>
      </c>
      <c r="K66" s="4">
        <v>890</v>
      </c>
      <c r="L66" s="4">
        <v>1759</v>
      </c>
      <c r="M66" s="4">
        <v>346</v>
      </c>
      <c r="N66" s="4">
        <v>0</v>
      </c>
      <c r="O66" s="4">
        <v>29</v>
      </c>
      <c r="P66" s="4">
        <f t="shared" si="1"/>
        <v>0.38196105227195082</v>
      </c>
      <c r="Q66" s="4">
        <f>720+2651</f>
        <v>3371</v>
      </c>
      <c r="R66" s="4">
        <f>684+2476</f>
        <v>3160</v>
      </c>
      <c r="S66" s="4">
        <v>158</v>
      </c>
      <c r="T66" s="4">
        <f>2218+709</f>
        <v>2927</v>
      </c>
      <c r="U66" s="4">
        <f>888+246</f>
        <v>1134</v>
      </c>
      <c r="V66" s="4">
        <f>790000+1211500</f>
        <v>2001500</v>
      </c>
      <c r="W66" s="4">
        <f>905+213</f>
        <v>1118</v>
      </c>
      <c r="X66" s="4">
        <v>94</v>
      </c>
      <c r="Y66" s="4">
        <v>245</v>
      </c>
      <c r="Z66" s="4">
        <v>19</v>
      </c>
      <c r="AA66" s="4">
        <v>321</v>
      </c>
      <c r="AB66" s="8">
        <v>233468944</v>
      </c>
      <c r="AC66" s="8">
        <v>161052214</v>
      </c>
      <c r="AD66" s="8">
        <v>190493873</v>
      </c>
      <c r="AE66" s="8">
        <v>26329093</v>
      </c>
      <c r="AF66" s="8">
        <v>319329080</v>
      </c>
      <c r="AG66" s="8">
        <v>1354878812</v>
      </c>
      <c r="AH66" s="8">
        <v>1930185920</v>
      </c>
      <c r="AI66" s="8">
        <v>12702445</v>
      </c>
      <c r="AJ66" s="8">
        <v>17</v>
      </c>
      <c r="AK66" s="8">
        <v>13</v>
      </c>
      <c r="AL66" s="8">
        <v>23473000</v>
      </c>
      <c r="AM66" s="8">
        <v>22</v>
      </c>
      <c r="AN66" s="8">
        <v>20</v>
      </c>
      <c r="AO66" s="8">
        <v>28891592</v>
      </c>
      <c r="AP66" s="8">
        <v>20</v>
      </c>
      <c r="AQ66" s="8">
        <v>400</v>
      </c>
      <c r="AR66" s="8">
        <v>400000</v>
      </c>
      <c r="AS66" s="4" t="s">
        <v>59</v>
      </c>
      <c r="AT66" s="4">
        <v>2.73</v>
      </c>
      <c r="AU66" s="4">
        <v>177</v>
      </c>
      <c r="AV66" s="4">
        <v>1998</v>
      </c>
      <c r="AW66" s="4">
        <f t="shared" si="2"/>
        <v>2134</v>
      </c>
    </row>
    <row r="67" spans="1:49" x14ac:dyDescent="0.35">
      <c r="A67" s="4">
        <f t="shared" si="0"/>
        <v>65</v>
      </c>
      <c r="B67" s="5" t="s">
        <v>126</v>
      </c>
      <c r="C67" s="4">
        <v>4491</v>
      </c>
      <c r="D67" s="4">
        <v>1677</v>
      </c>
      <c r="E67" s="4">
        <v>2813</v>
      </c>
      <c r="F67" s="4">
        <f t="shared" si="5"/>
        <v>4490</v>
      </c>
      <c r="G67" s="4">
        <v>1414</v>
      </c>
      <c r="H67" s="4">
        <v>3018</v>
      </c>
      <c r="I67" s="4">
        <v>58</v>
      </c>
      <c r="J67" s="4">
        <v>109</v>
      </c>
      <c r="K67" s="4">
        <v>375</v>
      </c>
      <c r="L67" s="4">
        <v>32</v>
      </c>
      <c r="M67" s="4">
        <v>95</v>
      </c>
      <c r="N67" s="4">
        <v>0</v>
      </c>
      <c r="O67" s="4">
        <v>357</v>
      </c>
      <c r="P67" s="4">
        <f t="shared" si="1"/>
        <v>0.17227235438884331</v>
      </c>
      <c r="Q67" s="4">
        <f>275+2467+540</f>
        <v>3282</v>
      </c>
      <c r="R67" s="4">
        <f>2255+540+265</f>
        <v>3060</v>
      </c>
      <c r="S67" s="4">
        <v>13</v>
      </c>
      <c r="T67" s="4">
        <f>1690+242+506</f>
        <v>2438</v>
      </c>
      <c r="U67" s="4">
        <f>1464+326+88</f>
        <v>1878</v>
      </c>
      <c r="V67" s="4">
        <f>3728000+584000+2187000</f>
        <v>6499000</v>
      </c>
      <c r="W67" s="4">
        <f>109+94+217</f>
        <v>420</v>
      </c>
      <c r="X67" s="4">
        <v>131</v>
      </c>
      <c r="Y67" s="4">
        <v>147</v>
      </c>
      <c r="Z67" s="4">
        <v>26</v>
      </c>
      <c r="AA67" s="4">
        <v>38</v>
      </c>
      <c r="AB67" s="8">
        <v>78140491</v>
      </c>
      <c r="AC67" s="8">
        <v>469743354</v>
      </c>
      <c r="AD67" s="8">
        <v>0</v>
      </c>
      <c r="AE67" s="8">
        <v>0</v>
      </c>
      <c r="AF67" s="8">
        <v>181037270</v>
      </c>
      <c r="AG67" s="8">
        <v>3233059246</v>
      </c>
      <c r="AH67" s="8">
        <v>3052009811</v>
      </c>
      <c r="AI67" s="8">
        <v>13916003</v>
      </c>
      <c r="AJ67" s="8">
        <v>96</v>
      </c>
      <c r="AK67" s="8">
        <v>50</v>
      </c>
      <c r="AL67" s="8">
        <v>87488823</v>
      </c>
      <c r="AM67" s="8">
        <v>118</v>
      </c>
      <c r="AN67" s="8">
        <v>75</v>
      </c>
      <c r="AO67" s="8">
        <v>66795151</v>
      </c>
      <c r="AP67" s="4">
        <v>3</v>
      </c>
      <c r="AQ67" s="4">
        <v>28</v>
      </c>
      <c r="AR67" s="4">
        <v>568000</v>
      </c>
      <c r="AS67" s="4" t="s">
        <v>59</v>
      </c>
      <c r="AT67" s="4">
        <v>3.4</v>
      </c>
      <c r="AU67" s="4">
        <v>566</v>
      </c>
      <c r="AV67" s="4">
        <v>2008</v>
      </c>
      <c r="AW67" s="4">
        <f t="shared" si="2"/>
        <v>484</v>
      </c>
    </row>
    <row r="68" spans="1:49" x14ac:dyDescent="0.35">
      <c r="A68" s="4">
        <f t="shared" ref="A68:A102" si="6">ROW(B68)-2</f>
        <v>66</v>
      </c>
      <c r="B68" s="5" t="s">
        <v>127</v>
      </c>
      <c r="C68" s="4">
        <v>22583</v>
      </c>
      <c r="D68" s="4">
        <v>10275</v>
      </c>
      <c r="E68" s="4">
        <v>10222</v>
      </c>
      <c r="F68" s="4">
        <f t="shared" si="5"/>
        <v>20497</v>
      </c>
      <c r="G68" s="4">
        <v>7072</v>
      </c>
      <c r="H68" s="4">
        <v>13333</v>
      </c>
      <c r="I68" s="4">
        <v>92</v>
      </c>
      <c r="J68" s="4">
        <v>290</v>
      </c>
      <c r="K68" s="4">
        <v>8519</v>
      </c>
      <c r="L68" s="4">
        <v>1342</v>
      </c>
      <c r="M68" s="4">
        <v>2852</v>
      </c>
      <c r="N68" s="4">
        <v>1671</v>
      </c>
      <c r="O68" s="4">
        <v>2944</v>
      </c>
      <c r="P68" s="4">
        <f t="shared" ref="P68:P102" si="7">W68/T68</f>
        <v>0.15623503113523871</v>
      </c>
      <c r="Q68" s="4">
        <f>13904+2160</f>
        <v>16064</v>
      </c>
      <c r="R68" s="4">
        <f>11120+1829</f>
        <v>12949</v>
      </c>
      <c r="S68" s="4">
        <v>400</v>
      </c>
      <c r="T68" s="4">
        <f>1719+10807</f>
        <v>12526</v>
      </c>
      <c r="U68" s="4">
        <f>9370+1178</f>
        <v>10548</v>
      </c>
      <c r="V68" s="4">
        <f>1130000+12830000</f>
        <v>13960000</v>
      </c>
      <c r="W68" s="4">
        <v>1957</v>
      </c>
      <c r="X68" s="4">
        <v>465</v>
      </c>
      <c r="Y68" s="4">
        <v>653</v>
      </c>
      <c r="Z68" s="4">
        <v>219</v>
      </c>
      <c r="AA68" s="4">
        <v>447</v>
      </c>
      <c r="AB68" s="8">
        <v>535073205</v>
      </c>
      <c r="AC68" s="8">
        <v>3116725257</v>
      </c>
      <c r="AD68" s="8">
        <v>679016418</v>
      </c>
      <c r="AE68" s="8">
        <v>102737630</v>
      </c>
      <c r="AF68" s="8">
        <v>615211774</v>
      </c>
      <c r="AG68" s="8">
        <v>9181684370</v>
      </c>
      <c r="AH68" s="8">
        <v>1198312290</v>
      </c>
      <c r="AI68" s="8">
        <v>223029309</v>
      </c>
      <c r="AJ68" s="8">
        <v>277</v>
      </c>
      <c r="AK68" s="8">
        <v>64</v>
      </c>
      <c r="AL68" s="8">
        <v>28756689</v>
      </c>
      <c r="AM68" s="8">
        <v>1373</v>
      </c>
      <c r="AN68" s="8">
        <v>499</v>
      </c>
      <c r="AO68" s="8">
        <v>375784690</v>
      </c>
      <c r="AP68" s="8">
        <v>20</v>
      </c>
      <c r="AQ68" s="8">
        <v>2489</v>
      </c>
      <c r="AR68" s="8">
        <v>122042200</v>
      </c>
      <c r="AS68" s="4" t="s">
        <v>59</v>
      </c>
      <c r="AT68" s="4">
        <v>3.2</v>
      </c>
      <c r="AU68" s="4">
        <v>1249</v>
      </c>
      <c r="AV68" s="4">
        <v>1984</v>
      </c>
      <c r="AW68" s="4">
        <f t="shared" ref="AW68:AW102" si="8">SUM(L68:O68)</f>
        <v>8809</v>
      </c>
    </row>
    <row r="69" spans="1:49" x14ac:dyDescent="0.35">
      <c r="A69" s="4">
        <f t="shared" si="6"/>
        <v>67</v>
      </c>
      <c r="B69" s="5" t="s">
        <v>128</v>
      </c>
      <c r="C69" s="4">
        <v>26724</v>
      </c>
      <c r="D69" s="4">
        <v>13108</v>
      </c>
      <c r="E69" s="4">
        <v>12208</v>
      </c>
      <c r="F69" s="4">
        <f t="shared" si="5"/>
        <v>25316</v>
      </c>
      <c r="G69" s="4">
        <v>6633</v>
      </c>
      <c r="H69" s="4">
        <v>18362</v>
      </c>
      <c r="I69" s="4">
        <v>321</v>
      </c>
      <c r="J69" s="4">
        <v>2457</v>
      </c>
      <c r="K69" s="4">
        <v>2046</v>
      </c>
      <c r="L69" s="4">
        <v>372</v>
      </c>
      <c r="M69" s="4">
        <v>2964</v>
      </c>
      <c r="N69" s="4">
        <v>68</v>
      </c>
      <c r="O69" s="4">
        <v>1099</v>
      </c>
      <c r="P69" s="4">
        <f t="shared" si="7"/>
        <v>0.33454022188181776</v>
      </c>
      <c r="Q69" s="4">
        <f>3735+13807+8346</f>
        <v>25888</v>
      </c>
      <c r="R69" s="4">
        <f>2963+7308+12723</f>
        <v>22994</v>
      </c>
      <c r="S69" s="4">
        <v>0</v>
      </c>
      <c r="T69" s="4">
        <f>2742+11985+6816</f>
        <v>21543</v>
      </c>
      <c r="U69" s="4">
        <f>1687+5334+4338</f>
        <v>11359</v>
      </c>
      <c r="V69" s="4">
        <f>3759000+1182800+1759000</f>
        <v>6700800</v>
      </c>
      <c r="W69" s="4">
        <f>605+422+6180</f>
        <v>7207</v>
      </c>
      <c r="X69" s="4">
        <v>636</v>
      </c>
      <c r="Y69" s="4">
        <v>567</v>
      </c>
      <c r="Z69" s="4">
        <v>112</v>
      </c>
      <c r="AA69" s="4">
        <v>0</v>
      </c>
      <c r="AB69" s="8">
        <v>246945786</v>
      </c>
      <c r="AC69" s="8">
        <v>168564864</v>
      </c>
      <c r="AD69" s="8">
        <v>12420850</v>
      </c>
      <c r="AE69" s="8">
        <v>5118142</v>
      </c>
      <c r="AF69" s="8">
        <v>727182724</v>
      </c>
      <c r="AG69" s="8">
        <v>4812762018</v>
      </c>
      <c r="AH69" s="8">
        <v>1090935770</v>
      </c>
      <c r="AI69" s="8">
        <v>25766028</v>
      </c>
      <c r="AJ69" s="8">
        <v>76</v>
      </c>
      <c r="AK69" s="8">
        <v>48</v>
      </c>
      <c r="AL69" s="8">
        <v>62279172</v>
      </c>
      <c r="AM69" s="8">
        <v>266</v>
      </c>
      <c r="AN69" s="8">
        <v>195</v>
      </c>
      <c r="AO69" s="8">
        <v>82364729</v>
      </c>
      <c r="AP69" s="8">
        <v>6</v>
      </c>
      <c r="AQ69" s="8">
        <v>698</v>
      </c>
      <c r="AR69" s="8">
        <v>49593496</v>
      </c>
      <c r="AS69" s="4" t="s">
        <v>59</v>
      </c>
      <c r="AT69" s="4">
        <v>3.42</v>
      </c>
      <c r="AU69" s="4">
        <v>1484</v>
      </c>
      <c r="AV69" s="4">
        <v>1969</v>
      </c>
      <c r="AW69" s="4">
        <f t="shared" si="8"/>
        <v>4503</v>
      </c>
    </row>
    <row r="70" spans="1:49" x14ac:dyDescent="0.35">
      <c r="A70" s="4">
        <f t="shared" si="6"/>
        <v>68</v>
      </c>
      <c r="B70" s="5" t="s">
        <v>129</v>
      </c>
      <c r="C70" s="4">
        <v>21873</v>
      </c>
      <c r="D70" s="4">
        <v>11618</v>
      </c>
      <c r="E70" s="4">
        <v>8866</v>
      </c>
      <c r="F70" s="4">
        <f t="shared" si="5"/>
        <v>20484</v>
      </c>
      <c r="G70" s="4">
        <v>8447</v>
      </c>
      <c r="H70" s="4">
        <v>9855</v>
      </c>
      <c r="I70" s="4">
        <v>2182</v>
      </c>
      <c r="J70" s="4">
        <v>758</v>
      </c>
      <c r="K70" s="4">
        <v>7807</v>
      </c>
      <c r="L70" s="4">
        <v>3075</v>
      </c>
      <c r="M70" s="4">
        <v>378</v>
      </c>
      <c r="N70" s="4">
        <v>44</v>
      </c>
      <c r="O70" s="4">
        <v>5068</v>
      </c>
      <c r="P70" s="4">
        <f t="shared" si="7"/>
        <v>0.21428149896724696</v>
      </c>
      <c r="Q70" s="4">
        <f>6466+13340</f>
        <v>19806</v>
      </c>
      <c r="R70" s="4">
        <f>12310+5447</f>
        <v>17757</v>
      </c>
      <c r="S70" s="4">
        <v>191</v>
      </c>
      <c r="T70" s="4">
        <f>5277+11668</f>
        <v>16945</v>
      </c>
      <c r="U70" s="4">
        <f>7108+3968</f>
        <v>11076</v>
      </c>
      <c r="V70" s="4">
        <f>2046000+3538000</f>
        <v>5584000</v>
      </c>
      <c r="W70" s="4">
        <f>3402+229</f>
        <v>3631</v>
      </c>
      <c r="X70" s="4">
        <v>735</v>
      </c>
      <c r="Y70" s="4">
        <v>100</v>
      </c>
      <c r="Z70" s="4">
        <v>321</v>
      </c>
      <c r="AA70" s="4">
        <v>0</v>
      </c>
      <c r="AB70" s="8">
        <v>96966554</v>
      </c>
      <c r="AC70" s="8">
        <v>85836071</v>
      </c>
      <c r="AD70" s="8">
        <v>17387446</v>
      </c>
      <c r="AE70" s="8">
        <v>19342255</v>
      </c>
      <c r="AF70" s="8">
        <v>1067001624</v>
      </c>
      <c r="AG70" s="8">
        <v>4411650903</v>
      </c>
      <c r="AH70" s="8">
        <v>1021383441</v>
      </c>
      <c r="AI70" s="8">
        <v>42954225</v>
      </c>
      <c r="AJ70" s="8">
        <v>72</v>
      </c>
      <c r="AK70" s="8">
        <v>49</v>
      </c>
      <c r="AL70" s="8">
        <v>119964807</v>
      </c>
      <c r="AM70" s="8">
        <v>250</v>
      </c>
      <c r="AN70" s="8">
        <v>151</v>
      </c>
      <c r="AO70" s="8">
        <v>142259328</v>
      </c>
      <c r="AP70" s="8">
        <v>10</v>
      </c>
      <c r="AQ70" s="8">
        <v>468</v>
      </c>
      <c r="AR70" s="8">
        <v>43812500</v>
      </c>
      <c r="AS70" s="4" t="s">
        <v>59</v>
      </c>
      <c r="AT70" s="4">
        <v>3.71</v>
      </c>
      <c r="AU70" s="4">
        <v>1357</v>
      </c>
      <c r="AV70" s="4">
        <v>1990</v>
      </c>
      <c r="AW70" s="4">
        <f t="shared" si="8"/>
        <v>8565</v>
      </c>
    </row>
    <row r="71" spans="1:49" x14ac:dyDescent="0.35">
      <c r="A71" s="4">
        <f t="shared" si="6"/>
        <v>69</v>
      </c>
      <c r="B71" s="5" t="s">
        <v>130</v>
      </c>
      <c r="C71" s="4">
        <v>4301</v>
      </c>
      <c r="D71" s="4">
        <v>2024</v>
      </c>
      <c r="E71" s="4">
        <v>1557</v>
      </c>
      <c r="F71" s="4">
        <f t="shared" si="5"/>
        <v>3581</v>
      </c>
      <c r="G71" s="4">
        <v>2920</v>
      </c>
      <c r="H71" s="4">
        <v>654</v>
      </c>
      <c r="I71" s="4">
        <v>7</v>
      </c>
      <c r="J71" s="4">
        <v>896</v>
      </c>
      <c r="K71" s="4">
        <v>1622</v>
      </c>
      <c r="L71" s="4">
        <v>585</v>
      </c>
      <c r="M71" s="4">
        <v>33</v>
      </c>
      <c r="N71" s="4">
        <v>49</v>
      </c>
      <c r="O71" s="4">
        <v>1851</v>
      </c>
      <c r="P71" s="4">
        <f t="shared" si="7"/>
        <v>0.26446886446886447</v>
      </c>
      <c r="Q71" s="4">
        <v>1964</v>
      </c>
      <c r="R71" s="4">
        <v>1610</v>
      </c>
      <c r="S71" s="4">
        <v>13</v>
      </c>
      <c r="T71" s="4">
        <v>1365</v>
      </c>
      <c r="U71" s="4">
        <v>385</v>
      </c>
      <c r="V71" s="4">
        <v>2721500</v>
      </c>
      <c r="W71" s="4">
        <v>361</v>
      </c>
      <c r="X71" s="4">
        <v>796</v>
      </c>
      <c r="Y71" s="4">
        <v>109</v>
      </c>
      <c r="Z71" s="4">
        <v>164</v>
      </c>
      <c r="AA71" s="4">
        <v>62</v>
      </c>
      <c r="AB71" s="8">
        <v>50914681</v>
      </c>
      <c r="AC71" s="8">
        <v>145478372</v>
      </c>
      <c r="AD71" s="8">
        <v>10125769</v>
      </c>
      <c r="AE71" s="8">
        <v>14632870</v>
      </c>
      <c r="AF71" s="8">
        <v>126125602</v>
      </c>
      <c r="AG71" s="8">
        <v>2458805845</v>
      </c>
      <c r="AH71" s="8">
        <v>1349083081</v>
      </c>
      <c r="AI71" s="8">
        <v>10751893</v>
      </c>
      <c r="AJ71" s="8">
        <v>893</v>
      </c>
      <c r="AK71" s="8">
        <v>101</v>
      </c>
      <c r="AL71" s="8">
        <v>480733678</v>
      </c>
      <c r="AM71" s="8">
        <v>139</v>
      </c>
      <c r="AN71" s="8">
        <v>91</v>
      </c>
      <c r="AO71" s="8">
        <v>49682401</v>
      </c>
      <c r="AP71" s="8">
        <v>7</v>
      </c>
      <c r="AQ71" s="8">
        <v>87</v>
      </c>
      <c r="AR71" s="8">
        <v>6493974</v>
      </c>
      <c r="AS71" s="4" t="s">
        <v>59</v>
      </c>
      <c r="AT71" s="4">
        <v>3.41</v>
      </c>
      <c r="AU71" s="4">
        <v>293</v>
      </c>
      <c r="AV71" s="4">
        <v>1994</v>
      </c>
      <c r="AW71" s="4">
        <f t="shared" si="8"/>
        <v>2518</v>
      </c>
    </row>
    <row r="72" spans="1:49" x14ac:dyDescent="0.35">
      <c r="A72" s="4">
        <f t="shared" si="6"/>
        <v>70</v>
      </c>
      <c r="B72" s="5" t="s">
        <v>131</v>
      </c>
      <c r="C72" s="4">
        <v>2306</v>
      </c>
      <c r="D72" s="4">
        <v>475</v>
      </c>
      <c r="E72" s="4">
        <v>1689</v>
      </c>
      <c r="F72" s="4">
        <f t="shared" si="5"/>
        <v>2164</v>
      </c>
      <c r="G72" s="4">
        <v>2131</v>
      </c>
      <c r="H72" s="4">
        <v>27</v>
      </c>
      <c r="I72" s="4">
        <v>6</v>
      </c>
      <c r="J72" s="4">
        <v>267</v>
      </c>
      <c r="K72" s="4">
        <v>1608</v>
      </c>
      <c r="L72" s="4">
        <v>1540</v>
      </c>
      <c r="M72" s="4">
        <v>0</v>
      </c>
      <c r="N72" s="4">
        <v>0</v>
      </c>
      <c r="O72" s="4">
        <v>335</v>
      </c>
      <c r="P72" s="4">
        <f t="shared" si="7"/>
        <v>0.72043010752688175</v>
      </c>
      <c r="Q72" s="4">
        <f>165+3518</f>
        <v>3683</v>
      </c>
      <c r="R72" s="4">
        <f>3192+160</f>
        <v>3352</v>
      </c>
      <c r="S72" s="4">
        <v>0</v>
      </c>
      <c r="T72" s="4">
        <f>124+2201</f>
        <v>2325</v>
      </c>
      <c r="U72" s="4">
        <f>284+11</f>
        <v>295</v>
      </c>
      <c r="V72" s="4">
        <f>3796000+825000</f>
        <v>4621000</v>
      </c>
      <c r="W72" s="4">
        <f>87+1588</f>
        <v>1675</v>
      </c>
      <c r="X72" s="4">
        <v>508</v>
      </c>
      <c r="Y72" s="4">
        <v>105</v>
      </c>
      <c r="Z72" s="4">
        <v>272</v>
      </c>
      <c r="AA72" s="4">
        <v>196</v>
      </c>
      <c r="AB72" s="8">
        <v>27617412</v>
      </c>
      <c r="AC72" s="8">
        <v>13866331</v>
      </c>
      <c r="AD72" s="8">
        <v>2539060</v>
      </c>
      <c r="AE72" s="8">
        <v>0</v>
      </c>
      <c r="AF72" s="8">
        <v>128259327</v>
      </c>
      <c r="AG72" s="8">
        <v>4723503697</v>
      </c>
      <c r="AH72" s="8">
        <v>1031225655</v>
      </c>
      <c r="AI72" s="8">
        <v>12626818</v>
      </c>
      <c r="AJ72" s="8">
        <v>47</v>
      </c>
      <c r="AK72" s="8">
        <v>26</v>
      </c>
      <c r="AL72" s="8">
        <v>23038436</v>
      </c>
      <c r="AM72" s="8">
        <v>9</v>
      </c>
      <c r="AN72" s="8">
        <v>9</v>
      </c>
      <c r="AO72" s="8">
        <v>5425153</v>
      </c>
      <c r="AP72" s="8">
        <v>48</v>
      </c>
      <c r="AQ72" s="8">
        <v>1543</v>
      </c>
      <c r="AR72" s="8">
        <v>1818500</v>
      </c>
      <c r="AS72" s="4" t="s">
        <v>59</v>
      </c>
      <c r="AT72" s="4">
        <v>3.45</v>
      </c>
      <c r="AU72" s="4">
        <v>266</v>
      </c>
      <c r="AV72" s="4">
        <v>1968</v>
      </c>
      <c r="AW72" s="4">
        <f t="shared" si="8"/>
        <v>1875</v>
      </c>
    </row>
    <row r="73" spans="1:49" x14ac:dyDescent="0.35">
      <c r="A73" s="4">
        <f t="shared" si="6"/>
        <v>71</v>
      </c>
      <c r="B73" s="5" t="s">
        <v>132</v>
      </c>
      <c r="C73" s="4">
        <v>5848</v>
      </c>
      <c r="D73" s="4">
        <v>3644</v>
      </c>
      <c r="E73" s="4">
        <v>1216</v>
      </c>
      <c r="F73" s="4">
        <f t="shared" si="5"/>
        <v>4860</v>
      </c>
      <c r="G73" s="4">
        <v>2508</v>
      </c>
      <c r="H73" s="4">
        <v>2286</v>
      </c>
      <c r="I73" s="4">
        <v>66</v>
      </c>
      <c r="J73" s="4">
        <v>1029</v>
      </c>
      <c r="K73" s="4">
        <v>1347</v>
      </c>
      <c r="L73" s="4">
        <v>394</v>
      </c>
      <c r="M73" s="4">
        <v>62</v>
      </c>
      <c r="N73" s="4">
        <v>41</v>
      </c>
      <c r="O73" s="4">
        <v>1879</v>
      </c>
      <c r="P73" s="4">
        <f t="shared" si="7"/>
        <v>9.6802074330164217E-2</v>
      </c>
      <c r="Q73" s="4">
        <f>2551+2730</f>
        <v>5281</v>
      </c>
      <c r="R73" s="4">
        <f>2382+1486</f>
        <v>3868</v>
      </c>
      <c r="S73" s="4">
        <v>0</v>
      </c>
      <c r="T73" s="4">
        <f>1293+2178</f>
        <v>3471</v>
      </c>
      <c r="U73" s="4">
        <f>1523+650</f>
        <v>2173</v>
      </c>
      <c r="V73" s="4">
        <f>3291000+3260995</f>
        <v>6551995</v>
      </c>
      <c r="W73" s="4">
        <f>183+153</f>
        <v>336</v>
      </c>
      <c r="X73" s="4">
        <v>429</v>
      </c>
      <c r="Y73" s="4">
        <v>58</v>
      </c>
      <c r="Z73" s="4">
        <v>499</v>
      </c>
      <c r="AA73" s="4">
        <v>110</v>
      </c>
      <c r="AB73" s="8">
        <v>69871896</v>
      </c>
      <c r="AC73" s="8">
        <v>323534736</v>
      </c>
      <c r="AD73" s="8">
        <v>7164214</v>
      </c>
      <c r="AE73" s="8">
        <v>0</v>
      </c>
      <c r="AF73" s="8">
        <v>255264876</v>
      </c>
      <c r="AG73" s="8">
        <v>2905776037</v>
      </c>
      <c r="AH73" s="8">
        <v>789535381</v>
      </c>
      <c r="AI73" s="8">
        <v>6996261</v>
      </c>
      <c r="AJ73" s="8">
        <v>140</v>
      </c>
      <c r="AK73" s="8">
        <v>46</v>
      </c>
      <c r="AL73" s="8">
        <v>316942248</v>
      </c>
      <c r="AM73" s="8">
        <v>395</v>
      </c>
      <c r="AN73" s="8">
        <v>226</v>
      </c>
      <c r="AO73" s="8">
        <v>19367585</v>
      </c>
      <c r="AP73" s="8">
        <v>8</v>
      </c>
      <c r="AQ73" s="8">
        <v>574</v>
      </c>
      <c r="AR73" s="8">
        <v>1037351</v>
      </c>
      <c r="AS73" s="4" t="s">
        <v>59</v>
      </c>
      <c r="AT73" s="4">
        <v>3.17</v>
      </c>
      <c r="AU73" s="4">
        <v>337</v>
      </c>
      <c r="AV73" s="4">
        <v>1955</v>
      </c>
      <c r="AW73" s="4">
        <f t="shared" si="8"/>
        <v>2376</v>
      </c>
    </row>
    <row r="74" spans="1:49" x14ac:dyDescent="0.35">
      <c r="A74" s="4">
        <f t="shared" si="6"/>
        <v>72</v>
      </c>
      <c r="B74" s="5" t="s">
        <v>133</v>
      </c>
      <c r="C74" s="4">
        <v>7957</v>
      </c>
      <c r="D74" s="4">
        <v>2454</v>
      </c>
      <c r="E74" s="4">
        <v>4372</v>
      </c>
      <c r="F74" s="4">
        <f t="shared" si="5"/>
        <v>6826</v>
      </c>
      <c r="G74" s="4">
        <v>6200</v>
      </c>
      <c r="H74" s="4">
        <v>623</v>
      </c>
      <c r="I74" s="4">
        <v>3</v>
      </c>
      <c r="J74" s="4">
        <v>3441</v>
      </c>
      <c r="K74" s="4">
        <v>2046</v>
      </c>
      <c r="L74" s="4">
        <v>2793</v>
      </c>
      <c r="M74" s="4">
        <v>206</v>
      </c>
      <c r="N74" s="4">
        <v>40</v>
      </c>
      <c r="O74" s="4">
        <v>2448</v>
      </c>
      <c r="P74" s="4">
        <f t="shared" si="7"/>
        <v>0.2207035626260363</v>
      </c>
      <c r="Q74" s="4">
        <v>6505</v>
      </c>
      <c r="R74" s="4">
        <v>5241</v>
      </c>
      <c r="S74" s="4">
        <v>0</v>
      </c>
      <c r="T74" s="4">
        <v>4463</v>
      </c>
      <c r="U74" s="4">
        <v>724</v>
      </c>
      <c r="V74" s="4">
        <v>2628000</v>
      </c>
      <c r="W74" s="4">
        <v>985</v>
      </c>
      <c r="X74" s="4">
        <v>527</v>
      </c>
      <c r="Y74" s="4">
        <v>0</v>
      </c>
      <c r="Z74" s="4">
        <v>416</v>
      </c>
      <c r="AA74" s="4">
        <v>20</v>
      </c>
      <c r="AB74" s="8">
        <v>32588037</v>
      </c>
      <c r="AC74" s="8">
        <v>569872050</v>
      </c>
      <c r="AD74" s="8">
        <v>29358802</v>
      </c>
      <c r="AE74" s="8">
        <v>19433549</v>
      </c>
      <c r="AF74" s="8">
        <v>155777302</v>
      </c>
      <c r="AG74" s="8">
        <v>15293127653</v>
      </c>
      <c r="AH74" s="8">
        <v>2779133295</v>
      </c>
      <c r="AI74" s="8">
        <v>24741488</v>
      </c>
      <c r="AJ74" s="8">
        <v>1061</v>
      </c>
      <c r="AK74" s="8">
        <v>125</v>
      </c>
      <c r="AL74" s="8">
        <v>3044631472</v>
      </c>
      <c r="AM74" s="8">
        <v>17</v>
      </c>
      <c r="AN74" s="8">
        <v>17</v>
      </c>
      <c r="AO74" s="8">
        <v>15059039</v>
      </c>
      <c r="AP74" s="8">
        <v>99</v>
      </c>
      <c r="AQ74" s="8">
        <v>1925</v>
      </c>
      <c r="AR74" s="8">
        <v>4452831</v>
      </c>
      <c r="AS74" s="4" t="s">
        <v>74</v>
      </c>
      <c r="AT74" s="4" t="s">
        <v>75</v>
      </c>
      <c r="AU74" s="4">
        <v>975</v>
      </c>
      <c r="AV74" s="4">
        <v>1906</v>
      </c>
      <c r="AW74" s="4">
        <f t="shared" si="8"/>
        <v>5487</v>
      </c>
    </row>
    <row r="75" spans="1:49" ht="28" x14ac:dyDescent="0.35">
      <c r="A75" s="4">
        <f t="shared" si="6"/>
        <v>73</v>
      </c>
      <c r="B75" s="5" t="s">
        <v>134</v>
      </c>
      <c r="C75" s="4">
        <v>4062</v>
      </c>
      <c r="D75" s="4">
        <v>1834</v>
      </c>
      <c r="E75" s="4">
        <v>1956</v>
      </c>
      <c r="F75" s="4">
        <f t="shared" si="5"/>
        <v>3790</v>
      </c>
      <c r="G75" s="4">
        <v>1554</v>
      </c>
      <c r="H75" s="4">
        <v>2213</v>
      </c>
      <c r="I75" s="4">
        <v>23</v>
      </c>
      <c r="J75" s="4">
        <v>26</v>
      </c>
      <c r="K75" s="4">
        <v>909</v>
      </c>
      <c r="L75" s="4">
        <v>101</v>
      </c>
      <c r="M75" s="4">
        <v>67</v>
      </c>
      <c r="N75" s="4">
        <v>16</v>
      </c>
      <c r="O75" s="4">
        <v>751</v>
      </c>
      <c r="P75" s="4">
        <f t="shared" si="7"/>
        <v>0.14108830237862496</v>
      </c>
      <c r="Q75" s="4">
        <f>2599+1020</f>
        <v>3619</v>
      </c>
      <c r="R75" s="4">
        <f>825+2300</f>
        <v>3125</v>
      </c>
      <c r="S75" s="4">
        <v>95</v>
      </c>
      <c r="T75" s="4">
        <f>2289+780</f>
        <v>3069</v>
      </c>
      <c r="U75" s="4">
        <f>786+61</f>
        <v>847</v>
      </c>
      <c r="V75" s="4">
        <f>749000+2978000</f>
        <v>3727000</v>
      </c>
      <c r="W75" s="4">
        <f>160+273</f>
        <v>433</v>
      </c>
      <c r="X75" s="4">
        <v>257</v>
      </c>
      <c r="Y75" s="4">
        <v>0</v>
      </c>
      <c r="Z75" s="4">
        <v>148</v>
      </c>
      <c r="AA75" s="4">
        <v>0</v>
      </c>
      <c r="AB75" s="8">
        <v>20913000</v>
      </c>
      <c r="AC75" s="8">
        <v>5606600</v>
      </c>
      <c r="AD75" s="8">
        <v>1386000</v>
      </c>
      <c r="AE75" s="8">
        <v>0</v>
      </c>
      <c r="AF75" s="8">
        <v>33813000</v>
      </c>
      <c r="AG75" s="8">
        <v>649978310</v>
      </c>
      <c r="AH75" s="8">
        <v>218062000</v>
      </c>
      <c r="AI75" s="8">
        <v>2000886</v>
      </c>
      <c r="AJ75" s="8">
        <v>28</v>
      </c>
      <c r="AK75" s="8">
        <v>18</v>
      </c>
      <c r="AL75" s="8">
        <v>21331484</v>
      </c>
      <c r="AM75" s="8">
        <v>32</v>
      </c>
      <c r="AN75" s="8">
        <v>27</v>
      </c>
      <c r="AO75" s="8">
        <v>12281026</v>
      </c>
      <c r="AP75" s="8">
        <v>5</v>
      </c>
      <c r="AQ75" s="8">
        <v>49</v>
      </c>
      <c r="AR75" s="8">
        <v>5180672</v>
      </c>
      <c r="AS75" s="4" t="s">
        <v>59</v>
      </c>
      <c r="AT75" s="4">
        <v>2.92</v>
      </c>
      <c r="AU75" s="4">
        <v>265</v>
      </c>
      <c r="AV75" s="4">
        <v>2009</v>
      </c>
      <c r="AW75" s="4">
        <f t="shared" si="8"/>
        <v>935</v>
      </c>
    </row>
    <row r="76" spans="1:49" x14ac:dyDescent="0.35">
      <c r="A76" s="4">
        <f t="shared" si="6"/>
        <v>74</v>
      </c>
      <c r="B76" s="5" t="s">
        <v>135</v>
      </c>
      <c r="C76" s="4">
        <v>3922</v>
      </c>
      <c r="D76" s="4">
        <v>2103</v>
      </c>
      <c r="E76" s="4">
        <v>1366</v>
      </c>
      <c r="F76" s="4">
        <f t="shared" si="5"/>
        <v>3469</v>
      </c>
      <c r="G76" s="4">
        <v>2784</v>
      </c>
      <c r="H76" s="4">
        <v>637</v>
      </c>
      <c r="I76" s="4">
        <v>48</v>
      </c>
      <c r="J76" s="4">
        <v>74</v>
      </c>
      <c r="K76" s="4">
        <v>1052</v>
      </c>
      <c r="L76" s="4">
        <v>171</v>
      </c>
      <c r="M76" s="4">
        <v>29</v>
      </c>
      <c r="N76" s="4">
        <v>17</v>
      </c>
      <c r="O76" s="4">
        <v>909</v>
      </c>
      <c r="P76" s="4">
        <f t="shared" si="7"/>
        <v>0.18906840838776212</v>
      </c>
      <c r="Q76" s="4">
        <f>885+2873</f>
        <v>3758</v>
      </c>
      <c r="R76" s="4">
        <f>2347+966</f>
        <v>3313</v>
      </c>
      <c r="S76" s="4">
        <v>0</v>
      </c>
      <c r="T76" s="4">
        <f>2139+770</f>
        <v>2909</v>
      </c>
      <c r="U76" s="4">
        <f>368+1235</f>
        <v>1603</v>
      </c>
      <c r="V76" s="4">
        <f>6867000+2300000</f>
        <v>9167000</v>
      </c>
      <c r="W76" s="4">
        <f>362+188</f>
        <v>550</v>
      </c>
      <c r="X76" s="4">
        <v>415</v>
      </c>
      <c r="Y76" s="4">
        <v>281</v>
      </c>
      <c r="Z76" s="4">
        <v>144</v>
      </c>
      <c r="AA76" s="4">
        <v>117</v>
      </c>
      <c r="AB76" s="8">
        <v>120948579</v>
      </c>
      <c r="AC76" s="8">
        <v>26144938</v>
      </c>
      <c r="AD76" s="8">
        <v>2943543</v>
      </c>
      <c r="AE76" s="8">
        <v>524870</v>
      </c>
      <c r="AF76" s="8">
        <v>95182183</v>
      </c>
      <c r="AG76" s="8">
        <v>2327697790</v>
      </c>
      <c r="AH76" s="8">
        <v>2740934149</v>
      </c>
      <c r="AI76" s="8">
        <v>32833613</v>
      </c>
      <c r="AJ76" s="8">
        <v>180</v>
      </c>
      <c r="AK76" s="8">
        <v>66</v>
      </c>
      <c r="AL76" s="8">
        <v>115076611</v>
      </c>
      <c r="AM76" s="8">
        <v>32</v>
      </c>
      <c r="AN76" s="8">
        <v>32</v>
      </c>
      <c r="AO76" s="8">
        <v>21478000</v>
      </c>
      <c r="AP76" s="8">
        <v>21</v>
      </c>
      <c r="AQ76" s="8">
        <v>1399</v>
      </c>
      <c r="AR76" s="8">
        <v>104531000</v>
      </c>
      <c r="AS76" s="4" t="s">
        <v>59</v>
      </c>
      <c r="AT76" s="4">
        <v>3.56</v>
      </c>
      <c r="AU76" s="4">
        <v>245</v>
      </c>
      <c r="AV76" s="4">
        <v>1998</v>
      </c>
      <c r="AW76" s="4">
        <f t="shared" si="8"/>
        <v>1126</v>
      </c>
    </row>
    <row r="77" spans="1:49" x14ac:dyDescent="0.35">
      <c r="A77" s="4">
        <f t="shared" si="6"/>
        <v>75</v>
      </c>
      <c r="B77" s="5" t="s">
        <v>136</v>
      </c>
      <c r="C77" s="4">
        <v>8742</v>
      </c>
      <c r="D77" s="4">
        <v>3778</v>
      </c>
      <c r="E77" s="4">
        <v>3333</v>
      </c>
      <c r="F77" s="4">
        <f t="shared" si="5"/>
        <v>7111</v>
      </c>
      <c r="G77" s="4">
        <v>4154</v>
      </c>
      <c r="H77" s="4">
        <v>2781</v>
      </c>
      <c r="I77" s="4">
        <v>176</v>
      </c>
      <c r="J77" s="4">
        <v>3345</v>
      </c>
      <c r="K77" s="4">
        <v>2238</v>
      </c>
      <c r="L77" s="4">
        <v>268</v>
      </c>
      <c r="M77" s="4">
        <v>1846</v>
      </c>
      <c r="N77" s="4">
        <v>1273</v>
      </c>
      <c r="O77" s="4">
        <v>2196</v>
      </c>
      <c r="P77" s="4">
        <f t="shared" si="7"/>
        <v>0.16329233680227057</v>
      </c>
      <c r="Q77" s="4">
        <f>5610+1206</f>
        <v>6816</v>
      </c>
      <c r="R77" s="4">
        <f>510+617</f>
        <v>1127</v>
      </c>
      <c r="S77" s="4">
        <v>201</v>
      </c>
      <c r="T77" s="4">
        <f>515+4770</f>
        <v>5285</v>
      </c>
      <c r="U77" s="4">
        <f>3806+470</f>
        <v>4276</v>
      </c>
      <c r="V77" s="4">
        <f>1441000+2514000</f>
        <v>3955000</v>
      </c>
      <c r="W77" s="4">
        <f>841+22</f>
        <v>863</v>
      </c>
      <c r="X77" s="4">
        <v>318</v>
      </c>
      <c r="Y77" s="4">
        <v>276</v>
      </c>
      <c r="Z77" s="4">
        <v>46</v>
      </c>
      <c r="AA77" s="4">
        <v>100</v>
      </c>
      <c r="AB77" s="8">
        <v>32541105</v>
      </c>
      <c r="AC77" s="8">
        <v>60887313</v>
      </c>
      <c r="AD77" s="8">
        <v>12869783</v>
      </c>
      <c r="AE77" s="8">
        <v>9172439</v>
      </c>
      <c r="AF77" s="8">
        <v>95190037</v>
      </c>
      <c r="AG77" s="8">
        <v>1128944901</v>
      </c>
      <c r="AH77" s="8">
        <v>452961202</v>
      </c>
      <c r="AI77" s="8">
        <v>13371689</v>
      </c>
      <c r="AJ77" s="8">
        <v>739</v>
      </c>
      <c r="AK77" s="8">
        <v>641</v>
      </c>
      <c r="AL77" s="8">
        <v>199616560</v>
      </c>
      <c r="AM77" s="8">
        <v>436</v>
      </c>
      <c r="AN77" s="8">
        <v>419</v>
      </c>
      <c r="AO77" s="8">
        <v>47642450</v>
      </c>
      <c r="AP77" s="8">
        <v>14</v>
      </c>
      <c r="AQ77" s="8">
        <v>385</v>
      </c>
      <c r="AR77" s="8">
        <v>2712000</v>
      </c>
      <c r="AS77" s="4" t="s">
        <v>59</v>
      </c>
      <c r="AT77" s="4">
        <v>3.49</v>
      </c>
      <c r="AU77" s="4">
        <v>628</v>
      </c>
      <c r="AV77" s="4">
        <v>1997</v>
      </c>
      <c r="AW77" s="4">
        <f t="shared" si="8"/>
        <v>5583</v>
      </c>
    </row>
    <row r="78" spans="1:49" x14ac:dyDescent="0.35">
      <c r="A78" s="4">
        <f t="shared" si="6"/>
        <v>76</v>
      </c>
      <c r="B78" s="5" t="s">
        <v>137</v>
      </c>
      <c r="C78" s="4">
        <v>2894</v>
      </c>
      <c r="D78" s="4">
        <v>1246</v>
      </c>
      <c r="E78" s="4">
        <v>1335</v>
      </c>
      <c r="F78" s="4">
        <f t="shared" si="5"/>
        <v>2581</v>
      </c>
      <c r="G78" s="4">
        <v>2055</v>
      </c>
      <c r="H78" s="4">
        <v>516</v>
      </c>
      <c r="I78" s="4">
        <v>10</v>
      </c>
      <c r="J78" s="4">
        <v>34</v>
      </c>
      <c r="K78" s="4">
        <v>2363</v>
      </c>
      <c r="L78" s="4">
        <v>21</v>
      </c>
      <c r="M78" s="4">
        <v>27</v>
      </c>
      <c r="N78" s="4">
        <v>14</v>
      </c>
      <c r="O78" s="4">
        <v>2335</v>
      </c>
      <c r="P78" s="4">
        <f t="shared" si="7"/>
        <v>0.21568627450980393</v>
      </c>
      <c r="Q78" s="4">
        <f>3130+540</f>
        <v>3670</v>
      </c>
      <c r="R78" s="4">
        <f>234+3103</f>
        <v>3337</v>
      </c>
      <c r="S78" s="4">
        <v>107</v>
      </c>
      <c r="T78" s="4">
        <f>292+2972</f>
        <v>3264</v>
      </c>
      <c r="U78" s="4">
        <f>42+227</f>
        <v>269</v>
      </c>
      <c r="V78" s="4">
        <f>1325000+1855000</f>
        <v>3180000</v>
      </c>
      <c r="W78" s="4">
        <f>140+564</f>
        <v>704</v>
      </c>
      <c r="X78" s="4">
        <v>1178</v>
      </c>
      <c r="Y78" s="4">
        <v>0</v>
      </c>
      <c r="Z78" s="4">
        <v>257</v>
      </c>
      <c r="AA78" s="4">
        <v>0</v>
      </c>
      <c r="AB78" s="8">
        <v>45503947</v>
      </c>
      <c r="AC78" s="8">
        <v>100314631</v>
      </c>
      <c r="AD78" s="8">
        <v>725003</v>
      </c>
      <c r="AE78" s="8">
        <v>1364000</v>
      </c>
      <c r="AF78" s="8">
        <v>50419021</v>
      </c>
      <c r="AG78" s="8">
        <v>3121267080</v>
      </c>
      <c r="AH78" s="8">
        <v>64792904</v>
      </c>
      <c r="AI78" s="8">
        <v>8406330</v>
      </c>
      <c r="AJ78" s="8">
        <v>788</v>
      </c>
      <c r="AK78" s="8">
        <v>83</v>
      </c>
      <c r="AL78" s="8">
        <v>524199996</v>
      </c>
      <c r="AM78" s="8">
        <v>22</v>
      </c>
      <c r="AN78" s="8">
        <v>18</v>
      </c>
      <c r="AO78" s="8">
        <v>24300412</v>
      </c>
      <c r="AP78" s="8">
        <v>4</v>
      </c>
      <c r="AQ78" s="8">
        <v>290</v>
      </c>
      <c r="AR78" s="8">
        <v>3093000</v>
      </c>
      <c r="AS78" s="4" t="s">
        <v>59</v>
      </c>
      <c r="AT78" s="4">
        <v>3.16</v>
      </c>
      <c r="AU78" s="4">
        <v>252</v>
      </c>
      <c r="AV78" s="4">
        <v>2001</v>
      </c>
      <c r="AW78" s="4">
        <f t="shared" si="8"/>
        <v>2397</v>
      </c>
    </row>
    <row r="79" spans="1:49" ht="28" x14ac:dyDescent="0.35">
      <c r="A79" s="4">
        <f t="shared" si="6"/>
        <v>77</v>
      </c>
      <c r="B79" s="5" t="s">
        <v>138</v>
      </c>
      <c r="C79" s="4">
        <v>4888</v>
      </c>
      <c r="D79" s="4">
        <v>1908</v>
      </c>
      <c r="E79" s="4">
        <v>2520</v>
      </c>
      <c r="F79" s="4">
        <f t="shared" si="5"/>
        <v>4428</v>
      </c>
      <c r="G79" s="4">
        <v>626</v>
      </c>
      <c r="H79" s="4">
        <v>3750</v>
      </c>
      <c r="I79" s="4">
        <v>52</v>
      </c>
      <c r="J79" s="4">
        <v>241</v>
      </c>
      <c r="K79" s="4">
        <v>3260</v>
      </c>
      <c r="L79" s="4">
        <v>350</v>
      </c>
      <c r="M79" s="4">
        <v>576</v>
      </c>
      <c r="N79" s="4">
        <v>1559</v>
      </c>
      <c r="O79" s="4">
        <v>1016</v>
      </c>
      <c r="P79" s="4">
        <f t="shared" si="7"/>
        <v>0.12973186119873817</v>
      </c>
      <c r="Q79" s="4">
        <f>459+1898+680</f>
        <v>3037</v>
      </c>
      <c r="R79" s="4">
        <f>1778+593+459</f>
        <v>2830</v>
      </c>
      <c r="S79" s="4">
        <v>0</v>
      </c>
      <c r="T79" s="4">
        <f>1559+538+439</f>
        <v>2536</v>
      </c>
      <c r="U79" s="4">
        <f>1178+420+454</f>
        <v>2052</v>
      </c>
      <c r="V79" s="4">
        <f>14348000+5394000+1868000</f>
        <v>21610000</v>
      </c>
      <c r="W79" s="4">
        <f>19+226+84</f>
        <v>329</v>
      </c>
      <c r="X79" s="4">
        <v>34</v>
      </c>
      <c r="Y79" s="4">
        <v>241</v>
      </c>
      <c r="Z79" s="4">
        <v>5</v>
      </c>
      <c r="AA79" s="4">
        <v>10</v>
      </c>
      <c r="AB79" s="8">
        <v>113192839</v>
      </c>
      <c r="AC79" s="8">
        <v>383001723</v>
      </c>
      <c r="AD79" s="8">
        <v>0</v>
      </c>
      <c r="AE79" s="8">
        <v>4723340</v>
      </c>
      <c r="AF79" s="8">
        <v>267672243</v>
      </c>
      <c r="AG79" s="8">
        <v>4121820582</v>
      </c>
      <c r="AH79" s="8">
        <v>3016494233</v>
      </c>
      <c r="AI79" s="8">
        <v>75751812</v>
      </c>
      <c r="AJ79" s="8">
        <v>197</v>
      </c>
      <c r="AK79" s="8">
        <v>104</v>
      </c>
      <c r="AL79" s="8">
        <v>324250100</v>
      </c>
      <c r="AM79" s="8">
        <v>90</v>
      </c>
      <c r="AN79" s="8">
        <v>98</v>
      </c>
      <c r="AO79" s="8">
        <v>228673300</v>
      </c>
      <c r="AP79" s="8">
        <v>64</v>
      </c>
      <c r="AQ79" s="8">
        <v>461</v>
      </c>
      <c r="AR79" s="8">
        <v>80480000</v>
      </c>
      <c r="AS79" s="4" t="s">
        <v>59</v>
      </c>
      <c r="AT79" s="4">
        <v>3.58</v>
      </c>
      <c r="AU79" s="4">
        <v>522</v>
      </c>
      <c r="AV79" s="4">
        <v>2001</v>
      </c>
      <c r="AW79" s="4">
        <f t="shared" si="8"/>
        <v>3501</v>
      </c>
    </row>
    <row r="80" spans="1:49" x14ac:dyDescent="0.35">
      <c r="A80" s="4">
        <f t="shared" si="6"/>
        <v>78</v>
      </c>
      <c r="B80" s="5" t="s">
        <v>139</v>
      </c>
      <c r="C80" s="4">
        <v>11555</v>
      </c>
      <c r="D80" s="4">
        <v>5899</v>
      </c>
      <c r="E80" s="4">
        <v>4061</v>
      </c>
      <c r="F80" s="4">
        <f t="shared" si="5"/>
        <v>9960</v>
      </c>
      <c r="G80" s="4">
        <v>4548</v>
      </c>
      <c r="H80" s="4">
        <v>4744</v>
      </c>
      <c r="I80" s="4">
        <v>668</v>
      </c>
      <c r="J80" s="4">
        <v>131</v>
      </c>
      <c r="K80" s="4">
        <v>3242</v>
      </c>
      <c r="L80" s="4">
        <v>1143</v>
      </c>
      <c r="M80" s="4">
        <v>149</v>
      </c>
      <c r="N80" s="4">
        <v>0</v>
      </c>
      <c r="O80" s="4">
        <v>2081</v>
      </c>
      <c r="P80" s="4">
        <f t="shared" si="7"/>
        <v>9.5892626131953429E-2</v>
      </c>
      <c r="Q80" s="4">
        <f>6241+1490+841</f>
        <v>8572</v>
      </c>
      <c r="R80" s="4">
        <f>5135+593+1274</f>
        <v>7002</v>
      </c>
      <c r="S80" s="4">
        <f>182+42</f>
        <v>224</v>
      </c>
      <c r="T80" s="4">
        <f>4664+581+939</f>
        <v>6184</v>
      </c>
      <c r="U80" s="4">
        <f>3222+511+535</f>
        <v>4268</v>
      </c>
      <c r="V80" s="4">
        <f>4536000+4444000+1200000</f>
        <v>10180000</v>
      </c>
      <c r="W80" s="4">
        <f>349+231+13</f>
        <v>593</v>
      </c>
      <c r="X80" s="4">
        <v>192</v>
      </c>
      <c r="Y80" s="4">
        <v>272</v>
      </c>
      <c r="Z80" s="4">
        <v>36</v>
      </c>
      <c r="AA80" s="4">
        <v>49</v>
      </c>
      <c r="AB80" s="8">
        <v>56214561</v>
      </c>
      <c r="AC80" s="8">
        <v>341017548</v>
      </c>
      <c r="AD80" s="8">
        <v>11199716</v>
      </c>
      <c r="AE80" s="8">
        <v>64609</v>
      </c>
      <c r="AF80" s="8">
        <v>205343556</v>
      </c>
      <c r="AG80" s="8">
        <v>4358889952</v>
      </c>
      <c r="AH80" s="8">
        <v>3014317710</v>
      </c>
      <c r="AI80" s="8">
        <v>15624666</v>
      </c>
      <c r="AJ80" s="8">
        <v>83</v>
      </c>
      <c r="AK80" s="8">
        <v>17</v>
      </c>
      <c r="AL80" s="8">
        <v>52203304</v>
      </c>
      <c r="AM80" s="8">
        <v>350</v>
      </c>
      <c r="AN80" s="8">
        <v>206</v>
      </c>
      <c r="AO80" s="8">
        <v>46930576</v>
      </c>
      <c r="AP80" s="4">
        <v>3</v>
      </c>
      <c r="AQ80" s="4">
        <v>11</v>
      </c>
      <c r="AR80" s="4">
        <v>816500</v>
      </c>
      <c r="AS80" s="4" t="s">
        <v>59</v>
      </c>
      <c r="AT80" s="4">
        <v>3.53</v>
      </c>
      <c r="AU80" s="4">
        <v>902</v>
      </c>
      <c r="AV80" s="4">
        <v>1993</v>
      </c>
      <c r="AW80" s="4">
        <f t="shared" si="8"/>
        <v>3373</v>
      </c>
    </row>
    <row r="81" spans="1:49" x14ac:dyDescent="0.35">
      <c r="A81" s="4">
        <f t="shared" si="6"/>
        <v>79</v>
      </c>
      <c r="B81" s="5" t="s">
        <v>140</v>
      </c>
      <c r="C81" s="4">
        <v>4805</v>
      </c>
      <c r="D81" s="4">
        <v>2141</v>
      </c>
      <c r="E81" s="4">
        <v>1786</v>
      </c>
      <c r="F81" s="4">
        <f t="shared" si="5"/>
        <v>3927</v>
      </c>
      <c r="G81" s="4">
        <v>3164</v>
      </c>
      <c r="H81" s="4">
        <v>760</v>
      </c>
      <c r="I81" s="4">
        <v>3</v>
      </c>
      <c r="J81" s="4">
        <v>273</v>
      </c>
      <c r="K81" s="4">
        <v>1519</v>
      </c>
      <c r="L81" s="4">
        <v>924</v>
      </c>
      <c r="M81" s="4">
        <v>0</v>
      </c>
      <c r="N81" s="4">
        <v>0</v>
      </c>
      <c r="O81" s="4">
        <v>860</v>
      </c>
      <c r="P81" s="4">
        <f t="shared" si="7"/>
        <v>0.28315789473684211</v>
      </c>
      <c r="Q81" s="4">
        <f>264+2457+1244</f>
        <v>3965</v>
      </c>
      <c r="R81" s="4">
        <f>2474+1096</f>
        <v>3570</v>
      </c>
      <c r="S81" s="4">
        <v>111</v>
      </c>
      <c r="T81" s="4">
        <f>1995+855</f>
        <v>2850</v>
      </c>
      <c r="U81" s="4">
        <f>542+1376</f>
        <v>1918</v>
      </c>
      <c r="V81" s="4">
        <f>2880000+1555000</f>
        <v>4435000</v>
      </c>
      <c r="W81" s="4">
        <f>559+248</f>
        <v>807</v>
      </c>
      <c r="X81" s="4">
        <v>491</v>
      </c>
      <c r="Y81" s="4">
        <v>0</v>
      </c>
      <c r="Z81" s="4">
        <v>306</v>
      </c>
      <c r="AA81" s="4">
        <v>0</v>
      </c>
      <c r="AB81" s="8">
        <v>7931749</v>
      </c>
      <c r="AC81" s="8">
        <v>71395137</v>
      </c>
      <c r="AD81" s="8">
        <v>9789350</v>
      </c>
      <c r="AE81" s="8">
        <v>6172771</v>
      </c>
      <c r="AF81" s="8">
        <v>439891479</v>
      </c>
      <c r="AG81" s="8">
        <v>4145385152</v>
      </c>
      <c r="AH81" s="8">
        <v>4005297417</v>
      </c>
      <c r="AI81" s="8">
        <v>33081060</v>
      </c>
      <c r="AJ81" s="8">
        <v>383</v>
      </c>
      <c r="AK81" s="8">
        <v>131</v>
      </c>
      <c r="AL81" s="8">
        <v>1179473045</v>
      </c>
      <c r="AM81" s="8">
        <v>790</v>
      </c>
      <c r="AN81" s="8">
        <v>133</v>
      </c>
      <c r="AO81" s="8">
        <v>580715186</v>
      </c>
      <c r="AP81" s="8">
        <v>7</v>
      </c>
      <c r="AQ81" s="8">
        <v>211</v>
      </c>
      <c r="AR81" s="8">
        <v>3659114</v>
      </c>
      <c r="AS81" s="4" t="s">
        <v>74</v>
      </c>
      <c r="AT81" s="4" t="s">
        <v>75</v>
      </c>
      <c r="AU81" s="4">
        <v>372</v>
      </c>
      <c r="AV81" s="4">
        <v>1960</v>
      </c>
      <c r="AW81" s="4">
        <f t="shared" si="8"/>
        <v>1784</v>
      </c>
    </row>
    <row r="82" spans="1:49" x14ac:dyDescent="0.35">
      <c r="A82" s="4">
        <f t="shared" si="6"/>
        <v>80</v>
      </c>
      <c r="B82" s="5" t="s">
        <v>141</v>
      </c>
      <c r="C82" s="4">
        <v>4711</v>
      </c>
      <c r="D82" s="4">
        <v>1477</v>
      </c>
      <c r="E82" s="4">
        <v>2394</v>
      </c>
      <c r="F82" s="4">
        <f t="shared" si="5"/>
        <v>3871</v>
      </c>
      <c r="G82" s="4">
        <v>3251</v>
      </c>
      <c r="H82" s="4">
        <v>612</v>
      </c>
      <c r="I82" s="4">
        <v>8</v>
      </c>
      <c r="J82" s="4">
        <v>149</v>
      </c>
      <c r="K82" s="4">
        <v>3104</v>
      </c>
      <c r="L82" s="4">
        <v>2951</v>
      </c>
      <c r="M82" s="4">
        <v>0</v>
      </c>
      <c r="N82" s="4">
        <v>0</v>
      </c>
      <c r="O82" s="4">
        <v>302</v>
      </c>
      <c r="P82" s="4">
        <f t="shared" si="7"/>
        <v>7.1462488129154803E-2</v>
      </c>
      <c r="Q82" s="4">
        <f>4451+1020</f>
        <v>5471</v>
      </c>
      <c r="R82" s="4">
        <f>4145+705</f>
        <v>4850</v>
      </c>
      <c r="S82" s="4">
        <v>93</v>
      </c>
      <c r="T82" s="4">
        <f>3728+484</f>
        <v>4212</v>
      </c>
      <c r="U82" s="4">
        <f>62+69</f>
        <v>131</v>
      </c>
      <c r="V82" s="4">
        <f>1160000+921500</f>
        <v>2081500</v>
      </c>
      <c r="W82" s="4">
        <f>93+208</f>
        <v>301</v>
      </c>
      <c r="X82" s="4">
        <v>548</v>
      </c>
      <c r="Y82" s="4">
        <v>0</v>
      </c>
      <c r="Z82" s="4">
        <v>418</v>
      </c>
      <c r="AA82" s="4">
        <v>0</v>
      </c>
      <c r="AB82" s="8">
        <v>14200219</v>
      </c>
      <c r="AC82" s="8">
        <v>22466993</v>
      </c>
      <c r="AD82" s="8">
        <v>0</v>
      </c>
      <c r="AE82" s="8">
        <v>0</v>
      </c>
      <c r="AF82" s="8">
        <v>220548899</v>
      </c>
      <c r="AG82" s="8">
        <v>5609628216</v>
      </c>
      <c r="AH82" s="8">
        <v>504966666</v>
      </c>
      <c r="AI82" s="8">
        <v>15428876</v>
      </c>
      <c r="AJ82" s="8">
        <v>120</v>
      </c>
      <c r="AK82" s="8">
        <v>56</v>
      </c>
      <c r="AL82" s="8">
        <v>380171944</v>
      </c>
      <c r="AM82" s="8">
        <v>6</v>
      </c>
      <c r="AN82" s="8">
        <v>6</v>
      </c>
      <c r="AO82" s="8">
        <v>4348880</v>
      </c>
      <c r="AP82" s="8">
        <v>3</v>
      </c>
      <c r="AQ82" s="8">
        <v>62</v>
      </c>
      <c r="AR82" s="8">
        <v>1100000</v>
      </c>
      <c r="AS82" s="4" t="s">
        <v>59</v>
      </c>
      <c r="AT82" s="4">
        <v>3.2</v>
      </c>
      <c r="AU82" s="4">
        <v>282</v>
      </c>
      <c r="AV82" s="4">
        <v>1973</v>
      </c>
      <c r="AW82" s="4">
        <f t="shared" si="8"/>
        <v>3253</v>
      </c>
    </row>
    <row r="83" spans="1:49" ht="28" x14ac:dyDescent="0.35">
      <c r="A83" s="4">
        <f t="shared" si="6"/>
        <v>81</v>
      </c>
      <c r="B83" s="5" t="s">
        <v>142</v>
      </c>
      <c r="C83" s="4">
        <v>7020</v>
      </c>
      <c r="D83" s="4">
        <v>0</v>
      </c>
      <c r="E83" s="4">
        <v>6873</v>
      </c>
      <c r="F83" s="4">
        <f t="shared" si="5"/>
        <v>6873</v>
      </c>
      <c r="G83" s="4">
        <v>5325</v>
      </c>
      <c r="H83" s="4">
        <v>1533</v>
      </c>
      <c r="I83" s="4">
        <v>15</v>
      </c>
      <c r="J83" s="4">
        <v>473</v>
      </c>
      <c r="K83" s="4">
        <v>3557</v>
      </c>
      <c r="L83" s="4">
        <v>1637</v>
      </c>
      <c r="M83" s="4">
        <v>1687</v>
      </c>
      <c r="N83" s="4">
        <v>230</v>
      </c>
      <c r="O83" s="4">
        <v>476</v>
      </c>
      <c r="P83" s="4">
        <f t="shared" si="7"/>
        <v>0.31528619528619528</v>
      </c>
      <c r="Q83" s="4">
        <f>4115+3250</f>
        <v>7365</v>
      </c>
      <c r="R83" s="4">
        <f>2877+4962</f>
        <v>7839</v>
      </c>
      <c r="S83" s="4">
        <v>7</v>
      </c>
      <c r="T83" s="4">
        <f>2714+4711</f>
        <v>7425</v>
      </c>
      <c r="U83" s="4">
        <f>1142+1116</f>
        <v>2258</v>
      </c>
      <c r="V83" s="4">
        <f>845000+3343000</f>
        <v>4188000</v>
      </c>
      <c r="W83" s="4">
        <f>478+1863</f>
        <v>2341</v>
      </c>
      <c r="X83" s="4">
        <v>317</v>
      </c>
      <c r="Y83" s="4">
        <v>323</v>
      </c>
      <c r="Z83" s="4">
        <v>103</v>
      </c>
      <c r="AA83" s="4">
        <v>81</v>
      </c>
      <c r="AB83" s="8">
        <v>38619977</v>
      </c>
      <c r="AC83" s="8">
        <v>54743857</v>
      </c>
      <c r="AD83" s="8">
        <v>10213129</v>
      </c>
      <c r="AE83" s="8">
        <v>4349898</v>
      </c>
      <c r="AF83" s="8">
        <v>87646778</v>
      </c>
      <c r="AG83" s="8">
        <v>0</v>
      </c>
      <c r="AH83" s="8">
        <v>2582310783</v>
      </c>
      <c r="AI83" s="8">
        <v>463117277</v>
      </c>
      <c r="AJ83" s="8">
        <v>142</v>
      </c>
      <c r="AK83" s="8">
        <v>34</v>
      </c>
      <c r="AL83" s="8">
        <v>164921365</v>
      </c>
      <c r="AM83" s="8">
        <v>48</v>
      </c>
      <c r="AN83" s="8">
        <v>216</v>
      </c>
      <c r="AO83" s="8">
        <v>30803959</v>
      </c>
      <c r="AP83" s="8">
        <v>19</v>
      </c>
      <c r="AQ83" s="8">
        <v>239</v>
      </c>
      <c r="AR83" s="8">
        <v>5761779</v>
      </c>
      <c r="AS83" s="4" t="s">
        <v>59</v>
      </c>
      <c r="AT83" s="4">
        <v>3.65</v>
      </c>
      <c r="AU83" s="4">
        <v>490</v>
      </c>
      <c r="AV83" s="4">
        <v>1988</v>
      </c>
      <c r="AW83" s="4">
        <f t="shared" si="8"/>
        <v>4030</v>
      </c>
    </row>
    <row r="84" spans="1:49" x14ac:dyDescent="0.35">
      <c r="A84" s="4">
        <f t="shared" si="6"/>
        <v>82</v>
      </c>
      <c r="B84" s="5" t="s">
        <v>143</v>
      </c>
      <c r="C84" s="4">
        <v>2563</v>
      </c>
      <c r="D84" s="4">
        <v>1038</v>
      </c>
      <c r="E84" s="4">
        <v>1427</v>
      </c>
      <c r="F84" s="4">
        <f t="shared" si="5"/>
        <v>2465</v>
      </c>
      <c r="G84" s="4">
        <v>1449</v>
      </c>
      <c r="H84" s="4">
        <v>802</v>
      </c>
      <c r="I84" s="4">
        <v>214</v>
      </c>
      <c r="J84" s="4">
        <v>129</v>
      </c>
      <c r="K84" s="4">
        <v>195</v>
      </c>
      <c r="L84" s="4">
        <v>0</v>
      </c>
      <c r="M84" s="4">
        <v>36</v>
      </c>
      <c r="N84" s="4">
        <v>257</v>
      </c>
      <c r="O84" s="4">
        <v>31</v>
      </c>
      <c r="P84" s="4">
        <f t="shared" si="7"/>
        <v>0.18175937904269082</v>
      </c>
      <c r="Q84" s="4">
        <f>1036+285+433</f>
        <v>1754</v>
      </c>
      <c r="R84" s="4">
        <f>1008+367+266</f>
        <v>1641</v>
      </c>
      <c r="S84" s="4">
        <v>0</v>
      </c>
      <c r="T84" s="4">
        <f>936+357+253</f>
        <v>1546</v>
      </c>
      <c r="U84" s="4">
        <f>76+863+326</f>
        <v>1265</v>
      </c>
      <c r="V84" s="4">
        <f>6705000+6425000+870000</f>
        <v>14000000</v>
      </c>
      <c r="W84" s="4">
        <f>73+177+31</f>
        <v>281</v>
      </c>
      <c r="X84" s="4">
        <v>119</v>
      </c>
      <c r="Y84" s="4">
        <v>144</v>
      </c>
      <c r="Z84" s="4">
        <v>26</v>
      </c>
      <c r="AA84" s="4">
        <v>52</v>
      </c>
      <c r="AB84" s="8">
        <v>144173913</v>
      </c>
      <c r="AC84" s="8">
        <v>247022559</v>
      </c>
      <c r="AD84" s="8">
        <v>22451267</v>
      </c>
      <c r="AE84" s="8">
        <v>5809770</v>
      </c>
      <c r="AF84" s="8">
        <v>220719615</v>
      </c>
      <c r="AG84" s="8">
        <v>2437431405</v>
      </c>
      <c r="AH84" s="8">
        <v>2268213169</v>
      </c>
      <c r="AI84" s="8">
        <v>20076009</v>
      </c>
      <c r="AJ84" s="8">
        <v>613</v>
      </c>
      <c r="AK84" s="8">
        <v>56</v>
      </c>
      <c r="AL84" s="8">
        <v>87083544</v>
      </c>
      <c r="AM84" s="8">
        <v>1305</v>
      </c>
      <c r="AN84" s="8">
        <v>1095</v>
      </c>
      <c r="AO84" s="8">
        <v>233023926</v>
      </c>
      <c r="AP84" s="4">
        <v>0</v>
      </c>
      <c r="AQ84" s="4">
        <v>0</v>
      </c>
      <c r="AR84" s="4">
        <v>0</v>
      </c>
      <c r="AS84" s="4" t="s">
        <v>59</v>
      </c>
      <c r="AT84" s="4">
        <v>3.71</v>
      </c>
      <c r="AU84" s="4">
        <v>245</v>
      </c>
      <c r="AV84" s="4">
        <v>2005</v>
      </c>
      <c r="AW84" s="4">
        <f t="shared" si="8"/>
        <v>324</v>
      </c>
    </row>
    <row r="85" spans="1:49" x14ac:dyDescent="0.35">
      <c r="A85" s="4">
        <f t="shared" si="6"/>
        <v>83</v>
      </c>
      <c r="B85" s="5" t="s">
        <v>144</v>
      </c>
      <c r="C85" s="4">
        <v>2827</v>
      </c>
      <c r="D85" s="4">
        <v>922</v>
      </c>
      <c r="E85" s="4">
        <v>1697</v>
      </c>
      <c r="F85" s="4">
        <f t="shared" si="5"/>
        <v>2619</v>
      </c>
      <c r="G85" s="4">
        <v>2582</v>
      </c>
      <c r="H85" s="4">
        <v>37</v>
      </c>
      <c r="I85" s="4">
        <v>0</v>
      </c>
      <c r="J85" s="4">
        <v>141</v>
      </c>
      <c r="K85" s="4">
        <v>2458</v>
      </c>
      <c r="L85" s="4">
        <v>1648</v>
      </c>
      <c r="M85" s="4">
        <v>130</v>
      </c>
      <c r="N85" s="4">
        <v>2</v>
      </c>
      <c r="O85" s="4">
        <v>819</v>
      </c>
      <c r="P85" s="4">
        <f t="shared" si="7"/>
        <v>0.16161616161616163</v>
      </c>
      <c r="Q85" s="4">
        <f>2790</f>
        <v>2790</v>
      </c>
      <c r="R85" s="4">
        <v>2238</v>
      </c>
      <c r="S85" s="4">
        <v>0</v>
      </c>
      <c r="T85" s="4">
        <v>2178</v>
      </c>
      <c r="U85" s="4">
        <v>1271</v>
      </c>
      <c r="V85" s="4">
        <v>1212000</v>
      </c>
      <c r="W85" s="4">
        <v>352</v>
      </c>
      <c r="X85" s="4">
        <v>306</v>
      </c>
      <c r="Y85" s="4">
        <v>172</v>
      </c>
      <c r="Z85" s="4">
        <v>147</v>
      </c>
      <c r="AA85" s="4">
        <v>85</v>
      </c>
      <c r="AB85" s="8">
        <v>4123032</v>
      </c>
      <c r="AC85" s="8">
        <v>104719569</v>
      </c>
      <c r="AD85" s="8">
        <v>6718922</v>
      </c>
      <c r="AE85" s="8">
        <v>707133</v>
      </c>
      <c r="AF85" s="8">
        <v>44473043</v>
      </c>
      <c r="AG85" s="8">
        <v>1349479162</v>
      </c>
      <c r="AH85" s="8">
        <v>1431637676</v>
      </c>
      <c r="AI85" s="8">
        <v>9036176</v>
      </c>
      <c r="AJ85" s="8">
        <v>42</v>
      </c>
      <c r="AK85" s="8">
        <v>19</v>
      </c>
      <c r="AL85" s="8">
        <v>57228106</v>
      </c>
      <c r="AM85" s="8">
        <v>6</v>
      </c>
      <c r="AN85" s="8">
        <v>6</v>
      </c>
      <c r="AO85" s="8">
        <v>811585</v>
      </c>
      <c r="AP85" s="8">
        <v>50</v>
      </c>
      <c r="AQ85" s="8">
        <v>2063</v>
      </c>
      <c r="AR85" s="8">
        <v>6792000</v>
      </c>
      <c r="AS85" s="4" t="s">
        <v>59</v>
      </c>
      <c r="AT85" s="4">
        <v>3.13</v>
      </c>
      <c r="AU85" s="4">
        <v>221</v>
      </c>
      <c r="AV85" s="4">
        <v>1990</v>
      </c>
      <c r="AW85" s="4">
        <f t="shared" si="8"/>
        <v>2599</v>
      </c>
    </row>
    <row r="86" spans="1:49" x14ac:dyDescent="0.35">
      <c r="A86" s="4">
        <f t="shared" si="6"/>
        <v>84</v>
      </c>
      <c r="B86" s="5" t="s">
        <v>145</v>
      </c>
      <c r="C86" s="4">
        <v>1827</v>
      </c>
      <c r="D86" s="4">
        <v>1512</v>
      </c>
      <c r="E86" s="4">
        <v>372</v>
      </c>
      <c r="F86" s="4">
        <f t="shared" si="5"/>
        <v>1884</v>
      </c>
      <c r="G86" s="4">
        <v>339</v>
      </c>
      <c r="H86" s="4">
        <v>1407</v>
      </c>
      <c r="I86" s="4">
        <v>138</v>
      </c>
      <c r="J86" s="4">
        <v>0</v>
      </c>
      <c r="K86" s="4">
        <v>55</v>
      </c>
      <c r="L86" s="4">
        <v>6</v>
      </c>
      <c r="M86" s="4">
        <v>37</v>
      </c>
      <c r="N86" s="4">
        <v>12</v>
      </c>
      <c r="O86" s="4">
        <v>0</v>
      </c>
      <c r="P86" s="4">
        <f t="shared" si="7"/>
        <v>3.8952745849297574E-2</v>
      </c>
      <c r="Q86" s="4">
        <f>1081+530</f>
        <v>1611</v>
      </c>
      <c r="R86" s="4">
        <f>727+501</f>
        <v>1228</v>
      </c>
      <c r="S86" s="4">
        <v>50</v>
      </c>
      <c r="T86" s="4">
        <f>639+927</f>
        <v>1566</v>
      </c>
      <c r="U86" s="4">
        <f>593+400</f>
        <v>993</v>
      </c>
      <c r="V86" s="4">
        <f>15487000+5665000</f>
        <v>21152000</v>
      </c>
      <c r="W86" s="4">
        <f>35+26</f>
        <v>61</v>
      </c>
      <c r="X86" s="4">
        <v>106</v>
      </c>
      <c r="Y86" s="4">
        <v>53</v>
      </c>
      <c r="Z86" s="4">
        <v>35</v>
      </c>
      <c r="AA86" s="4">
        <v>16</v>
      </c>
      <c r="AB86" s="8">
        <v>32205754</v>
      </c>
      <c r="AC86" s="8">
        <v>154027928</v>
      </c>
      <c r="AD86" s="8">
        <v>3621517</v>
      </c>
      <c r="AE86" s="8">
        <v>38062530</v>
      </c>
      <c r="AF86" s="8">
        <v>68896878</v>
      </c>
      <c r="AG86" s="8">
        <v>1075931915</v>
      </c>
      <c r="AH86" s="8">
        <v>567614443</v>
      </c>
      <c r="AI86" s="8">
        <v>9938889</v>
      </c>
      <c r="AJ86" s="8">
        <v>285</v>
      </c>
      <c r="AK86" s="8">
        <v>130</v>
      </c>
      <c r="AL86" s="8">
        <v>607417247</v>
      </c>
      <c r="AM86" s="8">
        <v>35</v>
      </c>
      <c r="AN86" s="8">
        <v>35</v>
      </c>
      <c r="AO86" s="8">
        <v>12379377</v>
      </c>
      <c r="AP86" s="8">
        <v>23</v>
      </c>
      <c r="AQ86" s="8">
        <v>2227</v>
      </c>
      <c r="AR86" s="8">
        <v>164449497</v>
      </c>
      <c r="AS86" s="4" t="s">
        <v>59</v>
      </c>
      <c r="AT86" s="4">
        <v>3.05</v>
      </c>
      <c r="AU86" s="4">
        <v>121</v>
      </c>
      <c r="AV86" s="4">
        <v>1998</v>
      </c>
      <c r="AW86" s="4">
        <f t="shared" si="8"/>
        <v>55</v>
      </c>
    </row>
    <row r="87" spans="1:49" x14ac:dyDescent="0.35">
      <c r="A87" s="4">
        <f t="shared" si="6"/>
        <v>85</v>
      </c>
      <c r="B87" s="5" t="s">
        <v>146</v>
      </c>
      <c r="C87" s="4">
        <v>5329</v>
      </c>
      <c r="D87" s="4">
        <v>2345</v>
      </c>
      <c r="E87" s="4">
        <v>2836</v>
      </c>
      <c r="F87" s="4">
        <f t="shared" si="5"/>
        <v>5181</v>
      </c>
      <c r="G87" s="4">
        <v>1111</v>
      </c>
      <c r="H87" s="4">
        <v>4062</v>
      </c>
      <c r="I87" s="4">
        <v>8</v>
      </c>
      <c r="J87" s="4">
        <v>490</v>
      </c>
      <c r="K87" s="4">
        <v>4392</v>
      </c>
      <c r="L87" s="4">
        <v>4</v>
      </c>
      <c r="M87" s="4">
        <v>204</v>
      </c>
      <c r="N87" s="4">
        <v>4</v>
      </c>
      <c r="O87" s="4">
        <v>4670</v>
      </c>
      <c r="P87" s="4">
        <f t="shared" si="7"/>
        <v>0.10572947430596574</v>
      </c>
      <c r="Q87" s="4">
        <f>1092+325+981</f>
        <v>2398</v>
      </c>
      <c r="R87" s="4">
        <f>993+867+307</f>
        <v>2167</v>
      </c>
      <c r="S87" s="4">
        <v>0</v>
      </c>
      <c r="T87" s="4">
        <f>759+746+188</f>
        <v>1693</v>
      </c>
      <c r="U87" s="4">
        <f>174+616+626</f>
        <v>1416</v>
      </c>
      <c r="V87" s="4">
        <f>5420000+4716000+450000</f>
        <v>10586000</v>
      </c>
      <c r="W87" s="4">
        <f>63+116</f>
        <v>179</v>
      </c>
      <c r="X87" s="4">
        <v>101</v>
      </c>
      <c r="Y87" s="4">
        <v>37</v>
      </c>
      <c r="Z87" s="4">
        <v>19</v>
      </c>
      <c r="AA87" s="4">
        <v>10</v>
      </c>
      <c r="AB87" s="8">
        <v>40609307</v>
      </c>
      <c r="AC87" s="8">
        <v>10659808</v>
      </c>
      <c r="AD87" s="8">
        <v>0</v>
      </c>
      <c r="AE87" s="8">
        <v>868348</v>
      </c>
      <c r="AF87" s="8">
        <v>322976959</v>
      </c>
      <c r="AG87" s="8">
        <v>2693174228</v>
      </c>
      <c r="AH87" s="8">
        <v>2107487990</v>
      </c>
      <c r="AI87" s="8">
        <v>9383792</v>
      </c>
      <c r="AJ87" s="8">
        <v>113</v>
      </c>
      <c r="AK87" s="8">
        <v>47</v>
      </c>
      <c r="AL87" s="8">
        <v>329983257</v>
      </c>
      <c r="AM87" s="8">
        <v>643</v>
      </c>
      <c r="AN87" s="8">
        <v>157</v>
      </c>
      <c r="AO87" s="8">
        <v>81076040</v>
      </c>
      <c r="AP87" s="8">
        <v>77</v>
      </c>
      <c r="AQ87" s="8">
        <v>1847</v>
      </c>
      <c r="AR87" s="8">
        <v>29706133</v>
      </c>
      <c r="AS87" s="4" t="s">
        <v>59</v>
      </c>
      <c r="AT87" s="4">
        <v>3.47</v>
      </c>
      <c r="AU87" s="4">
        <v>556</v>
      </c>
      <c r="AV87" s="4">
        <v>2008</v>
      </c>
      <c r="AW87" s="4">
        <f t="shared" si="8"/>
        <v>4882</v>
      </c>
    </row>
    <row r="88" spans="1:49" x14ac:dyDescent="0.35">
      <c r="A88" s="4">
        <f t="shared" si="6"/>
        <v>86</v>
      </c>
      <c r="B88" s="5" t="s">
        <v>147</v>
      </c>
      <c r="C88" s="4">
        <v>5812</v>
      </c>
      <c r="D88" s="4">
        <v>2176</v>
      </c>
      <c r="E88" s="4">
        <v>3224</v>
      </c>
      <c r="F88" s="4">
        <f t="shared" si="5"/>
        <v>5400</v>
      </c>
      <c r="G88" s="4">
        <v>5365</v>
      </c>
      <c r="H88" s="4">
        <v>35</v>
      </c>
      <c r="I88" s="4">
        <v>0</v>
      </c>
      <c r="J88" s="4">
        <v>2175</v>
      </c>
      <c r="K88" s="4">
        <v>2677</v>
      </c>
      <c r="L88" s="4">
        <v>4084</v>
      </c>
      <c r="M88" s="4">
        <v>545</v>
      </c>
      <c r="N88" s="4">
        <v>9</v>
      </c>
      <c r="O88" s="4">
        <v>214</v>
      </c>
      <c r="P88" s="4">
        <f t="shared" si="7"/>
        <v>0.37355502771179733</v>
      </c>
      <c r="Q88" s="4">
        <f>7486+424</f>
        <v>7910</v>
      </c>
      <c r="R88" s="4">
        <f>6161+391</f>
        <v>6552</v>
      </c>
      <c r="S88" s="4">
        <v>0</v>
      </c>
      <c r="T88" s="4">
        <f>5970+345</f>
        <v>6315</v>
      </c>
      <c r="U88" s="4">
        <f>145+3536</f>
        <v>3681</v>
      </c>
      <c r="V88" s="4">
        <f>1026000+704000</f>
        <v>1730000</v>
      </c>
      <c r="W88" s="4">
        <f>2284+75</f>
        <v>2359</v>
      </c>
      <c r="X88" s="4">
        <v>650</v>
      </c>
      <c r="Y88" s="4">
        <v>82</v>
      </c>
      <c r="Z88" s="4">
        <v>404</v>
      </c>
      <c r="AA88" s="4">
        <v>0</v>
      </c>
      <c r="AB88" s="8">
        <v>10568281</v>
      </c>
      <c r="AC88" s="8">
        <v>109676382</v>
      </c>
      <c r="AD88" s="8">
        <v>15745611</v>
      </c>
      <c r="AE88" s="8">
        <v>1442698</v>
      </c>
      <c r="AF88" s="8">
        <v>234070990</v>
      </c>
      <c r="AG88" s="8">
        <v>3488050914</v>
      </c>
      <c r="AH88" s="8">
        <v>615235518</v>
      </c>
      <c r="AI88" s="8">
        <v>6454250</v>
      </c>
      <c r="AJ88" s="8">
        <v>244</v>
      </c>
      <c r="AK88" s="8">
        <v>46</v>
      </c>
      <c r="AL88" s="8">
        <v>183066842</v>
      </c>
      <c r="AM88" s="8">
        <v>23</v>
      </c>
      <c r="AN88" s="8">
        <v>335</v>
      </c>
      <c r="AO88" s="8">
        <v>15490314</v>
      </c>
      <c r="AP88" s="8">
        <v>10</v>
      </c>
      <c r="AQ88" s="8">
        <v>365</v>
      </c>
      <c r="AR88" s="8">
        <v>659660</v>
      </c>
      <c r="AS88" s="4" t="s">
        <v>59</v>
      </c>
      <c r="AT88" s="4">
        <v>3.11</v>
      </c>
      <c r="AU88" s="4">
        <v>233</v>
      </c>
      <c r="AV88" s="4">
        <v>1960</v>
      </c>
      <c r="AW88" s="4">
        <f t="shared" si="8"/>
        <v>4852</v>
      </c>
    </row>
    <row r="89" spans="1:49" x14ac:dyDescent="0.35">
      <c r="A89" s="4">
        <f t="shared" si="6"/>
        <v>87</v>
      </c>
      <c r="B89" s="5" t="s">
        <v>148</v>
      </c>
      <c r="C89" s="4">
        <v>13097</v>
      </c>
      <c r="D89" s="4">
        <v>6796</v>
      </c>
      <c r="E89" s="4">
        <v>5268</v>
      </c>
      <c r="F89" s="4">
        <f t="shared" si="5"/>
        <v>12064</v>
      </c>
      <c r="G89" s="4">
        <v>4078</v>
      </c>
      <c r="H89" s="4">
        <v>6574</v>
      </c>
      <c r="I89" s="4">
        <v>1412</v>
      </c>
      <c r="J89" s="4">
        <v>6318</v>
      </c>
      <c r="K89" s="4">
        <v>2757</v>
      </c>
      <c r="L89" s="4">
        <v>96</v>
      </c>
      <c r="M89" s="4">
        <v>45</v>
      </c>
      <c r="N89" s="4">
        <v>0</v>
      </c>
      <c r="O89" s="4">
        <v>8934</v>
      </c>
      <c r="P89" s="4">
        <f t="shared" si="7"/>
        <v>0.13012947114329604</v>
      </c>
      <c r="Q89" s="4">
        <f>4300+7579+338</f>
        <v>12217</v>
      </c>
      <c r="R89" s="4">
        <f>6148+283+3250</f>
        <v>9681</v>
      </c>
      <c r="S89" s="4">
        <v>152</v>
      </c>
      <c r="T89" s="4">
        <f>2978+5875+261</f>
        <v>9114</v>
      </c>
      <c r="U89" s="4">
        <f>176+3301+852</f>
        <v>4329</v>
      </c>
      <c r="V89" s="4">
        <f>833000+3795000+2379000</f>
        <v>7007000</v>
      </c>
      <c r="W89" s="4">
        <f>600+586</f>
        <v>1186</v>
      </c>
      <c r="X89" s="4">
        <v>503</v>
      </c>
      <c r="Y89" s="4">
        <v>635</v>
      </c>
      <c r="Z89" s="4">
        <v>40</v>
      </c>
      <c r="AA89" s="4">
        <v>41</v>
      </c>
      <c r="AB89" s="8">
        <v>132478343</v>
      </c>
      <c r="AC89" s="8">
        <v>253335363</v>
      </c>
      <c r="AD89" s="8">
        <v>25459742</v>
      </c>
      <c r="AE89" s="8">
        <v>1941108</v>
      </c>
      <c r="AF89" s="8">
        <v>167972945</v>
      </c>
      <c r="AG89" s="8">
        <v>3364096330</v>
      </c>
      <c r="AH89" s="8">
        <v>1598716017</v>
      </c>
      <c r="AI89" s="8">
        <v>2476000</v>
      </c>
      <c r="AJ89" s="8">
        <v>122</v>
      </c>
      <c r="AK89" s="8">
        <v>69</v>
      </c>
      <c r="AL89" s="8">
        <v>40856959</v>
      </c>
      <c r="AM89" s="8">
        <v>52</v>
      </c>
      <c r="AN89" s="8">
        <v>10471</v>
      </c>
      <c r="AO89" s="8">
        <v>23858173</v>
      </c>
      <c r="AP89" s="4">
        <v>0</v>
      </c>
      <c r="AQ89" s="4">
        <v>0</v>
      </c>
      <c r="AR89" s="4">
        <v>0</v>
      </c>
      <c r="AS89" s="4" t="s">
        <v>59</v>
      </c>
      <c r="AT89" s="4">
        <v>3.27</v>
      </c>
      <c r="AU89" s="4">
        <v>927</v>
      </c>
      <c r="AV89" s="4">
        <v>1996</v>
      </c>
      <c r="AW89" s="4">
        <f t="shared" si="8"/>
        <v>9075</v>
      </c>
    </row>
    <row r="90" spans="1:49" x14ac:dyDescent="0.35">
      <c r="A90" s="4">
        <f t="shared" si="6"/>
        <v>88</v>
      </c>
      <c r="B90" s="5" t="s">
        <v>149</v>
      </c>
      <c r="C90" s="4">
        <v>5608</v>
      </c>
      <c r="D90" s="4">
        <v>5564</v>
      </c>
      <c r="E90" s="4">
        <v>8119</v>
      </c>
      <c r="F90" s="4">
        <f t="shared" si="5"/>
        <v>13683</v>
      </c>
      <c r="G90" s="4">
        <v>13356</v>
      </c>
      <c r="H90" s="4">
        <v>318</v>
      </c>
      <c r="I90" s="4">
        <v>9</v>
      </c>
      <c r="J90" s="4">
        <v>1580</v>
      </c>
      <c r="K90" s="4">
        <v>6135</v>
      </c>
      <c r="L90" s="4">
        <v>5301</v>
      </c>
      <c r="M90" s="4">
        <v>235</v>
      </c>
      <c r="N90" s="4">
        <v>37</v>
      </c>
      <c r="O90" s="4">
        <v>2142</v>
      </c>
      <c r="P90" s="4">
        <f t="shared" si="7"/>
        <v>0.42352428031404477</v>
      </c>
      <c r="Q90" s="4">
        <f>360+6600+288</f>
        <v>7248</v>
      </c>
      <c r="R90" s="4">
        <f>6608+288+360</f>
        <v>7256</v>
      </c>
      <c r="S90" s="4">
        <v>39</v>
      </c>
      <c r="T90" s="4">
        <f>6272+263+343</f>
        <v>6878</v>
      </c>
      <c r="U90" s="4">
        <f>131+1354+139</f>
        <v>1624</v>
      </c>
      <c r="V90" s="4">
        <f>3387000+5421500+990000</f>
        <v>9798500</v>
      </c>
      <c r="W90" s="4">
        <f>2691+157+65</f>
        <v>2913</v>
      </c>
      <c r="X90" s="4">
        <v>323</v>
      </c>
      <c r="Y90" s="4">
        <v>15</v>
      </c>
      <c r="Z90" s="4">
        <v>998</v>
      </c>
      <c r="AA90" s="4">
        <v>312</v>
      </c>
      <c r="AB90" s="8">
        <v>93951665</v>
      </c>
      <c r="AC90" s="8">
        <v>448787701</v>
      </c>
      <c r="AD90" s="8">
        <v>107056675</v>
      </c>
      <c r="AE90" s="8">
        <v>2077000</v>
      </c>
      <c r="AF90" s="8">
        <v>941672021</v>
      </c>
      <c r="AG90" s="8">
        <v>6527602717</v>
      </c>
      <c r="AH90" s="8">
        <v>1544533280</v>
      </c>
      <c r="AI90" s="8">
        <v>27158980</v>
      </c>
      <c r="AJ90" s="8">
        <v>313</v>
      </c>
      <c r="AK90" s="8">
        <v>87</v>
      </c>
      <c r="AL90" s="8">
        <v>691571524</v>
      </c>
      <c r="AM90" s="8">
        <v>281</v>
      </c>
      <c r="AN90" s="8">
        <v>281</v>
      </c>
      <c r="AO90" s="8">
        <v>88722402</v>
      </c>
      <c r="AP90" s="8">
        <v>63</v>
      </c>
      <c r="AQ90" s="8">
        <v>3436</v>
      </c>
      <c r="AR90" s="8">
        <v>3018965</v>
      </c>
      <c r="AS90" s="4" t="s">
        <v>59</v>
      </c>
      <c r="AT90" s="4">
        <v>3.04</v>
      </c>
      <c r="AU90" s="4">
        <v>429</v>
      </c>
      <c r="AV90" s="4">
        <v>1948</v>
      </c>
      <c r="AW90" s="4">
        <f t="shared" si="8"/>
        <v>7715</v>
      </c>
    </row>
    <row r="91" spans="1:49" x14ac:dyDescent="0.35">
      <c r="A91" s="4">
        <f t="shared" si="6"/>
        <v>89</v>
      </c>
      <c r="B91" s="5" t="s">
        <v>150</v>
      </c>
      <c r="C91" s="4">
        <v>2183</v>
      </c>
      <c r="D91" s="4">
        <v>811</v>
      </c>
      <c r="E91" s="4">
        <v>1090</v>
      </c>
      <c r="F91" s="4">
        <f t="shared" si="5"/>
        <v>1901</v>
      </c>
      <c r="G91" s="4">
        <v>657</v>
      </c>
      <c r="H91" s="4">
        <v>1231</v>
      </c>
      <c r="I91" s="4">
        <v>13</v>
      </c>
      <c r="J91" s="4">
        <v>93</v>
      </c>
      <c r="K91" s="4">
        <v>1071</v>
      </c>
      <c r="L91" s="4">
        <v>195</v>
      </c>
      <c r="M91" s="4">
        <v>242</v>
      </c>
      <c r="N91" s="4">
        <v>4</v>
      </c>
      <c r="O91" s="4">
        <v>723</v>
      </c>
      <c r="P91" s="4">
        <f t="shared" si="7"/>
        <v>0.14451928965094918</v>
      </c>
      <c r="Q91" s="4">
        <f>1614+450</f>
        <v>2064</v>
      </c>
      <c r="R91" s="4">
        <f>1361+423</f>
        <v>1784</v>
      </c>
      <c r="S91" s="4">
        <v>0</v>
      </c>
      <c r="T91" s="4">
        <f>378+1255</f>
        <v>1633</v>
      </c>
      <c r="U91" s="4">
        <f>367+68</f>
        <v>435</v>
      </c>
      <c r="V91" s="4">
        <f>1966000+1178000</f>
        <v>3144000</v>
      </c>
      <c r="W91" s="4">
        <v>236</v>
      </c>
      <c r="X91" s="4">
        <v>312</v>
      </c>
      <c r="Y91" s="4">
        <v>37</v>
      </c>
      <c r="Z91" s="4">
        <v>48</v>
      </c>
      <c r="AA91" s="4">
        <v>0</v>
      </c>
      <c r="AB91" s="8">
        <v>37661826</v>
      </c>
      <c r="AC91" s="8">
        <v>114357783</v>
      </c>
      <c r="AD91" s="8">
        <v>0</v>
      </c>
      <c r="AE91" s="8">
        <v>1466983</v>
      </c>
      <c r="AF91" s="8">
        <v>107090774</v>
      </c>
      <c r="AG91" s="8">
        <v>1030148197</v>
      </c>
      <c r="AH91" s="8">
        <v>382345113</v>
      </c>
      <c r="AI91" s="8">
        <v>1586692</v>
      </c>
      <c r="AJ91" s="8">
        <v>1030148197</v>
      </c>
      <c r="AK91" s="8">
        <v>382345113</v>
      </c>
      <c r="AL91" s="8">
        <v>1586692</v>
      </c>
      <c r="AM91" s="8">
        <v>6</v>
      </c>
      <c r="AN91" s="8">
        <v>4</v>
      </c>
      <c r="AO91" s="8">
        <v>1997964</v>
      </c>
      <c r="AP91" s="8">
        <v>7</v>
      </c>
      <c r="AQ91" s="8">
        <v>101</v>
      </c>
      <c r="AR91" s="8">
        <v>1201891</v>
      </c>
      <c r="AS91" s="4" t="s">
        <v>59</v>
      </c>
      <c r="AT91" s="4">
        <v>2.78</v>
      </c>
      <c r="AU91" s="4">
        <v>166</v>
      </c>
      <c r="AV91" s="4">
        <v>2009</v>
      </c>
      <c r="AW91" s="4">
        <f t="shared" si="8"/>
        <v>1164</v>
      </c>
    </row>
    <row r="92" spans="1:49" x14ac:dyDescent="0.35">
      <c r="A92" s="4">
        <f t="shared" si="6"/>
        <v>90</v>
      </c>
      <c r="B92" s="5" t="s">
        <v>151</v>
      </c>
      <c r="C92" s="4">
        <v>4289</v>
      </c>
      <c r="D92" s="4">
        <v>2159</v>
      </c>
      <c r="E92" s="4">
        <v>2130</v>
      </c>
      <c r="F92" s="4">
        <f t="shared" si="5"/>
        <v>4289</v>
      </c>
      <c r="G92" s="4">
        <v>3789</v>
      </c>
      <c r="H92" s="4">
        <v>495</v>
      </c>
      <c r="I92" s="4">
        <v>5</v>
      </c>
      <c r="J92" s="4">
        <v>6</v>
      </c>
      <c r="K92" s="4">
        <v>3727</v>
      </c>
      <c r="L92" s="4">
        <v>3120</v>
      </c>
      <c r="M92" s="4">
        <v>53</v>
      </c>
      <c r="N92" s="4">
        <v>0</v>
      </c>
      <c r="O92" s="4">
        <v>560</v>
      </c>
      <c r="P92" s="4">
        <f t="shared" si="7"/>
        <v>0.30570129415879677</v>
      </c>
      <c r="Q92" s="4">
        <v>3721</v>
      </c>
      <c r="R92" s="4">
        <v>3347</v>
      </c>
      <c r="S92" s="4">
        <v>62</v>
      </c>
      <c r="T92" s="4">
        <v>2859</v>
      </c>
      <c r="U92" s="4">
        <v>133</v>
      </c>
      <c r="V92" s="4">
        <v>10300000</v>
      </c>
      <c r="W92" s="4">
        <v>874</v>
      </c>
      <c r="X92" s="4">
        <v>321</v>
      </c>
      <c r="Y92" s="4">
        <v>5</v>
      </c>
      <c r="Z92" s="4">
        <v>332</v>
      </c>
      <c r="AA92" s="4">
        <v>7</v>
      </c>
      <c r="AB92" s="8">
        <v>12209000</v>
      </c>
      <c r="AC92" s="8">
        <v>308666000</v>
      </c>
      <c r="AD92" s="8">
        <v>0</v>
      </c>
      <c r="AE92" s="8">
        <v>0</v>
      </c>
      <c r="AF92" s="8">
        <v>343042000</v>
      </c>
      <c r="AG92" s="8">
        <v>5202175000</v>
      </c>
      <c r="AH92" s="8">
        <v>1618102000</v>
      </c>
      <c r="AI92" s="8">
        <v>23083000</v>
      </c>
      <c r="AJ92" s="8">
        <v>573</v>
      </c>
      <c r="AK92" s="8">
        <v>72</v>
      </c>
      <c r="AL92" s="8">
        <v>2131777197</v>
      </c>
      <c r="AM92" s="8">
        <v>1056</v>
      </c>
      <c r="AN92" s="8">
        <v>143</v>
      </c>
      <c r="AO92" s="8">
        <v>339306830</v>
      </c>
      <c r="AP92" s="8">
        <v>1056</v>
      </c>
      <c r="AQ92" s="8">
        <v>143</v>
      </c>
      <c r="AR92" s="8">
        <v>339306830</v>
      </c>
      <c r="AS92" s="4" t="s">
        <v>74</v>
      </c>
      <c r="AT92" s="4" t="s">
        <v>75</v>
      </c>
      <c r="AU92" s="4">
        <v>490</v>
      </c>
      <c r="AV92" s="4">
        <v>1964</v>
      </c>
      <c r="AW92" s="4">
        <f t="shared" si="8"/>
        <v>3733</v>
      </c>
    </row>
    <row r="93" spans="1:49" x14ac:dyDescent="0.35">
      <c r="A93" s="4">
        <f t="shared" si="6"/>
        <v>91</v>
      </c>
      <c r="B93" s="5" t="s">
        <v>152</v>
      </c>
      <c r="C93" s="4">
        <v>27947</v>
      </c>
      <c r="D93" s="4">
        <v>12257</v>
      </c>
      <c r="E93" s="4">
        <v>9721</v>
      </c>
      <c r="F93" s="4">
        <f t="shared" si="5"/>
        <v>21978</v>
      </c>
      <c r="G93" s="4">
        <v>13030</v>
      </c>
      <c r="H93" s="4">
        <v>8889</v>
      </c>
      <c r="I93" s="4">
        <v>59</v>
      </c>
      <c r="J93" s="4">
        <v>3155</v>
      </c>
      <c r="K93" s="4">
        <v>4764</v>
      </c>
      <c r="L93" s="4">
        <v>1287</v>
      </c>
      <c r="M93" s="4">
        <v>1268</v>
      </c>
      <c r="N93" s="4">
        <v>707</v>
      </c>
      <c r="O93" s="4">
        <v>4657</v>
      </c>
      <c r="P93" s="4">
        <f t="shared" si="7"/>
        <v>0.22498048399687745</v>
      </c>
      <c r="Q93" s="4">
        <f>13928+9143+1660</f>
        <v>24731</v>
      </c>
      <c r="R93" s="4">
        <f>1012+12106+8291</f>
        <v>21409</v>
      </c>
      <c r="S93" s="4">
        <f>26+365+18+214</f>
        <v>623</v>
      </c>
      <c r="T93" s="4">
        <f>1111+11291+6813</f>
        <v>19215</v>
      </c>
      <c r="U93" s="4">
        <f>1641+7203+876</f>
        <v>9720</v>
      </c>
      <c r="V93" s="4">
        <f>1955000+5369000+1140000</f>
        <v>8464000</v>
      </c>
      <c r="W93" s="4">
        <f>2400+1877+46</f>
        <v>4323</v>
      </c>
      <c r="X93" s="4">
        <v>903</v>
      </c>
      <c r="Y93" s="4">
        <v>0</v>
      </c>
      <c r="Z93" s="4">
        <v>190</v>
      </c>
      <c r="AA93" s="4">
        <v>0</v>
      </c>
      <c r="AB93" s="8">
        <v>166744932</v>
      </c>
      <c r="AC93" s="8">
        <v>1323634749</v>
      </c>
      <c r="AD93" s="8">
        <v>19923441</v>
      </c>
      <c r="AE93" s="8">
        <v>0</v>
      </c>
      <c r="AF93" s="8">
        <v>720911264</v>
      </c>
      <c r="AG93" s="8">
        <v>9730474307</v>
      </c>
      <c r="AH93" s="8">
        <v>9475001583</v>
      </c>
      <c r="AI93" s="8">
        <v>54768480</v>
      </c>
      <c r="AJ93" s="8">
        <v>340</v>
      </c>
      <c r="AK93" s="8">
        <v>206</v>
      </c>
      <c r="AL93" s="8">
        <v>438610870</v>
      </c>
      <c r="AM93" s="8">
        <v>340</v>
      </c>
      <c r="AN93" s="8">
        <v>206</v>
      </c>
      <c r="AO93" s="8">
        <v>438610870</v>
      </c>
      <c r="AP93" s="8">
        <v>505</v>
      </c>
      <c r="AQ93" s="8">
        <v>353</v>
      </c>
      <c r="AR93" s="8">
        <v>145466854</v>
      </c>
      <c r="AS93" s="4" t="s">
        <v>59</v>
      </c>
      <c r="AT93" s="4">
        <v>3.53</v>
      </c>
      <c r="AU93" s="4">
        <v>1805</v>
      </c>
      <c r="AV93" s="4">
        <v>1964</v>
      </c>
      <c r="AW93" s="4">
        <f t="shared" si="8"/>
        <v>7919</v>
      </c>
    </row>
    <row r="94" spans="1:49" x14ac:dyDescent="0.35">
      <c r="A94" s="4">
        <f t="shared" si="6"/>
        <v>92</v>
      </c>
      <c r="B94" s="5" t="s">
        <v>153</v>
      </c>
      <c r="C94" s="4">
        <v>11080</v>
      </c>
      <c r="D94" s="4">
        <v>5141</v>
      </c>
      <c r="E94" s="4">
        <v>5406</v>
      </c>
      <c r="F94" s="4">
        <f t="shared" si="5"/>
        <v>10547</v>
      </c>
      <c r="G94" s="4">
        <v>6424</v>
      </c>
      <c r="H94" s="4">
        <v>4056</v>
      </c>
      <c r="I94" s="4">
        <v>67</v>
      </c>
      <c r="J94" s="4">
        <v>3723</v>
      </c>
      <c r="K94" s="4">
        <v>3740</v>
      </c>
      <c r="L94" s="4">
        <v>2468</v>
      </c>
      <c r="M94" s="4">
        <v>2934</v>
      </c>
      <c r="N94" s="4">
        <v>58</v>
      </c>
      <c r="O94" s="4">
        <v>2003</v>
      </c>
      <c r="P94" s="4">
        <f t="shared" si="7"/>
        <v>0.17975567190226877</v>
      </c>
      <c r="Q94" s="4">
        <f>4404+3180</f>
        <v>7584</v>
      </c>
      <c r="R94" s="4">
        <f>3837+3090</f>
        <v>6927</v>
      </c>
      <c r="S94" s="4">
        <v>28</v>
      </c>
      <c r="T94" s="4">
        <f>3499+2804</f>
        <v>6303</v>
      </c>
      <c r="U94" s="4">
        <f>2697+1886</f>
        <v>4583</v>
      </c>
      <c r="V94" s="4">
        <f>1350000+6956000</f>
        <v>8306000</v>
      </c>
      <c r="W94" s="4">
        <f>685+448</f>
        <v>1133</v>
      </c>
      <c r="X94" s="4">
        <v>407</v>
      </c>
      <c r="Y94" s="4">
        <v>182</v>
      </c>
      <c r="Z94" s="4">
        <v>115</v>
      </c>
      <c r="AA94" s="4">
        <v>210</v>
      </c>
      <c r="AB94" s="8">
        <v>115803192</v>
      </c>
      <c r="AC94" s="8">
        <v>527449216</v>
      </c>
      <c r="AD94" s="8">
        <v>232814751</v>
      </c>
      <c r="AE94" s="8">
        <v>5293686</v>
      </c>
      <c r="AF94" s="8">
        <v>330155828</v>
      </c>
      <c r="AG94" s="8">
        <v>2424242263</v>
      </c>
      <c r="AH94" s="8">
        <v>1922528443</v>
      </c>
      <c r="AI94" s="8">
        <v>90927274</v>
      </c>
      <c r="AJ94" s="8">
        <v>157</v>
      </c>
      <c r="AK94" s="8">
        <v>97</v>
      </c>
      <c r="AL94" s="8">
        <v>386765045</v>
      </c>
      <c r="AM94" s="8">
        <v>235</v>
      </c>
      <c r="AN94" s="8">
        <v>118</v>
      </c>
      <c r="AO94" s="8">
        <v>49776029</v>
      </c>
      <c r="AP94" s="8">
        <v>60</v>
      </c>
      <c r="AQ94" s="8">
        <v>3158</v>
      </c>
      <c r="AR94" s="8">
        <v>28309974</v>
      </c>
      <c r="AS94" s="4" t="s">
        <v>59</v>
      </c>
      <c r="AT94" s="4">
        <v>3.48</v>
      </c>
      <c r="AU94" s="4">
        <v>1176</v>
      </c>
      <c r="AV94" s="4">
        <v>2003</v>
      </c>
      <c r="AW94" s="4">
        <f t="shared" si="8"/>
        <v>7463</v>
      </c>
    </row>
    <row r="95" spans="1:49" x14ac:dyDescent="0.35">
      <c r="A95" s="4">
        <f t="shared" si="6"/>
        <v>93</v>
      </c>
      <c r="B95" s="5" t="s">
        <v>154</v>
      </c>
      <c r="C95" s="4">
        <v>4383</v>
      </c>
      <c r="D95" s="4">
        <v>2091</v>
      </c>
      <c r="E95" s="4">
        <v>2292</v>
      </c>
      <c r="F95" s="4">
        <f t="shared" si="5"/>
        <v>4383</v>
      </c>
      <c r="G95" s="4">
        <v>4340</v>
      </c>
      <c r="H95" s="4">
        <v>42</v>
      </c>
      <c r="I95" s="4">
        <v>1</v>
      </c>
      <c r="J95" s="4">
        <v>724</v>
      </c>
      <c r="K95" s="4">
        <v>1727</v>
      </c>
      <c r="L95" s="4">
        <v>0</v>
      </c>
      <c r="M95" s="4">
        <v>2412</v>
      </c>
      <c r="N95" s="4">
        <v>0</v>
      </c>
      <c r="O95" s="4">
        <v>39</v>
      </c>
      <c r="P95" s="4">
        <f t="shared" si="7"/>
        <v>0.18586935821748238</v>
      </c>
      <c r="Q95" s="4">
        <f>5049+494</f>
        <v>5543</v>
      </c>
      <c r="R95" s="4">
        <f>5049+476</f>
        <v>5525</v>
      </c>
      <c r="S95" s="4">
        <v>0</v>
      </c>
      <c r="T95" s="4">
        <f>4808+443</f>
        <v>5251</v>
      </c>
      <c r="U95" s="4">
        <f>214+1821</f>
        <v>2035</v>
      </c>
      <c r="V95" s="4">
        <f>2094000+1422000</f>
        <v>3516000</v>
      </c>
      <c r="W95" s="4">
        <f>935+41</f>
        <v>976</v>
      </c>
      <c r="X95" s="4">
        <v>263</v>
      </c>
      <c r="Y95" s="4">
        <v>0</v>
      </c>
      <c r="Z95" s="4">
        <v>512</v>
      </c>
      <c r="AA95" s="4">
        <v>50</v>
      </c>
      <c r="AB95" s="8">
        <v>54602258</v>
      </c>
      <c r="AC95" s="8">
        <v>36966974</v>
      </c>
      <c r="AD95" s="8">
        <v>59346329</v>
      </c>
      <c r="AE95" s="8">
        <v>0</v>
      </c>
      <c r="AF95" s="8">
        <v>90010065</v>
      </c>
      <c r="AG95" s="8">
        <v>2784026650</v>
      </c>
      <c r="AH95" s="8">
        <v>410505041</v>
      </c>
      <c r="AI95" s="8">
        <v>40982640</v>
      </c>
      <c r="AJ95" s="8">
        <v>95</v>
      </c>
      <c r="AK95" s="8">
        <v>29</v>
      </c>
      <c r="AL95" s="8">
        <v>48539938</v>
      </c>
      <c r="AM95" s="8">
        <v>95</v>
      </c>
      <c r="AN95" s="8">
        <v>29</v>
      </c>
      <c r="AO95" s="8">
        <v>48539938</v>
      </c>
      <c r="AP95" s="8">
        <v>65</v>
      </c>
      <c r="AQ95" s="8">
        <v>2519</v>
      </c>
      <c r="AR95" s="8">
        <v>9111327</v>
      </c>
      <c r="AS95" s="4" t="s">
        <v>59</v>
      </c>
      <c r="AT95" s="4">
        <v>3.53</v>
      </c>
      <c r="AU95" s="4">
        <v>227</v>
      </c>
      <c r="AV95" s="4">
        <v>1943</v>
      </c>
      <c r="AW95" s="4">
        <f t="shared" si="8"/>
        <v>2451</v>
      </c>
    </row>
    <row r="96" spans="1:49" x14ac:dyDescent="0.35">
      <c r="A96" s="4">
        <f t="shared" si="6"/>
        <v>94</v>
      </c>
      <c r="B96" s="5" t="s">
        <v>155</v>
      </c>
      <c r="C96" s="4">
        <v>5262</v>
      </c>
      <c r="D96" s="4">
        <v>2626</v>
      </c>
      <c r="E96" s="4">
        <v>2430</v>
      </c>
      <c r="F96" s="4">
        <f t="shared" si="5"/>
        <v>5056</v>
      </c>
      <c r="G96" s="4">
        <v>2016</v>
      </c>
      <c r="H96" s="4">
        <v>2989</v>
      </c>
      <c r="I96" s="4">
        <v>51</v>
      </c>
      <c r="J96" s="4">
        <v>0</v>
      </c>
      <c r="K96" s="4">
        <v>1532</v>
      </c>
      <c r="L96" s="4">
        <v>0</v>
      </c>
      <c r="M96" s="4">
        <v>131</v>
      </c>
      <c r="N96" s="4">
        <v>0</v>
      </c>
      <c r="O96" s="4">
        <v>1401</v>
      </c>
      <c r="P96" s="4">
        <f t="shared" si="7"/>
        <v>0.4125027038719446</v>
      </c>
      <c r="Q96" s="4">
        <f>2110+3569+30</f>
        <v>5709</v>
      </c>
      <c r="R96" s="4">
        <f>26+3244+2114</f>
        <v>5384</v>
      </c>
      <c r="S96" s="4">
        <v>24</v>
      </c>
      <c r="T96" s="4">
        <f>2953+1645+25</f>
        <v>4623</v>
      </c>
      <c r="U96" s="4">
        <f>1818+16+550</f>
        <v>2384</v>
      </c>
      <c r="V96" s="4">
        <f>813000+4091000+1328000</f>
        <v>6232000</v>
      </c>
      <c r="W96" s="4">
        <f>991+916</f>
        <v>1907</v>
      </c>
      <c r="X96" s="4">
        <v>230</v>
      </c>
      <c r="Y96" s="4">
        <v>382</v>
      </c>
      <c r="Z96" s="4">
        <v>64</v>
      </c>
      <c r="AA96" s="4">
        <v>46</v>
      </c>
      <c r="AB96" s="8">
        <v>8676794</v>
      </c>
      <c r="AC96" s="8">
        <v>22251801</v>
      </c>
      <c r="AD96" s="8">
        <v>24376115</v>
      </c>
      <c r="AE96" s="8">
        <v>0</v>
      </c>
      <c r="AF96" s="8">
        <v>159240574</v>
      </c>
      <c r="AG96" s="8">
        <v>1511229290</v>
      </c>
      <c r="AH96" s="8">
        <v>290326517</v>
      </c>
      <c r="AI96" s="8">
        <v>567055</v>
      </c>
      <c r="AJ96" s="8">
        <v>102</v>
      </c>
      <c r="AK96" s="8">
        <v>26</v>
      </c>
      <c r="AL96" s="8">
        <v>100631653</v>
      </c>
      <c r="AM96" s="8">
        <v>46</v>
      </c>
      <c r="AN96" s="8">
        <v>37</v>
      </c>
      <c r="AO96" s="8">
        <v>10784220</v>
      </c>
      <c r="AP96" s="8">
        <v>22</v>
      </c>
      <c r="AQ96" s="8">
        <v>1627</v>
      </c>
      <c r="AR96" s="8">
        <v>3794000</v>
      </c>
      <c r="AS96" s="4" t="s">
        <v>59</v>
      </c>
      <c r="AT96" s="4">
        <v>3.07</v>
      </c>
      <c r="AU96" s="4">
        <v>377</v>
      </c>
      <c r="AV96" s="4">
        <v>2010</v>
      </c>
      <c r="AW96" s="4">
        <f t="shared" si="8"/>
        <v>1532</v>
      </c>
    </row>
    <row r="97" spans="1:49" x14ac:dyDescent="0.35">
      <c r="A97" s="4">
        <f t="shared" si="6"/>
        <v>95</v>
      </c>
      <c r="B97" s="5" t="s">
        <v>156</v>
      </c>
      <c r="C97" s="4">
        <v>6809</v>
      </c>
      <c r="D97" s="4">
        <v>5710</v>
      </c>
      <c r="E97" s="4">
        <v>957</v>
      </c>
      <c r="F97" s="4">
        <f t="shared" si="5"/>
        <v>6667</v>
      </c>
      <c r="G97" s="4">
        <v>5306</v>
      </c>
      <c r="H97" s="4">
        <v>1181</v>
      </c>
      <c r="I97" s="4">
        <v>180</v>
      </c>
      <c r="J97" s="4">
        <v>496</v>
      </c>
      <c r="K97" s="4">
        <v>3093</v>
      </c>
      <c r="L97" s="4">
        <v>20</v>
      </c>
      <c r="M97" s="4">
        <v>572</v>
      </c>
      <c r="N97" s="4">
        <v>0</v>
      </c>
      <c r="O97" s="4">
        <v>2997</v>
      </c>
      <c r="P97" s="4">
        <f t="shared" si="7"/>
        <v>9.5545513234344737E-2</v>
      </c>
      <c r="Q97" s="4">
        <f>703+2904</f>
        <v>3607</v>
      </c>
      <c r="R97" s="4">
        <f>2855+531</f>
        <v>3386</v>
      </c>
      <c r="S97" s="4">
        <v>0</v>
      </c>
      <c r="T97" s="4">
        <f>2619+479</f>
        <v>3098</v>
      </c>
      <c r="U97" s="4">
        <f>2266+347</f>
        <v>2613</v>
      </c>
      <c r="V97" s="4">
        <f>3075000+4720000</f>
        <v>7795000</v>
      </c>
      <c r="W97" s="4">
        <f>224+72</f>
        <v>296</v>
      </c>
      <c r="X97" s="4">
        <v>269</v>
      </c>
      <c r="Y97" s="4">
        <v>0</v>
      </c>
      <c r="Z97" s="4">
        <v>143</v>
      </c>
      <c r="AA97" s="4">
        <v>0</v>
      </c>
      <c r="AB97" s="8">
        <v>16768000</v>
      </c>
      <c r="AC97" s="8">
        <v>228723000</v>
      </c>
      <c r="AD97" s="8">
        <v>7282422</v>
      </c>
      <c r="AE97" s="8">
        <v>19638936</v>
      </c>
      <c r="AF97" s="8">
        <v>275134050</v>
      </c>
      <c r="AG97" s="8">
        <v>1733173000</v>
      </c>
      <c r="AH97" s="8">
        <v>1172798330</v>
      </c>
      <c r="AI97" s="8">
        <v>102195628</v>
      </c>
      <c r="AJ97" s="8">
        <v>18</v>
      </c>
      <c r="AK97" s="8">
        <v>11</v>
      </c>
      <c r="AL97" s="8">
        <v>94526472</v>
      </c>
      <c r="AM97" s="8">
        <v>7</v>
      </c>
      <c r="AN97" s="8">
        <v>2</v>
      </c>
      <c r="AO97" s="8">
        <v>38080216</v>
      </c>
      <c r="AP97" s="4">
        <v>0</v>
      </c>
      <c r="AQ97" s="4">
        <v>0</v>
      </c>
      <c r="AR97" s="4">
        <v>0</v>
      </c>
      <c r="AS97" s="4" t="s">
        <v>74</v>
      </c>
      <c r="AT97" s="4" t="s">
        <v>75</v>
      </c>
      <c r="AU97" s="4">
        <v>476</v>
      </c>
      <c r="AV97" s="4">
        <v>1983</v>
      </c>
      <c r="AW97" s="4">
        <f t="shared" si="8"/>
        <v>3589</v>
      </c>
    </row>
    <row r="98" spans="1:49" x14ac:dyDescent="0.35">
      <c r="A98" s="4">
        <f t="shared" si="6"/>
        <v>96</v>
      </c>
      <c r="B98" s="5" t="s">
        <v>157</v>
      </c>
      <c r="C98" s="4">
        <v>8668</v>
      </c>
      <c r="D98" s="4">
        <v>3417</v>
      </c>
      <c r="E98" s="4">
        <v>4188</v>
      </c>
      <c r="F98" s="4">
        <f t="shared" si="5"/>
        <v>7605</v>
      </c>
      <c r="G98" s="4">
        <v>7217</v>
      </c>
      <c r="H98" s="4">
        <v>283</v>
      </c>
      <c r="I98" s="4">
        <v>105</v>
      </c>
      <c r="J98" s="4">
        <v>443</v>
      </c>
      <c r="K98" s="4">
        <v>2937</v>
      </c>
      <c r="L98" s="4">
        <v>1031</v>
      </c>
      <c r="M98" s="4">
        <v>65</v>
      </c>
      <c r="N98" s="4">
        <v>10</v>
      </c>
      <c r="O98" s="4">
        <v>2274</v>
      </c>
      <c r="P98" s="4">
        <f t="shared" si="7"/>
        <v>0.18130311614730879</v>
      </c>
      <c r="Q98" s="4">
        <f>407+180+485+645+6400+180+1117+53</f>
        <v>9467</v>
      </c>
      <c r="R98" s="4">
        <f>407+180+484+485+6195+170+1116+48</f>
        <v>9085</v>
      </c>
      <c r="S98" s="4">
        <v>80</v>
      </c>
      <c r="T98" s="4">
        <f>181+132+394+345+4680+184+758+33</f>
        <v>6707</v>
      </c>
      <c r="U98" s="4">
        <f>135+21+268+77+1526+71+260+28</f>
        <v>2386</v>
      </c>
      <c r="V98" s="4">
        <f>2240000+1359500+2254000+1695500+1260000+810000+1236000+1890000</f>
        <v>12745000</v>
      </c>
      <c r="W98" s="4">
        <f>3+77+121+52+825+3+132+3</f>
        <v>1216</v>
      </c>
      <c r="X98" s="4">
        <v>1594</v>
      </c>
      <c r="Y98" s="4">
        <v>0</v>
      </c>
      <c r="Z98" s="4">
        <v>653</v>
      </c>
      <c r="AA98" s="4">
        <v>0</v>
      </c>
      <c r="AB98" s="8">
        <v>145839389</v>
      </c>
      <c r="AC98" s="8">
        <v>26679070</v>
      </c>
      <c r="AD98" s="8">
        <v>21217673</v>
      </c>
      <c r="AE98" s="8">
        <v>397900</v>
      </c>
      <c r="AF98" s="8">
        <v>76520384</v>
      </c>
      <c r="AG98" s="8">
        <v>4624208128</v>
      </c>
      <c r="AH98" s="8">
        <v>1814870665</v>
      </c>
      <c r="AI98" s="8">
        <v>24347767</v>
      </c>
      <c r="AJ98" s="8">
        <v>67</v>
      </c>
      <c r="AK98" s="8">
        <v>24</v>
      </c>
      <c r="AL98" s="8">
        <v>280250030</v>
      </c>
      <c r="AM98" s="8">
        <v>5</v>
      </c>
      <c r="AN98" s="8">
        <v>5</v>
      </c>
      <c r="AO98" s="8">
        <v>6472400</v>
      </c>
      <c r="AP98" s="8">
        <v>25</v>
      </c>
      <c r="AQ98" s="8">
        <v>477</v>
      </c>
      <c r="AR98" s="8">
        <v>4483374</v>
      </c>
      <c r="AS98" s="4" t="s">
        <v>59</v>
      </c>
      <c r="AT98" s="4">
        <v>3.44</v>
      </c>
      <c r="AU98" s="4">
        <v>377</v>
      </c>
      <c r="AV98" s="4">
        <v>1976</v>
      </c>
      <c r="AW98" s="4">
        <f t="shared" si="8"/>
        <v>3380</v>
      </c>
    </row>
    <row r="99" spans="1:49" x14ac:dyDescent="0.35">
      <c r="A99" s="4">
        <f t="shared" si="6"/>
        <v>97</v>
      </c>
      <c r="B99" s="5" t="s">
        <v>158</v>
      </c>
      <c r="C99" s="4">
        <v>10342</v>
      </c>
      <c r="D99" s="4">
        <v>3931</v>
      </c>
      <c r="E99" s="4">
        <v>4382</v>
      </c>
      <c r="F99" s="4">
        <f t="shared" si="5"/>
        <v>8313</v>
      </c>
      <c r="G99" s="4">
        <v>7390</v>
      </c>
      <c r="H99" s="4">
        <v>784</v>
      </c>
      <c r="I99" s="4">
        <v>139</v>
      </c>
      <c r="J99" s="4">
        <v>286</v>
      </c>
      <c r="K99" s="4">
        <v>3355</v>
      </c>
      <c r="L99" s="4">
        <v>821</v>
      </c>
      <c r="M99" s="4">
        <v>531</v>
      </c>
      <c r="N99" s="4">
        <v>0</v>
      </c>
      <c r="O99" s="4">
        <v>2289</v>
      </c>
      <c r="P99" s="4">
        <f t="shared" si="7"/>
        <v>0.38640585728335702</v>
      </c>
      <c r="Q99" s="4">
        <f>4095+771+230+5849+63</f>
        <v>11008</v>
      </c>
      <c r="R99" s="4">
        <f>3466+765+142+5042+59</f>
        <v>9474</v>
      </c>
      <c r="S99" s="4">
        <v>0</v>
      </c>
      <c r="T99" s="4">
        <f>3370+614+140+4977+50</f>
        <v>9151</v>
      </c>
      <c r="U99" s="4">
        <f>10+1036+15+169+532</f>
        <v>1762</v>
      </c>
      <c r="V99" s="4">
        <f>1195000+1410000+899000+1340000+1395000</f>
        <v>6239000</v>
      </c>
      <c r="W99" s="4">
        <f>14+1367+12+235+1908</f>
        <v>3536</v>
      </c>
      <c r="X99" s="4">
        <v>907</v>
      </c>
      <c r="Y99" s="4">
        <v>463</v>
      </c>
      <c r="Z99" s="4">
        <v>383</v>
      </c>
      <c r="AA99" s="4">
        <v>156</v>
      </c>
      <c r="AB99" s="8">
        <v>31047302</v>
      </c>
      <c r="AC99" s="8">
        <v>53370030</v>
      </c>
      <c r="AD99" s="8">
        <v>6424110</v>
      </c>
      <c r="AE99" s="8">
        <v>0</v>
      </c>
      <c r="AF99" s="8">
        <v>35627302</v>
      </c>
      <c r="AG99" s="8">
        <v>8331144965</v>
      </c>
      <c r="AH99" s="8">
        <v>1015301515</v>
      </c>
      <c r="AI99" s="8">
        <v>1761451</v>
      </c>
      <c r="AJ99" s="8">
        <v>1778</v>
      </c>
      <c r="AK99" s="8">
        <v>75</v>
      </c>
      <c r="AL99" s="8">
        <v>420406939</v>
      </c>
      <c r="AM99" s="8">
        <v>224</v>
      </c>
      <c r="AN99" s="8">
        <v>37</v>
      </c>
      <c r="AO99" s="8">
        <v>49225362</v>
      </c>
      <c r="AP99" s="4">
        <v>0</v>
      </c>
      <c r="AQ99" s="4">
        <v>0</v>
      </c>
      <c r="AR99" s="4">
        <v>0</v>
      </c>
      <c r="AS99" s="4" t="s">
        <v>59</v>
      </c>
      <c r="AT99" s="4">
        <v>2.65</v>
      </c>
      <c r="AU99" s="4">
        <v>466</v>
      </c>
      <c r="AV99" s="4">
        <v>1921</v>
      </c>
      <c r="AW99" s="4">
        <f t="shared" si="8"/>
        <v>3641</v>
      </c>
    </row>
    <row r="100" spans="1:49" x14ac:dyDescent="0.35">
      <c r="A100" s="4">
        <f t="shared" si="6"/>
        <v>98</v>
      </c>
      <c r="B100" s="5" t="s">
        <v>159</v>
      </c>
      <c r="C100" s="4">
        <v>6653</v>
      </c>
      <c r="D100" s="4">
        <v>3206</v>
      </c>
      <c r="E100" s="4">
        <v>3045</v>
      </c>
      <c r="F100" s="4">
        <f t="shared" si="5"/>
        <v>6251</v>
      </c>
      <c r="G100" s="4">
        <v>2370</v>
      </c>
      <c r="H100" s="4">
        <v>3850</v>
      </c>
      <c r="I100" s="4">
        <v>31</v>
      </c>
      <c r="J100" s="4">
        <v>1555</v>
      </c>
      <c r="K100" s="4">
        <v>2724</v>
      </c>
      <c r="L100" s="4">
        <v>886</v>
      </c>
      <c r="M100" s="4">
        <v>258</v>
      </c>
      <c r="N100" s="4">
        <v>1008</v>
      </c>
      <c r="O100" s="4">
        <v>2127</v>
      </c>
      <c r="P100" s="4">
        <f t="shared" si="7"/>
        <v>0.10448760884125921</v>
      </c>
      <c r="Q100" s="4">
        <f>305+481+4427</f>
        <v>5213</v>
      </c>
      <c r="R100" s="4">
        <f>3988+734</f>
        <v>4722</v>
      </c>
      <c r="S100" s="4">
        <v>0</v>
      </c>
      <c r="T100" s="4">
        <f>3793+686</f>
        <v>4479</v>
      </c>
      <c r="U100" s="4">
        <f>243+2245</f>
        <v>2488</v>
      </c>
      <c r="V100" s="4">
        <f>1563000+1580000</f>
        <v>3143000</v>
      </c>
      <c r="W100" s="4">
        <f>281+187</f>
        <v>468</v>
      </c>
      <c r="X100" s="4">
        <v>530</v>
      </c>
      <c r="Y100" s="4">
        <v>386</v>
      </c>
      <c r="Z100" s="4">
        <v>307</v>
      </c>
      <c r="AA100" s="4">
        <v>71</v>
      </c>
      <c r="AB100" s="8">
        <v>25409477</v>
      </c>
      <c r="AC100" s="8">
        <v>108441179</v>
      </c>
      <c r="AD100" s="8">
        <v>0</v>
      </c>
      <c r="AE100" s="8">
        <v>316830</v>
      </c>
      <c r="AF100" s="8">
        <v>22381300</v>
      </c>
      <c r="AG100" s="8">
        <v>3732992587</v>
      </c>
      <c r="AH100" s="8">
        <v>1363537729</v>
      </c>
      <c r="AI100" s="8">
        <v>78780177</v>
      </c>
      <c r="AJ100" s="8">
        <v>1135</v>
      </c>
      <c r="AK100" s="8">
        <v>658</v>
      </c>
      <c r="AL100" s="8">
        <v>1112754406</v>
      </c>
      <c r="AM100" s="8">
        <v>620</v>
      </c>
      <c r="AN100" s="8">
        <v>377</v>
      </c>
      <c r="AO100" s="8">
        <v>398915672</v>
      </c>
      <c r="AP100" s="4">
        <v>71</v>
      </c>
      <c r="AQ100" s="4">
        <v>1304</v>
      </c>
      <c r="AR100" s="4">
        <v>190873375</v>
      </c>
      <c r="AS100" s="4" t="s">
        <v>59</v>
      </c>
      <c r="AT100" s="4">
        <v>3.89</v>
      </c>
      <c r="AU100" s="4">
        <v>422</v>
      </c>
      <c r="AV100" s="4">
        <v>1936</v>
      </c>
      <c r="AW100" s="4">
        <f t="shared" si="8"/>
        <v>4279</v>
      </c>
    </row>
    <row r="101" spans="1:49" x14ac:dyDescent="0.35">
      <c r="A101" s="4">
        <f t="shared" si="6"/>
        <v>99</v>
      </c>
      <c r="B101" s="5" t="s">
        <v>160</v>
      </c>
      <c r="C101" s="4">
        <v>2754</v>
      </c>
      <c r="D101" s="4">
        <v>1362</v>
      </c>
      <c r="E101" s="4">
        <v>1437</v>
      </c>
      <c r="F101" s="4">
        <f t="shared" si="5"/>
        <v>2799</v>
      </c>
      <c r="G101" s="4">
        <v>2607</v>
      </c>
      <c r="H101" s="4">
        <v>176</v>
      </c>
      <c r="I101" s="4">
        <v>16</v>
      </c>
      <c r="J101" s="4">
        <v>292</v>
      </c>
      <c r="K101" s="4">
        <v>1255</v>
      </c>
      <c r="L101" s="4">
        <v>913</v>
      </c>
      <c r="M101" s="4">
        <v>68</v>
      </c>
      <c r="N101" s="4">
        <v>0</v>
      </c>
      <c r="O101" s="4">
        <v>566</v>
      </c>
      <c r="P101" s="4">
        <f t="shared" si="7"/>
        <v>0.62339331619537275</v>
      </c>
      <c r="Q101" s="4">
        <f>784+1418</f>
        <v>2202</v>
      </c>
      <c r="R101" s="4">
        <f>821+1537</f>
        <v>2358</v>
      </c>
      <c r="S101" s="4">
        <v>15</v>
      </c>
      <c r="T101" s="4">
        <f>664+892</f>
        <v>1556</v>
      </c>
      <c r="U101" s="4">
        <f>63+116</f>
        <v>179</v>
      </c>
      <c r="V101" s="4">
        <f>5105000+1060000</f>
        <v>6165000</v>
      </c>
      <c r="W101" s="4">
        <f>382+588</f>
        <v>970</v>
      </c>
      <c r="X101" s="4">
        <v>700</v>
      </c>
      <c r="Y101" s="4">
        <v>0</v>
      </c>
      <c r="Z101" s="4">
        <v>264</v>
      </c>
      <c r="AA101" s="4">
        <v>0</v>
      </c>
      <c r="AB101" s="8">
        <v>47169564</v>
      </c>
      <c r="AC101" s="8">
        <v>636209615</v>
      </c>
      <c r="AD101" s="8">
        <v>1903130</v>
      </c>
      <c r="AE101" s="8">
        <v>79896514</v>
      </c>
      <c r="AF101" s="8">
        <v>49789768</v>
      </c>
      <c r="AG101" s="8">
        <v>13411033714</v>
      </c>
      <c r="AH101" s="8">
        <v>4549885491</v>
      </c>
      <c r="AI101" s="8">
        <v>1248000</v>
      </c>
      <c r="AJ101" s="8">
        <v>181</v>
      </c>
      <c r="AK101" s="8">
        <v>97</v>
      </c>
      <c r="AL101" s="8">
        <v>494505234</v>
      </c>
      <c r="AM101" s="8">
        <v>44</v>
      </c>
      <c r="AN101" s="8">
        <v>10</v>
      </c>
      <c r="AO101" s="8">
        <v>93923055</v>
      </c>
      <c r="AP101" s="8">
        <v>24</v>
      </c>
      <c r="AQ101" s="8">
        <v>1054</v>
      </c>
      <c r="AR101" s="8">
        <v>1105754</v>
      </c>
      <c r="AS101" s="4" t="s">
        <v>74</v>
      </c>
      <c r="AT101" s="4" t="s">
        <v>75</v>
      </c>
      <c r="AU101" s="4">
        <v>452</v>
      </c>
      <c r="AV101" s="4">
        <v>1970</v>
      </c>
      <c r="AW101" s="4">
        <f t="shared" si="8"/>
        <v>1547</v>
      </c>
    </row>
    <row r="102" spans="1:49" x14ac:dyDescent="0.35">
      <c r="A102" s="4">
        <f t="shared" si="6"/>
        <v>100</v>
      </c>
      <c r="B102" s="5" t="s">
        <v>161</v>
      </c>
      <c r="C102" s="4">
        <v>2510</v>
      </c>
      <c r="D102" s="4">
        <v>939</v>
      </c>
      <c r="E102" s="4">
        <v>808</v>
      </c>
      <c r="F102" s="4">
        <f t="shared" si="5"/>
        <v>1747</v>
      </c>
      <c r="G102" s="4">
        <v>64</v>
      </c>
      <c r="H102" s="4">
        <v>1666</v>
      </c>
      <c r="I102" s="4">
        <v>17</v>
      </c>
      <c r="J102" s="4">
        <v>149</v>
      </c>
      <c r="K102" s="4">
        <v>930</v>
      </c>
      <c r="L102" s="4">
        <v>300</v>
      </c>
      <c r="M102" s="4">
        <v>101</v>
      </c>
      <c r="N102" s="4">
        <v>0</v>
      </c>
      <c r="O102" s="4">
        <v>678</v>
      </c>
      <c r="P102" s="4">
        <f t="shared" si="7"/>
        <v>0.10898035547240412</v>
      </c>
      <c r="Q102" s="4">
        <f>764+983+1255</f>
        <v>3002</v>
      </c>
      <c r="R102" s="4">
        <f>577+679+934</f>
        <v>2190</v>
      </c>
      <c r="S102" s="4">
        <v>0</v>
      </c>
      <c r="T102" s="4">
        <f>567+679+892</f>
        <v>2138</v>
      </c>
      <c r="U102" s="4">
        <f>112+104+123</f>
        <v>339</v>
      </c>
      <c r="V102" s="4">
        <f>300000+300000+310000</f>
        <v>910000</v>
      </c>
      <c r="W102" s="4">
        <f>120+79+34</f>
        <v>233</v>
      </c>
      <c r="X102" s="4">
        <v>336</v>
      </c>
      <c r="Y102" s="4">
        <v>0</v>
      </c>
      <c r="Z102" s="4">
        <v>73</v>
      </c>
      <c r="AA102" s="4">
        <v>0</v>
      </c>
      <c r="AB102" s="8">
        <v>30386569</v>
      </c>
      <c r="AC102" s="8">
        <v>108779851</v>
      </c>
      <c r="AD102" s="8">
        <v>0</v>
      </c>
      <c r="AE102" s="8">
        <v>1606567</v>
      </c>
      <c r="AF102" s="8">
        <v>203064591</v>
      </c>
      <c r="AG102" s="8">
        <v>773025582</v>
      </c>
      <c r="AH102" s="8">
        <v>481091235</v>
      </c>
      <c r="AI102" s="8">
        <v>2024341</v>
      </c>
      <c r="AJ102" s="4">
        <v>57</v>
      </c>
      <c r="AK102" s="4">
        <v>20</v>
      </c>
      <c r="AL102" s="8">
        <v>205310670</v>
      </c>
      <c r="AM102" s="4">
        <v>30</v>
      </c>
      <c r="AN102" s="4">
        <v>84</v>
      </c>
      <c r="AO102" s="8">
        <v>4476286</v>
      </c>
      <c r="AP102" s="4">
        <v>18</v>
      </c>
      <c r="AQ102" s="4">
        <v>1743</v>
      </c>
      <c r="AR102" s="8">
        <v>331900</v>
      </c>
      <c r="AS102" s="4" t="s">
        <v>59</v>
      </c>
      <c r="AT102" s="4">
        <v>3.3</v>
      </c>
      <c r="AU102" s="4">
        <v>182</v>
      </c>
      <c r="AV102" s="4">
        <v>2009</v>
      </c>
      <c r="AW102" s="4">
        <f t="shared" si="8"/>
        <v>1079</v>
      </c>
    </row>
  </sheetData>
  <mergeCells count="9">
    <mergeCell ref="AM1:AO1"/>
    <mergeCell ref="AP1:AR1"/>
    <mergeCell ref="AS1:AT1"/>
    <mergeCell ref="D1:O1"/>
    <mergeCell ref="Q1:W1"/>
    <mergeCell ref="X1:AA1"/>
    <mergeCell ref="AB1:AF1"/>
    <mergeCell ref="AG1:AI1"/>
    <mergeCell ref="AJ1:AL1"/>
  </mergeCells>
  <pageMargins left="0.7" right="0.7" top="0.75" bottom="0.75" header="0.3" footer="0.3"/>
  <ignoredErrors>
    <ignoredError sqref="F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D0CA-994D-445D-A112-7D120DEA0592}">
  <dimension ref="A1:AO101"/>
  <sheetViews>
    <sheetView topLeftCell="D1" zoomScaleNormal="100" workbookViewId="0">
      <pane xSplit="6" topLeftCell="V1" activePane="topRight" state="frozen"/>
      <selection activeCell="D1" sqref="D1"/>
      <selection pane="topRight" activeCell="D69" sqref="D69"/>
    </sheetView>
  </sheetViews>
  <sheetFormatPr defaultColWidth="9.1796875" defaultRowHeight="14.5" x14ac:dyDescent="0.35"/>
  <cols>
    <col min="1" max="1" width="7.54296875" style="16" customWidth="1"/>
    <col min="2" max="2" width="13.1796875" style="10" hidden="1" customWidth="1"/>
    <col min="3" max="3" width="49.54296875" style="13" customWidth="1"/>
    <col min="4" max="4" width="10.81640625" style="13" customWidth="1"/>
    <col min="5" max="5" width="10.1796875" style="10" customWidth="1"/>
    <col min="6" max="6" width="10.453125" style="10" customWidth="1"/>
    <col min="7" max="7" width="10.7265625" style="10" customWidth="1"/>
    <col min="8" max="8" width="11.1796875" style="10" bestFit="1" customWidth="1"/>
    <col min="9" max="9" width="18.81640625" style="10" bestFit="1" customWidth="1"/>
    <col min="10" max="10" width="11" style="10" bestFit="1" customWidth="1"/>
    <col min="11" max="11" width="10.1796875" style="10" bestFit="1" customWidth="1"/>
    <col min="12" max="12" width="10" style="10" bestFit="1" customWidth="1"/>
    <col min="13" max="16384" width="9.1796875" style="10"/>
  </cols>
  <sheetData>
    <row r="1" spans="1:41" x14ac:dyDescent="0.35">
      <c r="A1" s="9" t="s">
        <v>11</v>
      </c>
      <c r="B1" s="10" t="s">
        <v>162</v>
      </c>
      <c r="C1" s="10" t="s">
        <v>12</v>
      </c>
      <c r="D1" s="10" t="s">
        <v>163</v>
      </c>
      <c r="E1" s="11" t="s">
        <v>164</v>
      </c>
      <c r="F1" s="11" t="s">
        <v>165</v>
      </c>
      <c r="G1" s="10" t="s">
        <v>166</v>
      </c>
      <c r="H1" s="10" t="s">
        <v>167</v>
      </c>
      <c r="I1" s="10" t="s">
        <v>168</v>
      </c>
      <c r="J1" s="10" t="s">
        <v>169</v>
      </c>
      <c r="K1" s="10" t="s">
        <v>170</v>
      </c>
      <c r="L1" s="10" t="s">
        <v>171</v>
      </c>
      <c r="M1" s="10" t="s">
        <v>172</v>
      </c>
      <c r="N1" s="10" t="s">
        <v>173</v>
      </c>
      <c r="O1" s="10" t="s">
        <v>174</v>
      </c>
      <c r="P1" s="10" t="s">
        <v>175</v>
      </c>
      <c r="Q1" s="10" t="s">
        <v>176</v>
      </c>
      <c r="R1" s="10" t="s">
        <v>177</v>
      </c>
      <c r="S1" s="10" t="s">
        <v>178</v>
      </c>
      <c r="T1" s="10" t="s">
        <v>179</v>
      </c>
      <c r="U1" s="10" t="s">
        <v>180</v>
      </c>
      <c r="V1" s="10" t="s">
        <v>181</v>
      </c>
      <c r="W1" s="10" t="s">
        <v>182</v>
      </c>
      <c r="X1" s="10" t="s">
        <v>183</v>
      </c>
      <c r="Y1" s="10" t="s">
        <v>184</v>
      </c>
      <c r="Z1" s="10" t="s">
        <v>185</v>
      </c>
      <c r="AA1" s="10" t="s">
        <v>186</v>
      </c>
      <c r="AB1" s="10" t="s">
        <v>187</v>
      </c>
      <c r="AC1" s="10" t="s">
        <v>188</v>
      </c>
      <c r="AD1" s="10" t="s">
        <v>189</v>
      </c>
      <c r="AE1" s="10" t="s">
        <v>190</v>
      </c>
      <c r="AF1" s="10" t="s">
        <v>500</v>
      </c>
      <c r="AG1" s="10" t="s">
        <v>499</v>
      </c>
      <c r="AH1" s="10" t="s">
        <v>501</v>
      </c>
      <c r="AI1" s="10" t="s">
        <v>552</v>
      </c>
      <c r="AJ1" s="10" t="s">
        <v>553</v>
      </c>
      <c r="AK1" s="10" t="s">
        <v>554</v>
      </c>
      <c r="AL1" s="10" t="s">
        <v>555</v>
      </c>
      <c r="AM1" s="10" t="s">
        <v>556</v>
      </c>
      <c r="AN1" s="10" t="s">
        <v>557</v>
      </c>
      <c r="AO1" s="10" t="s">
        <v>559</v>
      </c>
    </row>
    <row r="2" spans="1:41" x14ac:dyDescent="0.35">
      <c r="A2" s="12">
        <v>1</v>
      </c>
      <c r="B2" s="10" t="s">
        <v>191</v>
      </c>
      <c r="C2" s="13" t="s">
        <v>58</v>
      </c>
      <c r="D2" s="13" t="s">
        <v>192</v>
      </c>
      <c r="E2" t="s">
        <v>193</v>
      </c>
      <c r="F2" t="s">
        <v>194</v>
      </c>
      <c r="G2" s="10" t="s">
        <v>195</v>
      </c>
      <c r="H2" s="10" t="s">
        <v>196</v>
      </c>
      <c r="I2" s="10" t="s">
        <v>197</v>
      </c>
      <c r="J2" s="10">
        <v>83.16</v>
      </c>
      <c r="K2" s="10">
        <v>82.43</v>
      </c>
      <c r="L2" s="10">
        <v>88.45</v>
      </c>
      <c r="M2" s="10">
        <v>80.569999999999993</v>
      </c>
      <c r="N2" s="10">
        <v>59.23</v>
      </c>
      <c r="O2" s="10">
        <v>98.56</v>
      </c>
      <c r="P2" s="10">
        <v>11</v>
      </c>
      <c r="Q2" s="10">
        <v>25</v>
      </c>
      <c r="R2" s="10">
        <v>18.43</v>
      </c>
      <c r="S2" s="10">
        <v>20</v>
      </c>
      <c r="T2" s="10">
        <v>8</v>
      </c>
      <c r="U2" s="10">
        <v>35</v>
      </c>
      <c r="V2" s="10">
        <v>33.9</v>
      </c>
      <c r="W2" s="10">
        <v>11</v>
      </c>
      <c r="X2" s="10">
        <v>8.5500000000000007</v>
      </c>
      <c r="Y2" s="10">
        <v>52.14</v>
      </c>
      <c r="Z2" s="10">
        <v>28.43</v>
      </c>
      <c r="AA2" s="10">
        <v>25.53</v>
      </c>
      <c r="AB2" s="10">
        <v>10.64</v>
      </c>
      <c r="AC2" s="10">
        <v>3.06</v>
      </c>
      <c r="AD2" s="10">
        <v>20</v>
      </c>
      <c r="AE2" s="10">
        <v>98.56</v>
      </c>
      <c r="AF2" s="10">
        <v>6.2</v>
      </c>
      <c r="AG2" s="10">
        <v>30</v>
      </c>
      <c r="AH2" s="10" t="s">
        <v>502</v>
      </c>
      <c r="AI2" s="10">
        <v>2</v>
      </c>
      <c r="AJ2" s="10">
        <v>2</v>
      </c>
      <c r="AK2" s="10">
        <v>3</v>
      </c>
      <c r="AL2" s="10">
        <v>4</v>
      </c>
      <c r="AM2" s="10">
        <v>5</v>
      </c>
      <c r="AN2" s="10">
        <v>6</v>
      </c>
    </row>
    <row r="3" spans="1:41" x14ac:dyDescent="0.35">
      <c r="A3" s="14">
        <v>2</v>
      </c>
      <c r="B3" s="10" t="s">
        <v>198</v>
      </c>
      <c r="C3" s="13" t="s">
        <v>60</v>
      </c>
      <c r="D3" s="13" t="s">
        <v>199</v>
      </c>
      <c r="E3" t="s">
        <v>200</v>
      </c>
      <c r="F3" t="s">
        <v>194</v>
      </c>
      <c r="G3" s="10" t="s">
        <v>201</v>
      </c>
      <c r="H3" s="10" t="s">
        <v>196</v>
      </c>
      <c r="I3" s="10" t="s">
        <v>202</v>
      </c>
      <c r="J3" s="10">
        <v>68.92</v>
      </c>
      <c r="K3" s="10">
        <v>73.55</v>
      </c>
      <c r="L3" s="10">
        <v>46.56</v>
      </c>
      <c r="M3" s="10">
        <v>94.89</v>
      </c>
      <c r="N3" s="10">
        <v>73.64</v>
      </c>
      <c r="O3" s="10">
        <v>65.510000000000005</v>
      </c>
      <c r="P3" s="10">
        <v>17</v>
      </c>
      <c r="Q3" s="10">
        <v>24.35</v>
      </c>
      <c r="R3" s="10">
        <v>16.97</v>
      </c>
      <c r="S3" s="10">
        <v>12.73</v>
      </c>
      <c r="T3" s="10">
        <v>2.5</v>
      </c>
      <c r="U3" s="10">
        <v>2143</v>
      </c>
      <c r="V3" s="10">
        <v>22.16</v>
      </c>
      <c r="W3" s="10">
        <v>2</v>
      </c>
      <c r="X3" s="10">
        <v>0.97</v>
      </c>
      <c r="Y3" s="10">
        <v>56.52</v>
      </c>
      <c r="Z3" s="10">
        <v>38.369999999999997</v>
      </c>
      <c r="AA3" s="10">
        <v>25.31</v>
      </c>
      <c r="AB3" s="10">
        <v>28.33</v>
      </c>
      <c r="AC3" s="10">
        <v>0</v>
      </c>
      <c r="AD3" s="10">
        <v>20</v>
      </c>
      <c r="AE3" s="10">
        <v>65.510000000000005</v>
      </c>
      <c r="AF3" s="10">
        <v>14</v>
      </c>
      <c r="AG3" s="10">
        <v>10</v>
      </c>
      <c r="AH3" s="10" t="s">
        <v>503</v>
      </c>
      <c r="AI3" s="10">
        <v>2</v>
      </c>
      <c r="AJ3" s="10">
        <v>4</v>
      </c>
      <c r="AK3" s="10">
        <v>5</v>
      </c>
      <c r="AL3" s="10">
        <v>6</v>
      </c>
      <c r="AM3" s="10">
        <v>8</v>
      </c>
      <c r="AN3" s="10">
        <v>8</v>
      </c>
    </row>
    <row r="4" spans="1:41" x14ac:dyDescent="0.35">
      <c r="A4" s="12">
        <v>3</v>
      </c>
      <c r="B4" s="10" t="s">
        <v>203</v>
      </c>
      <c r="C4" s="13" t="s">
        <v>61</v>
      </c>
      <c r="D4" s="13" t="s">
        <v>204</v>
      </c>
      <c r="E4" t="s">
        <v>200</v>
      </c>
      <c r="F4" t="s">
        <v>194</v>
      </c>
      <c r="G4" s="10" t="s">
        <v>201</v>
      </c>
      <c r="H4" s="10" t="s">
        <v>196</v>
      </c>
      <c r="I4" s="10" t="s">
        <v>202</v>
      </c>
      <c r="J4" s="10">
        <v>67.73</v>
      </c>
      <c r="K4" s="10">
        <v>69.38</v>
      </c>
      <c r="L4" s="10">
        <v>49.83</v>
      </c>
      <c r="M4" s="10">
        <v>93.85</v>
      </c>
      <c r="N4" s="10">
        <v>83.41</v>
      </c>
      <c r="O4" s="10">
        <v>48.48</v>
      </c>
      <c r="P4" s="10">
        <v>16</v>
      </c>
      <c r="Q4" s="10">
        <v>25</v>
      </c>
      <c r="R4" s="10">
        <v>16</v>
      </c>
      <c r="S4" s="10">
        <v>10.88</v>
      </c>
      <c r="T4" s="10">
        <v>1.5</v>
      </c>
      <c r="U4" s="10">
        <v>20.09</v>
      </c>
      <c r="V4" s="10">
        <v>23.71</v>
      </c>
      <c r="W4" s="10">
        <v>3</v>
      </c>
      <c r="X4" s="10">
        <v>3.03</v>
      </c>
      <c r="Y4" s="10">
        <v>60</v>
      </c>
      <c r="Z4" s="10">
        <v>33.85</v>
      </c>
      <c r="AA4" s="10">
        <v>24.17</v>
      </c>
      <c r="AB4" s="10">
        <v>30</v>
      </c>
      <c r="AC4" s="10">
        <v>9.24</v>
      </c>
      <c r="AD4" s="10">
        <v>20</v>
      </c>
      <c r="AE4" s="10">
        <v>48.48</v>
      </c>
      <c r="AF4" s="10">
        <v>7.3</v>
      </c>
      <c r="AG4" s="10">
        <v>18</v>
      </c>
      <c r="AH4" s="10" t="s">
        <v>503</v>
      </c>
      <c r="AI4" s="10">
        <v>2</v>
      </c>
      <c r="AJ4" s="10">
        <v>4</v>
      </c>
      <c r="AK4" s="10">
        <v>5</v>
      </c>
      <c r="AL4" s="10">
        <v>6</v>
      </c>
      <c r="AM4" s="10">
        <v>8</v>
      </c>
      <c r="AN4" s="10">
        <v>8</v>
      </c>
    </row>
    <row r="5" spans="1:41" x14ac:dyDescent="0.35">
      <c r="A5" s="14">
        <v>4</v>
      </c>
      <c r="B5" s="10" t="s">
        <v>205</v>
      </c>
      <c r="C5" s="13" t="s">
        <v>62</v>
      </c>
      <c r="D5" s="13" t="s">
        <v>206</v>
      </c>
      <c r="E5" t="s">
        <v>168</v>
      </c>
      <c r="F5" t="s">
        <v>207</v>
      </c>
      <c r="G5" s="10" t="s">
        <v>208</v>
      </c>
      <c r="H5" s="10" t="s">
        <v>196</v>
      </c>
      <c r="I5" s="10" t="s">
        <v>209</v>
      </c>
      <c r="J5" s="10">
        <v>66.069999999999993</v>
      </c>
      <c r="K5" s="10">
        <v>67.63</v>
      </c>
      <c r="L5" s="10">
        <v>53.66</v>
      </c>
      <c r="M5" s="10">
        <v>90.61</v>
      </c>
      <c r="N5" s="10">
        <v>56.79</v>
      </c>
      <c r="O5" s="10">
        <v>58.76</v>
      </c>
      <c r="P5" s="10">
        <v>18.22</v>
      </c>
      <c r="Q5" s="10">
        <v>22.32</v>
      </c>
      <c r="R5" s="10">
        <v>17.329999999999998</v>
      </c>
      <c r="S5" s="10">
        <v>7.77</v>
      </c>
      <c r="T5" s="10">
        <v>2</v>
      </c>
      <c r="U5" s="10">
        <v>23.1</v>
      </c>
      <c r="V5" s="10">
        <v>24.61</v>
      </c>
      <c r="W5" s="10">
        <v>3</v>
      </c>
      <c r="X5" s="10">
        <v>2.95</v>
      </c>
      <c r="Y5" s="10">
        <v>60</v>
      </c>
      <c r="Z5" s="10">
        <v>30.61</v>
      </c>
      <c r="AA5" s="10">
        <v>5</v>
      </c>
      <c r="AB5" s="10">
        <v>24.17</v>
      </c>
      <c r="AC5" s="10">
        <v>7.62</v>
      </c>
      <c r="AD5" s="10">
        <v>20</v>
      </c>
      <c r="AE5" s="10">
        <v>58.76</v>
      </c>
      <c r="AF5" s="10">
        <v>13</v>
      </c>
      <c r="AG5" s="10">
        <v>25</v>
      </c>
      <c r="AH5" s="10" t="s">
        <v>504</v>
      </c>
      <c r="AI5" s="10">
        <v>0</v>
      </c>
      <c r="AJ5" s="10">
        <v>2</v>
      </c>
      <c r="AK5" s="10">
        <v>3</v>
      </c>
      <c r="AL5" s="10">
        <v>5</v>
      </c>
      <c r="AM5" s="10">
        <v>8</v>
      </c>
      <c r="AN5" s="10">
        <v>11</v>
      </c>
      <c r="AO5" s="10" t="s">
        <v>558</v>
      </c>
    </row>
    <row r="6" spans="1:41" x14ac:dyDescent="0.35">
      <c r="A6" s="12">
        <v>5</v>
      </c>
      <c r="B6" s="10" t="s">
        <v>210</v>
      </c>
      <c r="C6" s="13" t="s">
        <v>63</v>
      </c>
      <c r="D6" s="13" t="s">
        <v>211</v>
      </c>
      <c r="E6" t="s">
        <v>200</v>
      </c>
      <c r="F6" t="s">
        <v>194</v>
      </c>
      <c r="G6" s="10" t="s">
        <v>212</v>
      </c>
      <c r="H6" s="10" t="s">
        <v>213</v>
      </c>
      <c r="I6" s="10" t="s">
        <v>214</v>
      </c>
      <c r="J6" s="10">
        <v>65.849999999999994</v>
      </c>
      <c r="K6" s="10">
        <v>72.77</v>
      </c>
      <c r="L6" s="10">
        <v>49.18</v>
      </c>
      <c r="M6" s="10">
        <v>99.64</v>
      </c>
      <c r="N6" s="10">
        <v>61.5</v>
      </c>
      <c r="O6" s="10">
        <v>31.8</v>
      </c>
      <c r="P6" s="10">
        <v>20</v>
      </c>
      <c r="Q6" s="10">
        <v>20.92</v>
      </c>
      <c r="R6" s="10">
        <v>16.38</v>
      </c>
      <c r="S6" s="10">
        <v>11.47</v>
      </c>
      <c r="T6" s="10">
        <v>4</v>
      </c>
      <c r="U6" s="10">
        <v>19.14</v>
      </c>
      <c r="V6" s="10">
        <v>24.85</v>
      </c>
      <c r="W6" s="10">
        <v>1.5</v>
      </c>
      <c r="X6" s="10">
        <v>3.69</v>
      </c>
      <c r="Y6" s="10">
        <v>60</v>
      </c>
      <c r="Z6" s="10">
        <v>39.64</v>
      </c>
      <c r="AA6" s="10">
        <v>11.96</v>
      </c>
      <c r="AB6" s="10">
        <v>27.43</v>
      </c>
      <c r="AC6" s="10">
        <v>2.11</v>
      </c>
      <c r="AD6" s="10">
        <v>20</v>
      </c>
      <c r="AE6" s="10">
        <v>31.8</v>
      </c>
      <c r="AF6" s="10">
        <v>10</v>
      </c>
      <c r="AG6" s="10">
        <v>30</v>
      </c>
      <c r="AH6" s="10" t="s">
        <v>505</v>
      </c>
      <c r="AI6" s="10">
        <v>2</v>
      </c>
      <c r="AJ6" s="10">
        <v>4</v>
      </c>
      <c r="AK6" s="10">
        <v>4</v>
      </c>
      <c r="AL6" s="10">
        <v>5</v>
      </c>
      <c r="AM6" s="10">
        <v>6</v>
      </c>
      <c r="AN6" s="10">
        <v>10</v>
      </c>
    </row>
    <row r="7" spans="1:41" x14ac:dyDescent="0.35">
      <c r="A7" s="14">
        <v>6</v>
      </c>
      <c r="B7" s="10" t="s">
        <v>215</v>
      </c>
      <c r="C7" s="13" t="s">
        <v>64</v>
      </c>
      <c r="D7" s="13" t="s">
        <v>216</v>
      </c>
      <c r="E7" t="s">
        <v>193</v>
      </c>
      <c r="F7" t="s">
        <v>217</v>
      </c>
      <c r="G7" s="10" t="s">
        <v>218</v>
      </c>
      <c r="H7" s="10" t="s">
        <v>219</v>
      </c>
      <c r="I7" s="10" t="s">
        <v>197</v>
      </c>
      <c r="J7" s="10">
        <v>64.98</v>
      </c>
      <c r="K7" s="10">
        <v>72.87</v>
      </c>
      <c r="L7" s="10">
        <v>54.02</v>
      </c>
      <c r="M7" s="10">
        <v>77.97</v>
      </c>
      <c r="N7" s="10">
        <v>66.099999999999994</v>
      </c>
      <c r="O7" s="10">
        <v>47.08</v>
      </c>
      <c r="P7" s="10">
        <v>17.489999999999998</v>
      </c>
      <c r="Q7" s="10">
        <v>25</v>
      </c>
      <c r="R7" s="10">
        <v>16.43</v>
      </c>
      <c r="S7" s="10">
        <v>11.94</v>
      </c>
      <c r="T7" s="10">
        <v>2</v>
      </c>
      <c r="U7" s="10">
        <v>21.14</v>
      </c>
      <c r="V7" s="10">
        <v>24.74</v>
      </c>
      <c r="W7" s="10">
        <v>3</v>
      </c>
      <c r="X7" s="10">
        <v>5.13</v>
      </c>
      <c r="Y7" s="10">
        <v>60</v>
      </c>
      <c r="Z7" s="10">
        <v>17.97</v>
      </c>
      <c r="AA7" s="10">
        <v>17.899999999999999</v>
      </c>
      <c r="AB7" s="10">
        <v>27.14</v>
      </c>
      <c r="AC7" s="10">
        <v>1.06</v>
      </c>
      <c r="AD7" s="10">
        <v>20</v>
      </c>
      <c r="AE7" s="10">
        <v>47.08</v>
      </c>
      <c r="AF7" s="10">
        <v>5</v>
      </c>
      <c r="AG7" s="10">
        <v>64</v>
      </c>
      <c r="AH7" s="10" t="s">
        <v>235</v>
      </c>
      <c r="AI7" s="10">
        <v>1</v>
      </c>
      <c r="AJ7" s="10">
        <v>2</v>
      </c>
      <c r="AK7" s="10">
        <v>4</v>
      </c>
      <c r="AL7" s="10">
        <v>5</v>
      </c>
      <c r="AM7" s="10">
        <v>6</v>
      </c>
      <c r="AN7" s="10">
        <v>6</v>
      </c>
    </row>
    <row r="8" spans="1:41" x14ac:dyDescent="0.35">
      <c r="A8" s="12">
        <v>7</v>
      </c>
      <c r="B8" s="10" t="s">
        <v>220</v>
      </c>
      <c r="C8" s="13" t="s">
        <v>65</v>
      </c>
      <c r="D8" s="13" t="s">
        <v>221</v>
      </c>
      <c r="E8" t="s">
        <v>193</v>
      </c>
      <c r="F8" t="s">
        <v>217</v>
      </c>
      <c r="G8" s="10" t="s">
        <v>222</v>
      </c>
      <c r="H8" s="10" t="s">
        <v>213</v>
      </c>
      <c r="I8" s="10" t="s">
        <v>223</v>
      </c>
      <c r="J8" s="10">
        <v>64.67</v>
      </c>
      <c r="K8" s="10">
        <v>73.39</v>
      </c>
      <c r="L8" s="10">
        <v>50.35</v>
      </c>
      <c r="M8" s="10">
        <v>73.930000000000007</v>
      </c>
      <c r="N8" s="10">
        <v>72.47</v>
      </c>
      <c r="O8" s="10">
        <v>55</v>
      </c>
      <c r="P8" s="10">
        <v>18</v>
      </c>
      <c r="Q8" s="10">
        <v>25</v>
      </c>
      <c r="R8" s="10">
        <v>16.850000000000001</v>
      </c>
      <c r="S8" s="10">
        <v>11.55</v>
      </c>
      <c r="T8" s="10">
        <v>2</v>
      </c>
      <c r="U8" s="10">
        <v>19.760000000000002</v>
      </c>
      <c r="V8" s="10">
        <v>19.8</v>
      </c>
      <c r="W8" s="10">
        <v>6</v>
      </c>
      <c r="X8" s="10">
        <v>4.79</v>
      </c>
      <c r="Y8" s="10">
        <v>60</v>
      </c>
      <c r="Z8" s="10">
        <v>13.93</v>
      </c>
      <c r="AA8" s="10">
        <v>21.6</v>
      </c>
      <c r="AB8" s="10">
        <v>27.11</v>
      </c>
      <c r="AC8" s="10">
        <v>3.76</v>
      </c>
      <c r="AD8" s="10">
        <v>20</v>
      </c>
      <c r="AE8" s="10">
        <v>55</v>
      </c>
      <c r="AF8" s="10">
        <v>22</v>
      </c>
      <c r="AG8" s="10">
        <v>32</v>
      </c>
      <c r="AH8" s="10" t="s">
        <v>507</v>
      </c>
      <c r="AI8" s="10">
        <v>2</v>
      </c>
      <c r="AJ8" s="10">
        <v>2</v>
      </c>
      <c r="AK8" s="10">
        <v>3</v>
      </c>
      <c r="AL8" s="10">
        <v>3</v>
      </c>
      <c r="AM8" s="10">
        <v>3</v>
      </c>
      <c r="AN8" s="10">
        <v>5</v>
      </c>
    </row>
    <row r="9" spans="1:41" x14ac:dyDescent="0.35">
      <c r="A9" s="14">
        <v>8</v>
      </c>
      <c r="B9" s="10" t="s">
        <v>224</v>
      </c>
      <c r="C9" s="13" t="s">
        <v>67</v>
      </c>
      <c r="D9" s="13" t="s">
        <v>225</v>
      </c>
      <c r="E9" t="s">
        <v>193</v>
      </c>
      <c r="F9" t="s">
        <v>217</v>
      </c>
      <c r="G9" s="10" t="s">
        <v>226</v>
      </c>
      <c r="H9" s="10" t="s">
        <v>219</v>
      </c>
      <c r="I9" s="10" t="s">
        <v>223</v>
      </c>
      <c r="J9" s="10">
        <v>64.33</v>
      </c>
      <c r="K9" s="10">
        <v>55.66</v>
      </c>
      <c r="L9" s="10">
        <v>63.59</v>
      </c>
      <c r="M9" s="10">
        <v>80.430000000000007</v>
      </c>
      <c r="N9" s="10">
        <v>62.55</v>
      </c>
      <c r="O9" s="10">
        <v>61.99</v>
      </c>
      <c r="P9" s="10">
        <v>20</v>
      </c>
      <c r="Q9" s="10">
        <v>18.05</v>
      </c>
      <c r="R9" s="10">
        <v>12.9</v>
      </c>
      <c r="S9" s="10">
        <v>4.72</v>
      </c>
      <c r="T9" s="10">
        <v>0</v>
      </c>
      <c r="U9" s="10">
        <v>23.74</v>
      </c>
      <c r="V9" s="10">
        <v>30.37</v>
      </c>
      <c r="W9" s="10">
        <v>9</v>
      </c>
      <c r="X9" s="10">
        <v>0.48</v>
      </c>
      <c r="Y9" s="10">
        <v>60</v>
      </c>
      <c r="Z9" s="10">
        <v>20.43</v>
      </c>
      <c r="AA9" s="10">
        <v>19.38</v>
      </c>
      <c r="AB9" s="10">
        <v>23.05</v>
      </c>
      <c r="AC9" s="10">
        <v>0.12</v>
      </c>
      <c r="AD9" s="10">
        <v>20</v>
      </c>
      <c r="AE9" s="10">
        <v>61.99</v>
      </c>
      <c r="AF9" s="10">
        <v>40</v>
      </c>
      <c r="AG9" s="10">
        <v>25</v>
      </c>
      <c r="AH9" s="10" t="s">
        <v>508</v>
      </c>
      <c r="AI9" s="10">
        <v>2</v>
      </c>
      <c r="AJ9" s="10">
        <v>2</v>
      </c>
      <c r="AK9" s="10">
        <v>2</v>
      </c>
      <c r="AL9" s="10">
        <v>3</v>
      </c>
      <c r="AM9" s="10">
        <v>4</v>
      </c>
      <c r="AN9" s="10">
        <v>5</v>
      </c>
    </row>
    <row r="10" spans="1:41" x14ac:dyDescent="0.35">
      <c r="A10" s="12">
        <v>9</v>
      </c>
      <c r="B10" s="10" t="s">
        <v>227</v>
      </c>
      <c r="C10" s="13" t="s">
        <v>68</v>
      </c>
      <c r="D10" s="13" t="s">
        <v>228</v>
      </c>
      <c r="E10" t="s">
        <v>200</v>
      </c>
      <c r="F10" t="s">
        <v>194</v>
      </c>
      <c r="G10" s="10" t="s">
        <v>229</v>
      </c>
      <c r="H10" s="10" t="s">
        <v>213</v>
      </c>
      <c r="I10" s="10" t="s">
        <v>214</v>
      </c>
      <c r="J10" s="10">
        <v>63.88</v>
      </c>
      <c r="K10" s="10">
        <v>68.87</v>
      </c>
      <c r="L10" s="10">
        <v>46.88</v>
      </c>
      <c r="M10" s="10">
        <v>94.55</v>
      </c>
      <c r="N10" s="10">
        <v>60.04</v>
      </c>
      <c r="O10" s="10">
        <v>42.48</v>
      </c>
      <c r="P10" s="10">
        <v>17.5</v>
      </c>
      <c r="Q10" s="10">
        <v>24.07</v>
      </c>
      <c r="R10" s="10">
        <v>17.38</v>
      </c>
      <c r="S10" s="10">
        <v>9.92</v>
      </c>
      <c r="T10" s="10">
        <v>0</v>
      </c>
      <c r="U10" s="10">
        <v>18.63</v>
      </c>
      <c r="V10" s="10">
        <v>23.61</v>
      </c>
      <c r="W10" s="10">
        <v>3</v>
      </c>
      <c r="X10" s="10">
        <v>1.64</v>
      </c>
      <c r="Y10" s="10">
        <v>59.87</v>
      </c>
      <c r="Z10" s="10">
        <v>34.69</v>
      </c>
      <c r="AA10" s="10">
        <v>9.08</v>
      </c>
      <c r="AB10" s="10">
        <v>25.83</v>
      </c>
      <c r="AC10" s="10">
        <v>5.13</v>
      </c>
      <c r="AD10" s="10">
        <v>20</v>
      </c>
      <c r="AE10" s="10">
        <v>42.48</v>
      </c>
      <c r="AF10" s="10">
        <v>140</v>
      </c>
      <c r="AG10" s="10">
        <v>150</v>
      </c>
      <c r="AH10" s="10" t="s">
        <v>509</v>
      </c>
      <c r="AI10" s="10">
        <v>1</v>
      </c>
    </row>
    <row r="11" spans="1:41" x14ac:dyDescent="0.35">
      <c r="A11" s="14">
        <v>10</v>
      </c>
      <c r="B11" s="10" t="s">
        <v>230</v>
      </c>
      <c r="C11" s="13" t="s">
        <v>69</v>
      </c>
      <c r="D11" s="13" t="s">
        <v>231</v>
      </c>
      <c r="E11" t="s">
        <v>200</v>
      </c>
      <c r="F11" t="s">
        <v>194</v>
      </c>
      <c r="G11" s="10" t="s">
        <v>232</v>
      </c>
      <c r="H11" s="10" t="s">
        <v>196</v>
      </c>
      <c r="I11" s="10" t="s">
        <v>233</v>
      </c>
      <c r="J11" s="10">
        <v>62.09</v>
      </c>
      <c r="K11" s="10">
        <v>70.459999999999994</v>
      </c>
      <c r="L11" s="10">
        <v>44.54</v>
      </c>
      <c r="M11" s="10">
        <v>83.27</v>
      </c>
      <c r="N11" s="10">
        <v>66.58</v>
      </c>
      <c r="O11" s="10">
        <v>42.78</v>
      </c>
      <c r="P11" s="10">
        <v>14.08</v>
      </c>
      <c r="Q11" s="10">
        <v>25</v>
      </c>
      <c r="R11" s="10">
        <v>19.07</v>
      </c>
      <c r="S11" s="10">
        <v>9.82</v>
      </c>
      <c r="T11" s="10">
        <v>2.5</v>
      </c>
      <c r="U11" s="10">
        <v>20.28</v>
      </c>
      <c r="V11" s="10">
        <v>20.53</v>
      </c>
      <c r="W11" s="10">
        <v>2.5</v>
      </c>
      <c r="X11" s="10">
        <v>1.24</v>
      </c>
      <c r="Y11" s="10">
        <v>60</v>
      </c>
      <c r="Z11" s="10">
        <v>23.27</v>
      </c>
      <c r="AA11" s="10">
        <v>18.71</v>
      </c>
      <c r="AB11" s="10">
        <v>27.87</v>
      </c>
      <c r="AC11" s="10">
        <v>0</v>
      </c>
      <c r="AD11" s="10">
        <v>20</v>
      </c>
      <c r="AE11" s="10">
        <v>42.78</v>
      </c>
      <c r="AF11" s="10">
        <v>30</v>
      </c>
      <c r="AG11" s="10">
        <v>35</v>
      </c>
      <c r="AH11" s="10" t="s">
        <v>506</v>
      </c>
      <c r="AI11" s="10">
        <v>1</v>
      </c>
      <c r="AJ11" s="10">
        <v>3</v>
      </c>
      <c r="AK11" s="10">
        <v>4</v>
      </c>
      <c r="AL11" s="10">
        <v>5</v>
      </c>
      <c r="AM11" s="10">
        <v>7</v>
      </c>
      <c r="AN11" s="10">
        <v>8</v>
      </c>
    </row>
    <row r="12" spans="1:41" x14ac:dyDescent="0.35">
      <c r="A12" s="12">
        <v>11</v>
      </c>
      <c r="B12" s="10" t="s">
        <v>234</v>
      </c>
      <c r="C12" s="13" t="s">
        <v>70</v>
      </c>
      <c r="D12" s="13" t="s">
        <v>235</v>
      </c>
      <c r="E12" t="s">
        <v>200</v>
      </c>
      <c r="F12" t="s">
        <v>194</v>
      </c>
      <c r="G12" s="10" t="s">
        <v>202</v>
      </c>
      <c r="H12" s="10" t="s">
        <v>196</v>
      </c>
      <c r="I12" s="10" t="s">
        <v>202</v>
      </c>
      <c r="J12" s="10">
        <v>61.45</v>
      </c>
      <c r="K12" s="10">
        <v>46.65</v>
      </c>
      <c r="L12" s="10">
        <v>54.3</v>
      </c>
      <c r="M12" s="10">
        <v>97.84</v>
      </c>
      <c r="N12" s="10">
        <v>63.98</v>
      </c>
      <c r="O12" s="10">
        <v>51.89</v>
      </c>
      <c r="P12" s="10">
        <v>18.82</v>
      </c>
      <c r="Q12" s="10">
        <v>10.87</v>
      </c>
      <c r="R12" s="10">
        <v>8.4499999999999993</v>
      </c>
      <c r="S12" s="10">
        <v>8.52</v>
      </c>
      <c r="T12" s="10">
        <v>0</v>
      </c>
      <c r="U12" s="10">
        <v>22.89</v>
      </c>
      <c r="V12" s="10">
        <v>27.05</v>
      </c>
      <c r="W12" s="10">
        <v>2.5</v>
      </c>
      <c r="X12" s="10">
        <v>1.87</v>
      </c>
      <c r="Y12" s="10">
        <v>57.84</v>
      </c>
      <c r="Z12" s="10">
        <v>40</v>
      </c>
      <c r="AA12" s="10">
        <v>16.89</v>
      </c>
      <c r="AB12" s="10">
        <v>26.72</v>
      </c>
      <c r="AC12" s="10">
        <v>0.37</v>
      </c>
      <c r="AD12" s="10">
        <v>20</v>
      </c>
      <c r="AE12" s="10">
        <v>51.89</v>
      </c>
      <c r="AF12" s="10">
        <v>10</v>
      </c>
      <c r="AG12" s="10">
        <v>20</v>
      </c>
      <c r="AH12" s="10" t="s">
        <v>509</v>
      </c>
      <c r="AI12" s="10">
        <v>2</v>
      </c>
      <c r="AJ12" s="10">
        <v>4</v>
      </c>
      <c r="AK12" s="10">
        <v>6</v>
      </c>
      <c r="AL12" s="10">
        <v>6</v>
      </c>
      <c r="AM12" s="10">
        <v>7</v>
      </c>
      <c r="AN12" s="10">
        <v>8</v>
      </c>
    </row>
    <row r="13" spans="1:41" x14ac:dyDescent="0.35">
      <c r="A13" s="14">
        <v>12</v>
      </c>
      <c r="B13" s="10" t="s">
        <v>236</v>
      </c>
      <c r="C13" s="13" t="s">
        <v>71</v>
      </c>
      <c r="D13" s="13" t="s">
        <v>237</v>
      </c>
      <c r="E13" t="s">
        <v>168</v>
      </c>
      <c r="F13" t="s">
        <v>207</v>
      </c>
      <c r="G13" s="10" t="s">
        <v>208</v>
      </c>
      <c r="H13" s="10" t="s">
        <v>196</v>
      </c>
      <c r="I13" s="10" t="s">
        <v>209</v>
      </c>
      <c r="J13" s="10">
        <v>61.14</v>
      </c>
      <c r="K13" s="10">
        <v>66.11</v>
      </c>
      <c r="L13" s="10">
        <v>42.3</v>
      </c>
      <c r="M13" s="10">
        <v>97.37</v>
      </c>
      <c r="N13" s="10">
        <v>53.01</v>
      </c>
      <c r="O13" s="10">
        <v>38.53</v>
      </c>
      <c r="P13" s="10">
        <v>15.71</v>
      </c>
      <c r="Q13" s="10">
        <v>25</v>
      </c>
      <c r="R13" s="10">
        <v>17.71</v>
      </c>
      <c r="S13" s="10">
        <v>7.69</v>
      </c>
      <c r="T13" s="10">
        <v>0</v>
      </c>
      <c r="U13" s="10">
        <v>16.79</v>
      </c>
      <c r="V13" s="10">
        <v>19.66</v>
      </c>
      <c r="W13" s="10">
        <v>1.5</v>
      </c>
      <c r="X13" s="10">
        <v>4.3600000000000003</v>
      </c>
      <c r="Y13" s="10">
        <v>60</v>
      </c>
      <c r="Z13" s="10">
        <v>37.369999999999997</v>
      </c>
      <c r="AA13" s="10">
        <v>2.72</v>
      </c>
      <c r="AB13" s="10">
        <v>30</v>
      </c>
      <c r="AC13" s="10">
        <v>0.28999999999999998</v>
      </c>
      <c r="AD13" s="10">
        <v>20</v>
      </c>
      <c r="AE13" s="10">
        <v>38.53</v>
      </c>
      <c r="AF13" s="10">
        <v>5</v>
      </c>
      <c r="AG13" s="10">
        <v>15</v>
      </c>
      <c r="AH13" s="10" t="s">
        <v>504</v>
      </c>
      <c r="AI13" s="10">
        <v>0</v>
      </c>
    </row>
    <row r="14" spans="1:41" x14ac:dyDescent="0.35">
      <c r="A14" s="12">
        <v>13</v>
      </c>
      <c r="B14" s="10" t="s">
        <v>238</v>
      </c>
      <c r="C14" s="13" t="s">
        <v>72</v>
      </c>
      <c r="D14" s="13" t="s">
        <v>239</v>
      </c>
      <c r="E14" t="s">
        <v>193</v>
      </c>
      <c r="F14" t="s">
        <v>217</v>
      </c>
      <c r="G14" s="10" t="s">
        <v>240</v>
      </c>
      <c r="H14" s="10" t="s">
        <v>196</v>
      </c>
      <c r="I14" s="10" t="s">
        <v>223</v>
      </c>
      <c r="J14" s="10">
        <v>60.98</v>
      </c>
      <c r="K14" s="10">
        <v>69.83</v>
      </c>
      <c r="L14" s="10">
        <v>52.18</v>
      </c>
      <c r="M14" s="10">
        <v>71.3</v>
      </c>
      <c r="N14" s="10">
        <v>67.38</v>
      </c>
      <c r="O14" s="10">
        <v>33.76</v>
      </c>
      <c r="P14" s="10">
        <v>15.5</v>
      </c>
      <c r="Q14" s="10">
        <v>25</v>
      </c>
      <c r="R14" s="10">
        <v>19.84</v>
      </c>
      <c r="S14" s="10">
        <v>9.49</v>
      </c>
      <c r="T14" s="10">
        <v>0</v>
      </c>
      <c r="U14" s="10">
        <v>23.77</v>
      </c>
      <c r="V14" s="10">
        <v>21.06</v>
      </c>
      <c r="W14" s="10">
        <v>6</v>
      </c>
      <c r="X14" s="10">
        <v>1.36</v>
      </c>
      <c r="Y14" s="10">
        <v>60</v>
      </c>
      <c r="Z14" s="10">
        <v>11.3</v>
      </c>
      <c r="AA14" s="10">
        <v>15.77</v>
      </c>
      <c r="AB14" s="10">
        <v>27.47</v>
      </c>
      <c r="AC14" s="10">
        <v>4.1399999999999997</v>
      </c>
      <c r="AD14" s="10">
        <v>20</v>
      </c>
      <c r="AE14" s="10">
        <v>33.76</v>
      </c>
      <c r="AF14" s="10">
        <v>20</v>
      </c>
      <c r="AG14" s="10">
        <v>25</v>
      </c>
      <c r="AH14" s="10" t="s">
        <v>508</v>
      </c>
      <c r="AI14" s="10">
        <v>1</v>
      </c>
      <c r="AJ14" s="10">
        <v>2</v>
      </c>
      <c r="AK14" s="10">
        <v>2</v>
      </c>
      <c r="AL14" s="10">
        <v>3</v>
      </c>
      <c r="AM14" s="10">
        <v>4</v>
      </c>
      <c r="AN14" s="10">
        <v>6</v>
      </c>
    </row>
    <row r="15" spans="1:41" x14ac:dyDescent="0.35">
      <c r="A15" s="14">
        <v>14</v>
      </c>
      <c r="B15" s="10" t="s">
        <v>241</v>
      </c>
      <c r="C15" s="13" t="s">
        <v>73</v>
      </c>
      <c r="D15" s="13" t="s">
        <v>242</v>
      </c>
      <c r="E15" t="s">
        <v>168</v>
      </c>
      <c r="F15" t="s">
        <v>207</v>
      </c>
      <c r="G15" s="10" t="s">
        <v>240</v>
      </c>
      <c r="H15" s="10" t="s">
        <v>196</v>
      </c>
      <c r="I15" s="10" t="s">
        <v>223</v>
      </c>
      <c r="J15" s="10">
        <v>60.48</v>
      </c>
      <c r="K15" s="10">
        <v>56.24</v>
      </c>
      <c r="L15" s="10">
        <v>64.239999999999995</v>
      </c>
      <c r="M15" s="10">
        <v>74.58</v>
      </c>
      <c r="N15" s="10">
        <v>50.29</v>
      </c>
      <c r="O15" s="10">
        <v>43.87</v>
      </c>
      <c r="P15" s="10">
        <v>15.25</v>
      </c>
      <c r="Q15" s="10">
        <v>18.489999999999998</v>
      </c>
      <c r="R15" s="10">
        <v>12.57</v>
      </c>
      <c r="S15" s="10">
        <v>6.92</v>
      </c>
      <c r="T15" s="10">
        <v>3</v>
      </c>
      <c r="U15" s="10">
        <v>24.18</v>
      </c>
      <c r="V15" s="10">
        <v>27.06</v>
      </c>
      <c r="W15" s="10">
        <v>10</v>
      </c>
      <c r="X15" s="10">
        <v>2.99</v>
      </c>
      <c r="Y15" s="10">
        <v>57.43</v>
      </c>
      <c r="Z15" s="10">
        <v>17.16</v>
      </c>
      <c r="AA15" s="10">
        <v>0.77</v>
      </c>
      <c r="AB15" s="10">
        <v>25.5</v>
      </c>
      <c r="AC15" s="10">
        <v>4.0199999999999996</v>
      </c>
      <c r="AD15" s="10">
        <v>20</v>
      </c>
      <c r="AE15" s="10">
        <v>43.87</v>
      </c>
      <c r="AF15" s="10">
        <v>10</v>
      </c>
      <c r="AG15" s="10">
        <v>10.8</v>
      </c>
      <c r="AH15" s="10" t="s">
        <v>508</v>
      </c>
      <c r="AI15" s="10">
        <v>1</v>
      </c>
    </row>
    <row r="16" spans="1:41" x14ac:dyDescent="0.35">
      <c r="A16" s="12">
        <v>15</v>
      </c>
      <c r="B16" s="10" t="s">
        <v>243</v>
      </c>
      <c r="C16" s="13" t="s">
        <v>76</v>
      </c>
      <c r="D16" s="13" t="s">
        <v>244</v>
      </c>
      <c r="E16" t="s">
        <v>193</v>
      </c>
      <c r="F16" t="s">
        <v>217</v>
      </c>
      <c r="G16" s="10" t="s">
        <v>245</v>
      </c>
      <c r="H16" s="10" t="s">
        <v>213</v>
      </c>
      <c r="I16" s="10" t="s">
        <v>246</v>
      </c>
      <c r="J16" s="10">
        <v>60.33</v>
      </c>
      <c r="K16" s="10">
        <v>69.78</v>
      </c>
      <c r="L16" s="10">
        <v>40.1</v>
      </c>
      <c r="M16" s="10">
        <v>73.260000000000005</v>
      </c>
      <c r="N16" s="10">
        <v>73.349999999999994</v>
      </c>
      <c r="O16" s="10">
        <v>53.88</v>
      </c>
      <c r="P16" s="10">
        <v>17.29</v>
      </c>
      <c r="Q16" s="10">
        <v>25</v>
      </c>
      <c r="R16" s="10">
        <v>15.7</v>
      </c>
      <c r="S16" s="10">
        <v>11.8</v>
      </c>
      <c r="T16" s="10">
        <v>0</v>
      </c>
      <c r="U16" s="10">
        <v>15.03</v>
      </c>
      <c r="V16" s="10">
        <v>16.690000000000001</v>
      </c>
      <c r="W16" s="10">
        <v>5</v>
      </c>
      <c r="X16" s="10">
        <v>3.38</v>
      </c>
      <c r="Y16" s="10">
        <v>60</v>
      </c>
      <c r="Z16" s="10">
        <v>13.26</v>
      </c>
      <c r="AA16" s="10">
        <v>22.11</v>
      </c>
      <c r="AB16" s="10">
        <v>30</v>
      </c>
      <c r="AC16" s="10">
        <v>1.24</v>
      </c>
      <c r="AD16" s="10">
        <v>20</v>
      </c>
      <c r="AE16" s="10">
        <v>53.88</v>
      </c>
      <c r="AF16" s="10">
        <v>10</v>
      </c>
      <c r="AG16" s="10">
        <v>7</v>
      </c>
      <c r="AH16" s="10" t="s">
        <v>511</v>
      </c>
      <c r="AI16" s="26">
        <v>0</v>
      </c>
      <c r="AJ16" s="10">
        <v>1</v>
      </c>
      <c r="AK16" s="10">
        <v>3</v>
      </c>
      <c r="AL16" s="10">
        <v>4</v>
      </c>
      <c r="AM16" s="10">
        <v>5</v>
      </c>
      <c r="AN16" s="10">
        <v>8</v>
      </c>
    </row>
    <row r="17" spans="1:41" x14ac:dyDescent="0.35">
      <c r="A17" s="14">
        <v>16</v>
      </c>
      <c r="B17" s="10" t="s">
        <v>247</v>
      </c>
      <c r="C17" s="13" t="s">
        <v>77</v>
      </c>
      <c r="D17" s="13" t="s">
        <v>248</v>
      </c>
      <c r="E17" t="s">
        <v>193</v>
      </c>
      <c r="F17" t="s">
        <v>217</v>
      </c>
      <c r="G17" s="10" t="s">
        <v>245</v>
      </c>
      <c r="H17" s="10" t="s">
        <v>213</v>
      </c>
      <c r="I17" s="10" t="s">
        <v>246</v>
      </c>
      <c r="J17" s="10">
        <v>60.09</v>
      </c>
      <c r="K17" s="10">
        <v>69.63</v>
      </c>
      <c r="L17" s="10">
        <v>38.020000000000003</v>
      </c>
      <c r="M17" s="10">
        <v>78.87</v>
      </c>
      <c r="N17" s="10">
        <v>80.13</v>
      </c>
      <c r="O17" s="10">
        <v>40.08</v>
      </c>
      <c r="P17" s="10">
        <v>19</v>
      </c>
      <c r="Q17" s="10">
        <v>25</v>
      </c>
      <c r="R17" s="10">
        <v>18.02</v>
      </c>
      <c r="S17" s="10">
        <v>7.61</v>
      </c>
      <c r="T17" s="10">
        <v>0</v>
      </c>
      <c r="U17" s="10">
        <v>11.71</v>
      </c>
      <c r="V17" s="10">
        <v>16.28</v>
      </c>
      <c r="W17" s="10">
        <v>9</v>
      </c>
      <c r="X17" s="10">
        <v>1.03</v>
      </c>
      <c r="Y17" s="10">
        <v>60</v>
      </c>
      <c r="Z17" s="10">
        <v>18.87</v>
      </c>
      <c r="AA17" s="10">
        <v>26.75</v>
      </c>
      <c r="AB17" s="10">
        <v>30</v>
      </c>
      <c r="AC17" s="10">
        <v>3.38</v>
      </c>
      <c r="AD17" s="10">
        <v>20</v>
      </c>
      <c r="AE17" s="10">
        <v>40.08</v>
      </c>
      <c r="AF17" s="10">
        <v>11</v>
      </c>
      <c r="AG17" s="10">
        <v>13</v>
      </c>
      <c r="AH17" s="10" t="s">
        <v>511</v>
      </c>
      <c r="AI17" s="10">
        <v>0</v>
      </c>
      <c r="AJ17" s="10">
        <v>2</v>
      </c>
      <c r="AK17" s="10">
        <v>4</v>
      </c>
      <c r="AL17" s="10">
        <v>4</v>
      </c>
      <c r="AM17" s="10">
        <v>5</v>
      </c>
      <c r="AN17" s="10">
        <v>9</v>
      </c>
    </row>
    <row r="18" spans="1:41" x14ac:dyDescent="0.35">
      <c r="A18" s="12">
        <v>17</v>
      </c>
      <c r="B18" s="10" t="s">
        <v>249</v>
      </c>
      <c r="C18" s="13" t="s">
        <v>78</v>
      </c>
      <c r="D18" s="13" t="s">
        <v>250</v>
      </c>
      <c r="E18" t="s">
        <v>193</v>
      </c>
      <c r="F18" t="s">
        <v>194</v>
      </c>
      <c r="G18" s="10" t="s">
        <v>251</v>
      </c>
      <c r="H18" s="10" t="s">
        <v>196</v>
      </c>
      <c r="I18" s="10" t="s">
        <v>252</v>
      </c>
      <c r="J18" s="10">
        <v>59.31</v>
      </c>
      <c r="K18" s="10">
        <v>73.14</v>
      </c>
      <c r="L18" s="10">
        <v>49.45</v>
      </c>
      <c r="M18" s="10">
        <v>71.36</v>
      </c>
      <c r="N18" s="10">
        <v>54.35</v>
      </c>
      <c r="O18" s="10">
        <v>28.26</v>
      </c>
      <c r="P18" s="10">
        <v>10.31</v>
      </c>
      <c r="Q18" s="10">
        <v>25</v>
      </c>
      <c r="R18" s="10">
        <v>17.84</v>
      </c>
      <c r="S18" s="10">
        <v>20</v>
      </c>
      <c r="T18" s="10">
        <v>0</v>
      </c>
      <c r="U18" s="10">
        <v>21.9</v>
      </c>
      <c r="V18" s="10">
        <v>22.34</v>
      </c>
      <c r="W18" s="10">
        <v>1</v>
      </c>
      <c r="X18" s="10">
        <v>4.21</v>
      </c>
      <c r="Y18" s="10">
        <v>44.37</v>
      </c>
      <c r="Z18" s="10">
        <v>26.99</v>
      </c>
      <c r="AA18" s="10">
        <v>15.65</v>
      </c>
      <c r="AB18" s="10">
        <v>23.7</v>
      </c>
      <c r="AC18" s="10">
        <v>0</v>
      </c>
      <c r="AD18" s="10">
        <v>15</v>
      </c>
      <c r="AE18" s="10">
        <v>28.26</v>
      </c>
      <c r="AF18" s="10">
        <v>15</v>
      </c>
      <c r="AG18" s="10">
        <v>15</v>
      </c>
      <c r="AH18" s="10" t="s">
        <v>512</v>
      </c>
      <c r="AI18" s="10">
        <v>0</v>
      </c>
      <c r="AJ18" s="10">
        <v>1</v>
      </c>
      <c r="AK18" s="10">
        <v>1</v>
      </c>
      <c r="AL18" s="10">
        <v>3</v>
      </c>
      <c r="AM18" s="10">
        <v>3</v>
      </c>
      <c r="AN18" s="10">
        <v>6</v>
      </c>
    </row>
    <row r="19" spans="1:41" x14ac:dyDescent="0.35">
      <c r="A19" s="14">
        <v>18</v>
      </c>
      <c r="B19" s="10" t="s">
        <v>253</v>
      </c>
      <c r="C19" s="13" t="s">
        <v>79</v>
      </c>
      <c r="D19" s="13" t="s">
        <v>254</v>
      </c>
      <c r="E19" t="s">
        <v>193</v>
      </c>
      <c r="F19" t="s">
        <v>217</v>
      </c>
      <c r="G19" s="10" t="s">
        <v>240</v>
      </c>
      <c r="H19" s="10" t="s">
        <v>196</v>
      </c>
      <c r="I19" s="10" t="s">
        <v>223</v>
      </c>
      <c r="J19" s="10">
        <v>58.73</v>
      </c>
      <c r="K19" s="10">
        <v>61.62</v>
      </c>
      <c r="L19" s="10">
        <v>47.02</v>
      </c>
      <c r="M19" s="10">
        <v>74.95</v>
      </c>
      <c r="N19" s="10">
        <v>64.61</v>
      </c>
      <c r="O19" s="10">
        <v>46.76</v>
      </c>
      <c r="P19" s="10">
        <v>18.11</v>
      </c>
      <c r="Q19" s="10">
        <v>20.52</v>
      </c>
      <c r="R19" s="10">
        <v>13.22</v>
      </c>
      <c r="S19" s="10">
        <v>7.76</v>
      </c>
      <c r="T19" s="10">
        <v>2</v>
      </c>
      <c r="U19" s="10">
        <v>17.989999999999998</v>
      </c>
      <c r="V19" s="10">
        <v>23.5</v>
      </c>
      <c r="W19" s="10">
        <v>4.5</v>
      </c>
      <c r="X19" s="10">
        <v>1.04</v>
      </c>
      <c r="Y19" s="10">
        <v>60</v>
      </c>
      <c r="Z19" s="10">
        <v>14.95</v>
      </c>
      <c r="AA19" s="10">
        <v>17.72</v>
      </c>
      <c r="AB19" s="10">
        <v>25.3</v>
      </c>
      <c r="AC19" s="10">
        <v>1.59</v>
      </c>
      <c r="AD19" s="10">
        <v>20</v>
      </c>
      <c r="AE19" s="10">
        <v>46.76</v>
      </c>
      <c r="AF19" s="10">
        <v>45</v>
      </c>
      <c r="AG19" s="10">
        <v>23</v>
      </c>
      <c r="AH19" s="10" t="s">
        <v>508</v>
      </c>
      <c r="AI19" s="10">
        <v>1</v>
      </c>
      <c r="AJ19" s="10">
        <v>2</v>
      </c>
      <c r="AK19" s="10">
        <v>2</v>
      </c>
      <c r="AL19" s="10">
        <v>2</v>
      </c>
      <c r="AM19" s="10">
        <v>4</v>
      </c>
      <c r="AN19" s="10">
        <v>6</v>
      </c>
    </row>
    <row r="20" spans="1:41" x14ac:dyDescent="0.35">
      <c r="A20" s="12">
        <v>19</v>
      </c>
      <c r="B20" s="10" t="s">
        <v>255</v>
      </c>
      <c r="C20" s="13" t="s">
        <v>80</v>
      </c>
      <c r="D20" s="13" t="s">
        <v>256</v>
      </c>
      <c r="E20" t="s">
        <v>168</v>
      </c>
      <c r="F20" t="s">
        <v>207</v>
      </c>
      <c r="G20" s="10" t="s">
        <v>257</v>
      </c>
      <c r="H20" s="10" t="s">
        <v>196</v>
      </c>
      <c r="I20" s="10" t="s">
        <v>252</v>
      </c>
      <c r="J20" s="10">
        <v>58.31</v>
      </c>
      <c r="K20" s="10">
        <v>60.99</v>
      </c>
      <c r="L20" s="10">
        <v>39.299999999999997</v>
      </c>
      <c r="M20" s="10">
        <v>94.63</v>
      </c>
      <c r="N20" s="10">
        <v>51.78</v>
      </c>
      <c r="O20" s="10">
        <v>41.07</v>
      </c>
      <c r="P20" s="10">
        <v>14.29</v>
      </c>
      <c r="Q20" s="10">
        <v>17.2</v>
      </c>
      <c r="R20" s="10">
        <v>11.56</v>
      </c>
      <c r="S20" s="10">
        <v>10.94</v>
      </c>
      <c r="T20" s="10">
        <v>7</v>
      </c>
      <c r="U20" s="10">
        <v>18.559999999999999</v>
      </c>
      <c r="V20" s="10">
        <v>19.010000000000002</v>
      </c>
      <c r="W20" s="10">
        <v>0</v>
      </c>
      <c r="X20" s="10">
        <v>1.74</v>
      </c>
      <c r="Y20" s="10">
        <v>60</v>
      </c>
      <c r="Z20" s="10">
        <v>34.630000000000003</v>
      </c>
      <c r="AA20" s="10">
        <v>4.32</v>
      </c>
      <c r="AB20" s="10">
        <v>26.42</v>
      </c>
      <c r="AC20" s="10">
        <v>1.03</v>
      </c>
      <c r="AD20" s="10">
        <v>20</v>
      </c>
      <c r="AE20" s="10">
        <v>41.07</v>
      </c>
      <c r="AF20" s="10">
        <v>8</v>
      </c>
      <c r="AG20" s="10">
        <v>12</v>
      </c>
      <c r="AH20" s="10" t="s">
        <v>513</v>
      </c>
      <c r="AI20" s="10">
        <v>0</v>
      </c>
    </row>
    <row r="21" spans="1:41" x14ac:dyDescent="0.35">
      <c r="A21" s="14">
        <v>20</v>
      </c>
      <c r="B21" s="10" t="s">
        <v>258</v>
      </c>
      <c r="C21" s="13" t="s">
        <v>81</v>
      </c>
      <c r="D21" s="13" t="s">
        <v>259</v>
      </c>
      <c r="E21" t="s">
        <v>193</v>
      </c>
      <c r="F21" t="s">
        <v>217</v>
      </c>
      <c r="G21" s="10" t="s">
        <v>260</v>
      </c>
      <c r="H21" s="10" t="s">
        <v>219</v>
      </c>
      <c r="I21" s="10" t="s">
        <v>261</v>
      </c>
      <c r="J21" s="10">
        <v>58</v>
      </c>
      <c r="K21" s="10">
        <v>61.65</v>
      </c>
      <c r="L21" s="10">
        <v>56.26</v>
      </c>
      <c r="M21" s="10">
        <v>74.650000000000006</v>
      </c>
      <c r="N21" s="10">
        <v>59.16</v>
      </c>
      <c r="O21" s="10">
        <v>17.71</v>
      </c>
      <c r="P21" s="10">
        <v>17.5</v>
      </c>
      <c r="Q21" s="10">
        <v>18.95</v>
      </c>
      <c r="R21" s="10">
        <v>14.93</v>
      </c>
      <c r="S21" s="10">
        <v>10.27</v>
      </c>
      <c r="T21" s="10">
        <v>0</v>
      </c>
      <c r="U21" s="10">
        <v>21.03</v>
      </c>
      <c r="V21" s="10">
        <v>24.68</v>
      </c>
      <c r="W21" s="10">
        <v>4</v>
      </c>
      <c r="X21" s="10">
        <v>6.55</v>
      </c>
      <c r="Y21" s="10">
        <v>60</v>
      </c>
      <c r="Z21" s="10">
        <v>14.65</v>
      </c>
      <c r="AA21" s="10">
        <v>21.9</v>
      </c>
      <c r="AB21" s="10">
        <v>17.239999999999998</v>
      </c>
      <c r="AC21" s="10">
        <v>0.02</v>
      </c>
      <c r="AD21" s="10">
        <v>20</v>
      </c>
      <c r="AE21" s="10">
        <v>17.71</v>
      </c>
      <c r="AF21" s="10">
        <v>200</v>
      </c>
      <c r="AG21" s="10">
        <v>200</v>
      </c>
      <c r="AH21" s="10" t="s">
        <v>514</v>
      </c>
      <c r="AI21" s="10">
        <v>1</v>
      </c>
      <c r="AJ21" s="10">
        <v>3</v>
      </c>
      <c r="AK21" s="10">
        <v>4</v>
      </c>
      <c r="AL21" s="10">
        <v>6</v>
      </c>
      <c r="AM21" s="10">
        <v>7</v>
      </c>
      <c r="AN21" s="10">
        <v>9</v>
      </c>
    </row>
    <row r="22" spans="1:41" x14ac:dyDescent="0.35">
      <c r="A22" s="12">
        <v>21</v>
      </c>
      <c r="B22" s="10" t="s">
        <v>262</v>
      </c>
      <c r="C22" s="13" t="s">
        <v>82</v>
      </c>
      <c r="D22" s="13" t="s">
        <v>263</v>
      </c>
      <c r="E22" t="s">
        <v>168</v>
      </c>
      <c r="F22" t="s">
        <v>207</v>
      </c>
      <c r="G22" s="10" t="s">
        <v>222</v>
      </c>
      <c r="H22" s="10" t="s">
        <v>213</v>
      </c>
      <c r="I22" s="10" t="s">
        <v>223</v>
      </c>
      <c r="J22" s="10">
        <v>57.82</v>
      </c>
      <c r="K22" s="10">
        <v>63.1</v>
      </c>
      <c r="L22" s="10">
        <v>43.77</v>
      </c>
      <c r="M22" s="10">
        <v>78.87</v>
      </c>
      <c r="N22" s="10">
        <v>51.98</v>
      </c>
      <c r="O22" s="10">
        <v>47.86</v>
      </c>
      <c r="P22" s="10">
        <v>11.43</v>
      </c>
      <c r="Q22" s="10">
        <v>24.56</v>
      </c>
      <c r="R22" s="10">
        <v>18.079999999999998</v>
      </c>
      <c r="S22" s="10">
        <v>9.0299999999999994</v>
      </c>
      <c r="T22" s="10">
        <v>0</v>
      </c>
      <c r="U22" s="10">
        <v>21.21</v>
      </c>
      <c r="V22" s="10">
        <v>20.49</v>
      </c>
      <c r="W22" s="10">
        <v>1</v>
      </c>
      <c r="X22" s="10">
        <v>0.97</v>
      </c>
      <c r="Y22" s="10">
        <v>60</v>
      </c>
      <c r="Z22" s="10">
        <v>18.87</v>
      </c>
      <c r="AA22" s="10">
        <v>2.36</v>
      </c>
      <c r="AB22" s="10">
        <v>30</v>
      </c>
      <c r="AC22" s="10">
        <v>1.62</v>
      </c>
      <c r="AD22" s="10">
        <v>18</v>
      </c>
      <c r="AE22" s="10">
        <v>47.86</v>
      </c>
      <c r="AF22" s="10">
        <v>12</v>
      </c>
      <c r="AG22" s="10">
        <v>22</v>
      </c>
      <c r="AH22" s="10" t="s">
        <v>507</v>
      </c>
      <c r="AI22" s="10">
        <v>2</v>
      </c>
    </row>
    <row r="23" spans="1:41" x14ac:dyDescent="0.35">
      <c r="A23" s="14">
        <v>22</v>
      </c>
      <c r="B23" s="10" t="s">
        <v>264</v>
      </c>
      <c r="C23" s="13" t="s">
        <v>83</v>
      </c>
      <c r="D23" s="13" t="s">
        <v>265</v>
      </c>
      <c r="E23" t="s">
        <v>193</v>
      </c>
      <c r="F23" t="s">
        <v>217</v>
      </c>
      <c r="G23" s="10" t="s">
        <v>266</v>
      </c>
      <c r="H23" s="10" t="s">
        <v>219</v>
      </c>
      <c r="I23" s="10" t="s">
        <v>267</v>
      </c>
      <c r="J23" s="10">
        <v>57.32</v>
      </c>
      <c r="K23" s="10">
        <v>62.01</v>
      </c>
      <c r="L23" s="10">
        <v>49.73</v>
      </c>
      <c r="M23" s="10">
        <v>72.17</v>
      </c>
      <c r="N23" s="10">
        <v>64.05</v>
      </c>
      <c r="O23" s="10">
        <v>29.71</v>
      </c>
      <c r="P23" s="10">
        <v>15.83</v>
      </c>
      <c r="Q23" s="10">
        <v>21.94</v>
      </c>
      <c r="R23" s="10">
        <v>15.01</v>
      </c>
      <c r="S23" s="10">
        <v>9.24</v>
      </c>
      <c r="T23" s="10">
        <v>0</v>
      </c>
      <c r="U23" s="10">
        <v>19.12</v>
      </c>
      <c r="V23" s="10">
        <v>23.91</v>
      </c>
      <c r="W23" s="10">
        <v>6</v>
      </c>
      <c r="X23" s="10">
        <v>0.7</v>
      </c>
      <c r="Y23" s="10">
        <v>60</v>
      </c>
      <c r="Z23" s="10">
        <v>12.17</v>
      </c>
      <c r="AA23" s="10">
        <v>18.059999999999999</v>
      </c>
      <c r="AB23" s="10">
        <v>25.21</v>
      </c>
      <c r="AC23" s="10">
        <v>0.78</v>
      </c>
      <c r="AD23" s="10">
        <v>20</v>
      </c>
      <c r="AE23" s="10">
        <v>29.71</v>
      </c>
      <c r="AF23" s="10">
        <v>7</v>
      </c>
      <c r="AG23" s="10">
        <v>68</v>
      </c>
      <c r="AH23" s="10" t="s">
        <v>515</v>
      </c>
      <c r="AI23" s="10">
        <v>2</v>
      </c>
      <c r="AJ23" s="10">
        <v>5</v>
      </c>
      <c r="AK23" s="10">
        <v>6</v>
      </c>
      <c r="AL23" s="10">
        <v>7</v>
      </c>
      <c r="AM23" s="10">
        <v>8</v>
      </c>
      <c r="AN23" s="10">
        <v>8</v>
      </c>
    </row>
    <row r="24" spans="1:41" x14ac:dyDescent="0.35">
      <c r="A24" s="12">
        <v>23</v>
      </c>
      <c r="B24" s="10" t="s">
        <v>268</v>
      </c>
      <c r="C24" s="13" t="s">
        <v>84</v>
      </c>
      <c r="D24" s="13" t="s">
        <v>269</v>
      </c>
      <c r="E24" s="15" t="s">
        <v>193</v>
      </c>
      <c r="F24" s="15" t="s">
        <v>207</v>
      </c>
      <c r="G24" s="10" t="s">
        <v>251</v>
      </c>
      <c r="H24" s="10" t="s">
        <v>196</v>
      </c>
      <c r="I24" s="10" t="s">
        <v>252</v>
      </c>
      <c r="J24" s="10">
        <v>57.06</v>
      </c>
      <c r="K24" s="10">
        <v>56.32</v>
      </c>
      <c r="L24" s="10">
        <v>49.6</v>
      </c>
      <c r="M24" s="10">
        <v>77.89</v>
      </c>
      <c r="N24" s="10">
        <v>55.88</v>
      </c>
      <c r="O24" s="10">
        <v>41.07</v>
      </c>
      <c r="P24" s="10">
        <v>10.28</v>
      </c>
      <c r="Q24" s="10">
        <v>18.25</v>
      </c>
      <c r="R24" s="10">
        <v>14.77</v>
      </c>
      <c r="S24" s="10">
        <v>11.01</v>
      </c>
      <c r="T24" s="10">
        <v>2</v>
      </c>
      <c r="U24" s="10">
        <v>18.329999999999998</v>
      </c>
      <c r="V24" s="10">
        <v>18.72</v>
      </c>
      <c r="W24" s="10">
        <v>11</v>
      </c>
      <c r="X24" s="10">
        <v>1.55</v>
      </c>
      <c r="Y24" s="10">
        <v>60</v>
      </c>
      <c r="Z24" s="10">
        <v>17.89</v>
      </c>
      <c r="AA24" s="10">
        <v>7.74</v>
      </c>
      <c r="AB24" s="10">
        <v>25.16</v>
      </c>
      <c r="AC24" s="10">
        <v>2.98</v>
      </c>
      <c r="AD24" s="10">
        <v>20</v>
      </c>
      <c r="AE24" s="10">
        <v>41.07</v>
      </c>
      <c r="AF24" s="10">
        <v>9</v>
      </c>
      <c r="AG24" s="10">
        <v>12</v>
      </c>
      <c r="AH24" s="10" t="s">
        <v>512</v>
      </c>
      <c r="AI24" s="10">
        <v>0</v>
      </c>
    </row>
    <row r="25" spans="1:41" x14ac:dyDescent="0.35">
      <c r="A25" s="14">
        <v>24</v>
      </c>
      <c r="B25" s="10" t="s">
        <v>270</v>
      </c>
      <c r="C25" s="13" t="s">
        <v>85</v>
      </c>
      <c r="D25" s="13" t="s">
        <v>271</v>
      </c>
      <c r="E25" t="s">
        <v>168</v>
      </c>
      <c r="F25" t="s">
        <v>207</v>
      </c>
      <c r="G25" s="10" t="s">
        <v>272</v>
      </c>
      <c r="H25" s="10" t="s">
        <v>213</v>
      </c>
      <c r="I25" s="10" t="s">
        <v>271</v>
      </c>
      <c r="J25" s="10">
        <v>55.5</v>
      </c>
      <c r="K25" s="10">
        <v>66.66</v>
      </c>
      <c r="L25" s="10">
        <v>22.8</v>
      </c>
      <c r="M25" s="10">
        <v>96.02</v>
      </c>
      <c r="N25" s="10">
        <v>58.87</v>
      </c>
      <c r="O25" s="10">
        <v>35.71</v>
      </c>
      <c r="P25" s="10">
        <v>13</v>
      </c>
      <c r="Q25" s="10">
        <v>21.25</v>
      </c>
      <c r="R25" s="10">
        <v>15.69</v>
      </c>
      <c r="S25" s="10">
        <v>14.71</v>
      </c>
      <c r="T25" s="10">
        <v>2</v>
      </c>
      <c r="U25" s="10">
        <v>10.31</v>
      </c>
      <c r="V25" s="10">
        <v>11.14</v>
      </c>
      <c r="W25" s="10">
        <v>0.5</v>
      </c>
      <c r="X25" s="10">
        <v>0.86</v>
      </c>
      <c r="Y25" s="10">
        <v>60</v>
      </c>
      <c r="Z25" s="10">
        <v>36.020000000000003</v>
      </c>
      <c r="AA25" s="10">
        <v>8.8699999999999992</v>
      </c>
      <c r="AB25" s="10">
        <v>30</v>
      </c>
      <c r="AC25" s="10">
        <v>0</v>
      </c>
      <c r="AD25" s="10">
        <v>20</v>
      </c>
      <c r="AE25" s="10">
        <v>35.71</v>
      </c>
      <c r="AF25" s="10">
        <v>4</v>
      </c>
      <c r="AG25" s="10">
        <v>10</v>
      </c>
      <c r="AH25" s="10" t="s">
        <v>516</v>
      </c>
      <c r="AI25" s="10">
        <v>1</v>
      </c>
    </row>
    <row r="26" spans="1:41" x14ac:dyDescent="0.35">
      <c r="A26" s="12">
        <v>25</v>
      </c>
      <c r="B26" s="10" t="s">
        <v>273</v>
      </c>
      <c r="C26" s="13" t="s">
        <v>86</v>
      </c>
      <c r="D26" s="13" t="s">
        <v>274</v>
      </c>
      <c r="E26" t="s">
        <v>168</v>
      </c>
      <c r="F26" t="s">
        <v>207</v>
      </c>
      <c r="G26" s="10" t="s">
        <v>275</v>
      </c>
      <c r="H26" s="10" t="s">
        <v>213</v>
      </c>
      <c r="I26" s="10" t="s">
        <v>275</v>
      </c>
      <c r="J26" s="10">
        <v>54.86</v>
      </c>
      <c r="K26" s="10">
        <v>51.09</v>
      </c>
      <c r="L26" s="10">
        <v>46.65</v>
      </c>
      <c r="M26" s="10">
        <v>75.77</v>
      </c>
      <c r="N26" s="10">
        <v>59.92</v>
      </c>
      <c r="O26" s="10">
        <v>43.96</v>
      </c>
      <c r="P26" s="10">
        <v>15.99</v>
      </c>
      <c r="Q26" s="10">
        <v>12.99</v>
      </c>
      <c r="R26" s="10">
        <v>10.09</v>
      </c>
      <c r="S26" s="10">
        <v>7.07</v>
      </c>
      <c r="T26" s="10">
        <v>5</v>
      </c>
      <c r="U26" s="10">
        <v>16.66</v>
      </c>
      <c r="V26" s="10">
        <v>22.84</v>
      </c>
      <c r="W26" s="10">
        <v>6</v>
      </c>
      <c r="X26" s="10">
        <v>1.1399999999999999</v>
      </c>
      <c r="Y26" s="10">
        <v>42.57</v>
      </c>
      <c r="Z26" s="10">
        <v>33.21</v>
      </c>
      <c r="AA26" s="10">
        <v>13.49</v>
      </c>
      <c r="AB26" s="10">
        <v>25.7</v>
      </c>
      <c r="AC26" s="10">
        <v>0.73</v>
      </c>
      <c r="AD26" s="10">
        <v>20</v>
      </c>
      <c r="AE26" s="10">
        <v>43.96</v>
      </c>
      <c r="AF26" s="10">
        <v>10</v>
      </c>
      <c r="AG26" s="10">
        <v>16</v>
      </c>
      <c r="AH26" s="10" t="s">
        <v>510</v>
      </c>
      <c r="AI26" s="10">
        <v>3</v>
      </c>
    </row>
    <row r="27" spans="1:41" x14ac:dyDescent="0.35">
      <c r="A27" s="14">
        <v>26</v>
      </c>
      <c r="B27" s="10" t="s">
        <v>276</v>
      </c>
      <c r="C27" s="13" t="s">
        <v>87</v>
      </c>
      <c r="D27" s="13" t="s">
        <v>277</v>
      </c>
      <c r="E27" t="s">
        <v>193</v>
      </c>
      <c r="F27" t="s">
        <v>217</v>
      </c>
      <c r="G27" s="10" t="s">
        <v>278</v>
      </c>
      <c r="H27" s="10" t="s">
        <v>213</v>
      </c>
      <c r="I27" s="10" t="s">
        <v>223</v>
      </c>
      <c r="J27" s="10">
        <v>54.71</v>
      </c>
      <c r="K27" s="10">
        <v>63.88</v>
      </c>
      <c r="L27" s="10">
        <v>40.86</v>
      </c>
      <c r="M27" s="10">
        <v>68.45</v>
      </c>
      <c r="N27" s="10">
        <v>59.4</v>
      </c>
      <c r="O27" s="10">
        <v>36.64</v>
      </c>
      <c r="P27" s="10">
        <v>15.42</v>
      </c>
      <c r="Q27" s="10">
        <v>24.66</v>
      </c>
      <c r="R27" s="10">
        <v>15.81</v>
      </c>
      <c r="S27" s="10">
        <v>7.98</v>
      </c>
      <c r="T27" s="10">
        <v>0</v>
      </c>
      <c r="U27" s="10">
        <v>15.9</v>
      </c>
      <c r="V27" s="10">
        <v>18.96</v>
      </c>
      <c r="W27" s="10">
        <v>3</v>
      </c>
      <c r="X27" s="10">
        <v>3</v>
      </c>
      <c r="Y27" s="10">
        <v>60</v>
      </c>
      <c r="Z27" s="10">
        <v>8.4499999999999993</v>
      </c>
      <c r="AA27" s="10">
        <v>11.07</v>
      </c>
      <c r="AB27" s="10">
        <v>27.91</v>
      </c>
      <c r="AC27" s="10">
        <v>0.43</v>
      </c>
      <c r="AD27" s="10">
        <v>20</v>
      </c>
      <c r="AE27" s="10">
        <v>36.64</v>
      </c>
      <c r="AF27" s="10">
        <v>16</v>
      </c>
      <c r="AG27" s="10">
        <v>44</v>
      </c>
      <c r="AH27" s="10" t="s">
        <v>517</v>
      </c>
      <c r="AI27" s="10">
        <v>0</v>
      </c>
    </row>
    <row r="28" spans="1:41" x14ac:dyDescent="0.35">
      <c r="A28" s="12">
        <v>27</v>
      </c>
      <c r="B28" s="10" t="s">
        <v>279</v>
      </c>
      <c r="C28" s="13" t="s">
        <v>88</v>
      </c>
      <c r="D28" s="13" t="s">
        <v>280</v>
      </c>
      <c r="E28" t="s">
        <v>281</v>
      </c>
      <c r="F28" t="s">
        <v>217</v>
      </c>
      <c r="G28" s="10" t="s">
        <v>282</v>
      </c>
      <c r="H28" s="10" t="s">
        <v>213</v>
      </c>
      <c r="I28" s="10" t="s">
        <v>267</v>
      </c>
      <c r="J28" s="10">
        <v>54.63</v>
      </c>
      <c r="K28" s="10">
        <v>63.55</v>
      </c>
      <c r="L28" s="10">
        <v>25.22</v>
      </c>
      <c r="M28" s="10">
        <v>75.62</v>
      </c>
      <c r="N28" s="10">
        <v>80.27</v>
      </c>
      <c r="O28" s="10">
        <v>48.63</v>
      </c>
      <c r="P28" s="10">
        <v>17.87</v>
      </c>
      <c r="Q28" s="10">
        <v>25</v>
      </c>
      <c r="R28" s="10">
        <v>14.37</v>
      </c>
      <c r="S28" s="10">
        <v>6.31</v>
      </c>
      <c r="T28" s="10">
        <v>0</v>
      </c>
      <c r="U28" s="10">
        <v>5.3</v>
      </c>
      <c r="V28" s="10">
        <v>9.59</v>
      </c>
      <c r="W28" s="10">
        <v>7</v>
      </c>
      <c r="X28" s="10">
        <v>3.33</v>
      </c>
      <c r="Y28" s="10">
        <v>60</v>
      </c>
      <c r="Z28" s="10">
        <v>15.62</v>
      </c>
      <c r="AA28" s="10">
        <v>26.87</v>
      </c>
      <c r="AB28" s="10">
        <v>30</v>
      </c>
      <c r="AC28" s="10">
        <v>3.39</v>
      </c>
      <c r="AD28" s="10">
        <v>20</v>
      </c>
      <c r="AE28" s="10">
        <v>48.63</v>
      </c>
      <c r="AF28" s="10">
        <v>30</v>
      </c>
      <c r="AG28" s="10">
        <v>30</v>
      </c>
      <c r="AH28" s="10" t="s">
        <v>510</v>
      </c>
      <c r="AI28" s="10">
        <v>1</v>
      </c>
      <c r="AJ28" s="10">
        <v>2</v>
      </c>
      <c r="AK28" s="10">
        <v>6</v>
      </c>
      <c r="AL28" s="10">
        <v>6</v>
      </c>
      <c r="AM28" s="10">
        <v>7</v>
      </c>
      <c r="AN28" s="10">
        <v>7</v>
      </c>
      <c r="AO28" s="10" t="s">
        <v>560</v>
      </c>
    </row>
    <row r="29" spans="1:41" x14ac:dyDescent="0.35">
      <c r="A29" s="14">
        <v>28</v>
      </c>
      <c r="B29" s="10" t="s">
        <v>283</v>
      </c>
      <c r="C29" s="13" t="s">
        <v>89</v>
      </c>
      <c r="D29" s="13" t="s">
        <v>284</v>
      </c>
      <c r="E29" t="s">
        <v>193</v>
      </c>
      <c r="F29" t="s">
        <v>217</v>
      </c>
      <c r="G29" s="10" t="s">
        <v>285</v>
      </c>
      <c r="H29" s="10" t="s">
        <v>219</v>
      </c>
      <c r="I29" s="10" t="s">
        <v>286</v>
      </c>
      <c r="J29" s="10">
        <v>54.52</v>
      </c>
      <c r="K29" s="10">
        <v>62.02</v>
      </c>
      <c r="L29" s="10">
        <v>40.74</v>
      </c>
      <c r="M29" s="10">
        <v>69.489999999999995</v>
      </c>
      <c r="N29" s="10">
        <v>57.63</v>
      </c>
      <c r="O29" s="10">
        <v>40.28</v>
      </c>
      <c r="P29" s="10">
        <v>14.98</v>
      </c>
      <c r="Q29" s="10">
        <v>25</v>
      </c>
      <c r="R29" s="10">
        <v>17.309999999999999</v>
      </c>
      <c r="S29" s="10">
        <v>4.7300000000000004</v>
      </c>
      <c r="T29" s="10">
        <v>0</v>
      </c>
      <c r="U29" s="10">
        <v>18.059999999999999</v>
      </c>
      <c r="V29" s="10">
        <v>16.739999999999998</v>
      </c>
      <c r="W29" s="10">
        <v>5.5</v>
      </c>
      <c r="X29" s="10">
        <v>0.45</v>
      </c>
      <c r="Y29" s="10">
        <v>60</v>
      </c>
      <c r="Z29" s="10">
        <v>9.49</v>
      </c>
      <c r="AA29" s="10">
        <v>11.31</v>
      </c>
      <c r="AB29" s="10">
        <v>25.84</v>
      </c>
      <c r="AC29" s="10">
        <v>0.48</v>
      </c>
      <c r="AD29" s="10">
        <v>20</v>
      </c>
      <c r="AE29" s="10">
        <v>40.28</v>
      </c>
      <c r="AF29" s="10">
        <v>11</v>
      </c>
      <c r="AG29" s="10">
        <v>30</v>
      </c>
      <c r="AH29" s="10" t="s">
        <v>518</v>
      </c>
      <c r="AI29" s="10">
        <v>1</v>
      </c>
    </row>
    <row r="30" spans="1:41" x14ac:dyDescent="0.35">
      <c r="A30" s="12">
        <v>29</v>
      </c>
      <c r="B30" s="10" t="s">
        <v>287</v>
      </c>
      <c r="C30" s="13" t="s">
        <v>90</v>
      </c>
      <c r="D30" s="13" t="s">
        <v>288</v>
      </c>
      <c r="E30" t="s">
        <v>193</v>
      </c>
      <c r="F30" t="s">
        <v>217</v>
      </c>
      <c r="G30" s="10" t="s">
        <v>289</v>
      </c>
      <c r="H30" s="10" t="s">
        <v>219</v>
      </c>
      <c r="I30" s="10" t="s">
        <v>223</v>
      </c>
      <c r="J30" s="10">
        <v>53.76</v>
      </c>
      <c r="K30" s="10">
        <v>62.66</v>
      </c>
      <c r="L30" s="10">
        <v>30.87</v>
      </c>
      <c r="M30" s="10">
        <v>74.680000000000007</v>
      </c>
      <c r="N30" s="10">
        <v>76.42</v>
      </c>
      <c r="O30" s="10">
        <v>31.15</v>
      </c>
      <c r="P30" s="10">
        <v>13.71</v>
      </c>
      <c r="Q30" s="10">
        <v>25</v>
      </c>
      <c r="R30" s="10">
        <v>17.09</v>
      </c>
      <c r="S30" s="10">
        <v>6.86</v>
      </c>
      <c r="T30" s="10">
        <v>0</v>
      </c>
      <c r="U30" s="10">
        <v>11.37</v>
      </c>
      <c r="V30" s="10">
        <v>14.35</v>
      </c>
      <c r="W30" s="10">
        <v>4</v>
      </c>
      <c r="X30" s="10">
        <v>1.1499999999999999</v>
      </c>
      <c r="Y30" s="10">
        <v>60</v>
      </c>
      <c r="Z30" s="10">
        <v>14.68</v>
      </c>
      <c r="AA30" s="10">
        <v>18.95</v>
      </c>
      <c r="AB30" s="10">
        <v>30</v>
      </c>
      <c r="AC30" s="10">
        <v>7.47</v>
      </c>
      <c r="AD30" s="10">
        <v>20</v>
      </c>
      <c r="AE30" s="10">
        <v>31.15</v>
      </c>
      <c r="AF30" s="10">
        <v>70</v>
      </c>
      <c r="AG30" s="10">
        <v>70</v>
      </c>
      <c r="AH30" s="10" t="s">
        <v>530</v>
      </c>
      <c r="AI30" s="10">
        <v>1</v>
      </c>
      <c r="AJ30" s="10">
        <v>1</v>
      </c>
      <c r="AK30" s="10">
        <v>2</v>
      </c>
      <c r="AL30" s="10">
        <v>2</v>
      </c>
      <c r="AM30" s="10">
        <v>3</v>
      </c>
      <c r="AN30" s="10">
        <v>3</v>
      </c>
    </row>
    <row r="31" spans="1:41" x14ac:dyDescent="0.35">
      <c r="A31" s="14">
        <v>30</v>
      </c>
      <c r="B31" s="10" t="s">
        <v>290</v>
      </c>
      <c r="C31" s="13" t="s">
        <v>91</v>
      </c>
      <c r="D31" s="13" t="s">
        <v>291</v>
      </c>
      <c r="E31" t="s">
        <v>168</v>
      </c>
      <c r="F31" t="s">
        <v>207</v>
      </c>
      <c r="G31" s="10" t="s">
        <v>292</v>
      </c>
      <c r="H31" s="10" t="s">
        <v>219</v>
      </c>
      <c r="I31" s="10" t="s">
        <v>223</v>
      </c>
      <c r="J31" s="10">
        <v>53.53</v>
      </c>
      <c r="K31" s="10">
        <v>61.51</v>
      </c>
      <c r="L31" s="10">
        <v>36.630000000000003</v>
      </c>
      <c r="M31" s="10">
        <v>73.97</v>
      </c>
      <c r="N31" s="10">
        <v>52.13</v>
      </c>
      <c r="O31" s="10">
        <v>40.880000000000003</v>
      </c>
      <c r="P31" s="10">
        <v>11.86</v>
      </c>
      <c r="Q31" s="10">
        <v>24.83</v>
      </c>
      <c r="R31" s="10">
        <v>17.93</v>
      </c>
      <c r="S31" s="10">
        <v>6.89</v>
      </c>
      <c r="T31" s="10">
        <v>0</v>
      </c>
      <c r="U31" s="10">
        <v>16.239999999999998</v>
      </c>
      <c r="V31" s="10">
        <v>18.48</v>
      </c>
      <c r="W31" s="10">
        <v>1.5</v>
      </c>
      <c r="X31" s="10">
        <v>0.41</v>
      </c>
      <c r="Y31" s="10">
        <v>60</v>
      </c>
      <c r="Z31" s="10">
        <v>13.97</v>
      </c>
      <c r="AA31" s="10">
        <v>0.89</v>
      </c>
      <c r="AB31" s="10">
        <v>30</v>
      </c>
      <c r="AC31" s="10">
        <v>1.24</v>
      </c>
      <c r="AD31" s="10">
        <v>20</v>
      </c>
      <c r="AE31" s="10">
        <v>40.880000000000003</v>
      </c>
      <c r="AF31" s="10">
        <v>90</v>
      </c>
      <c r="AG31" s="10">
        <v>100</v>
      </c>
      <c r="AH31" s="10" t="s">
        <v>530</v>
      </c>
      <c r="AI31" s="10">
        <v>0</v>
      </c>
    </row>
    <row r="32" spans="1:41" x14ac:dyDescent="0.35">
      <c r="A32" s="12">
        <v>31</v>
      </c>
      <c r="B32" s="10" t="s">
        <v>293</v>
      </c>
      <c r="C32" s="13" t="s">
        <v>92</v>
      </c>
      <c r="D32" s="13" t="s">
        <v>294</v>
      </c>
      <c r="E32" t="s">
        <v>168</v>
      </c>
      <c r="F32" t="s">
        <v>207</v>
      </c>
      <c r="G32" s="10" t="s">
        <v>295</v>
      </c>
      <c r="H32" s="10" t="s">
        <v>219</v>
      </c>
      <c r="I32" s="10" t="s">
        <v>271</v>
      </c>
      <c r="J32" s="10">
        <v>53.44</v>
      </c>
      <c r="K32" s="10">
        <v>65.63</v>
      </c>
      <c r="L32" s="10">
        <v>38.86</v>
      </c>
      <c r="M32" s="10">
        <v>73.44</v>
      </c>
      <c r="N32" s="10">
        <v>51.23</v>
      </c>
      <c r="O32" s="10">
        <v>22.75</v>
      </c>
      <c r="P32" s="10">
        <v>7.42</v>
      </c>
      <c r="Q32" s="10">
        <v>22.6</v>
      </c>
      <c r="R32" s="10">
        <v>15.76</v>
      </c>
      <c r="S32" s="10">
        <v>17.350000000000001</v>
      </c>
      <c r="T32" s="10">
        <v>2.5</v>
      </c>
      <c r="U32" s="10">
        <v>17.149999999999999</v>
      </c>
      <c r="V32" s="10">
        <v>17.47</v>
      </c>
      <c r="W32" s="10">
        <v>1.5</v>
      </c>
      <c r="X32" s="10">
        <v>2.74</v>
      </c>
      <c r="Y32" s="10">
        <v>60</v>
      </c>
      <c r="Z32" s="10">
        <v>13.44</v>
      </c>
      <c r="AA32" s="10">
        <v>0.5</v>
      </c>
      <c r="AB32" s="10">
        <v>30</v>
      </c>
      <c r="AC32" s="10">
        <v>0.73</v>
      </c>
      <c r="AD32" s="10">
        <v>20</v>
      </c>
      <c r="AE32" s="10">
        <v>22.75</v>
      </c>
      <c r="AF32" s="10">
        <v>10</v>
      </c>
      <c r="AG32" s="10">
        <v>80</v>
      </c>
      <c r="AH32" s="10" t="s">
        <v>519</v>
      </c>
      <c r="AI32" s="10">
        <v>1</v>
      </c>
    </row>
    <row r="33" spans="1:40" x14ac:dyDescent="0.35">
      <c r="A33" s="14">
        <v>32</v>
      </c>
      <c r="B33" s="10" t="s">
        <v>296</v>
      </c>
      <c r="C33" s="13" t="s">
        <v>93</v>
      </c>
      <c r="D33" s="13" t="s">
        <v>297</v>
      </c>
      <c r="E33" t="s">
        <v>193</v>
      </c>
      <c r="F33" t="s">
        <v>217</v>
      </c>
      <c r="G33" s="10" t="s">
        <v>257</v>
      </c>
      <c r="H33" s="10" t="s">
        <v>196</v>
      </c>
      <c r="I33" s="10" t="s">
        <v>252</v>
      </c>
      <c r="J33" s="10">
        <v>53.13</v>
      </c>
      <c r="K33" s="10">
        <v>67.62</v>
      </c>
      <c r="L33" s="10">
        <v>22.91</v>
      </c>
      <c r="M33" s="10">
        <v>77.78</v>
      </c>
      <c r="N33" s="10">
        <v>63.18</v>
      </c>
      <c r="O33" s="10">
        <v>40.880000000000003</v>
      </c>
      <c r="P33" s="10">
        <v>15.48</v>
      </c>
      <c r="Q33" s="10">
        <v>23.53</v>
      </c>
      <c r="R33" s="10">
        <v>16.75</v>
      </c>
      <c r="S33" s="10">
        <v>11.87</v>
      </c>
      <c r="T33" s="10">
        <v>0</v>
      </c>
      <c r="U33" s="10">
        <v>7.26</v>
      </c>
      <c r="V33" s="10">
        <v>11</v>
      </c>
      <c r="W33" s="10">
        <v>2.5</v>
      </c>
      <c r="X33" s="10">
        <v>2.15</v>
      </c>
      <c r="Y33" s="10">
        <v>60</v>
      </c>
      <c r="Z33" s="10">
        <v>17.78</v>
      </c>
      <c r="AA33" s="10">
        <v>15.01</v>
      </c>
      <c r="AB33" s="10">
        <v>28.11</v>
      </c>
      <c r="AC33" s="10">
        <v>0.05</v>
      </c>
      <c r="AD33" s="10">
        <v>20</v>
      </c>
      <c r="AE33" s="10">
        <v>40.880000000000003</v>
      </c>
      <c r="AF33" s="10">
        <v>20</v>
      </c>
      <c r="AG33" s="10">
        <v>25</v>
      </c>
      <c r="AH33" s="10" t="s">
        <v>513</v>
      </c>
      <c r="AI33" s="10">
        <v>0</v>
      </c>
    </row>
    <row r="34" spans="1:40" x14ac:dyDescent="0.35">
      <c r="A34" s="12">
        <v>33</v>
      </c>
      <c r="B34" s="10" t="s">
        <v>298</v>
      </c>
      <c r="C34" s="13" t="s">
        <v>94</v>
      </c>
      <c r="D34" s="13" t="s">
        <v>299</v>
      </c>
      <c r="E34" t="s">
        <v>168</v>
      </c>
      <c r="F34" t="s">
        <v>207</v>
      </c>
      <c r="G34" s="10" t="s">
        <v>300</v>
      </c>
      <c r="H34" s="10" t="s">
        <v>213</v>
      </c>
      <c r="I34" s="10" t="s">
        <v>301</v>
      </c>
      <c r="J34" s="10">
        <v>53.08</v>
      </c>
      <c r="K34" s="10">
        <v>70.64</v>
      </c>
      <c r="L34" s="10">
        <v>26.93</v>
      </c>
      <c r="M34" s="10">
        <v>79.58</v>
      </c>
      <c r="N34" s="10">
        <v>53.05</v>
      </c>
      <c r="O34" s="10">
        <v>25.94</v>
      </c>
      <c r="P34" s="10">
        <v>15.68</v>
      </c>
      <c r="Q34" s="10">
        <v>22.91</v>
      </c>
      <c r="R34" s="10">
        <v>18.09</v>
      </c>
      <c r="S34" s="10">
        <v>8.9600000000000009</v>
      </c>
      <c r="T34" s="10">
        <v>5</v>
      </c>
      <c r="U34" s="10">
        <v>10.72</v>
      </c>
      <c r="V34" s="10">
        <v>14.1</v>
      </c>
      <c r="W34" s="10">
        <v>0.5</v>
      </c>
      <c r="X34" s="10">
        <v>1.62</v>
      </c>
      <c r="Y34" s="10">
        <v>60</v>
      </c>
      <c r="Z34" s="10">
        <v>19.579999999999998</v>
      </c>
      <c r="AA34" s="10">
        <v>0</v>
      </c>
      <c r="AB34" s="10">
        <v>30</v>
      </c>
      <c r="AC34" s="10">
        <v>3.05</v>
      </c>
      <c r="AD34" s="10">
        <v>20</v>
      </c>
      <c r="AE34" s="10">
        <v>25.94</v>
      </c>
      <c r="AF34" s="10">
        <v>20</v>
      </c>
      <c r="AG34" s="10">
        <v>20</v>
      </c>
      <c r="AH34" s="10" t="s">
        <v>520</v>
      </c>
      <c r="AI34" s="10">
        <v>0</v>
      </c>
    </row>
    <row r="35" spans="1:40" x14ac:dyDescent="0.35">
      <c r="A35" s="14">
        <v>34</v>
      </c>
      <c r="B35" s="10" t="s">
        <v>302</v>
      </c>
      <c r="C35" s="13" t="s">
        <v>95</v>
      </c>
      <c r="D35" s="13" t="s">
        <v>303</v>
      </c>
      <c r="E35" t="s">
        <v>193</v>
      </c>
      <c r="F35" t="s">
        <v>217</v>
      </c>
      <c r="G35" s="10" t="s">
        <v>304</v>
      </c>
      <c r="H35" s="10" t="s">
        <v>213</v>
      </c>
      <c r="I35" s="10" t="s">
        <v>197</v>
      </c>
      <c r="J35" s="10">
        <v>52.88</v>
      </c>
      <c r="K35" s="10">
        <v>68.52</v>
      </c>
      <c r="L35" s="10">
        <v>23.47</v>
      </c>
      <c r="M35" s="10">
        <v>69.349999999999994</v>
      </c>
      <c r="N35" s="10">
        <v>74.680000000000007</v>
      </c>
      <c r="O35" s="10">
        <v>39.44</v>
      </c>
      <c r="P35" s="10">
        <v>14</v>
      </c>
      <c r="Q35" s="10">
        <v>25</v>
      </c>
      <c r="R35" s="10">
        <v>16.21</v>
      </c>
      <c r="S35" s="10">
        <v>13.31</v>
      </c>
      <c r="T35" s="10">
        <v>0</v>
      </c>
      <c r="U35" s="10">
        <v>8.51</v>
      </c>
      <c r="V35" s="10">
        <v>11.51</v>
      </c>
      <c r="W35" s="10">
        <v>2</v>
      </c>
      <c r="X35" s="10">
        <v>1.45</v>
      </c>
      <c r="Y35" s="10">
        <v>60</v>
      </c>
      <c r="Z35" s="10">
        <v>9.35</v>
      </c>
      <c r="AA35" s="10">
        <v>20.72</v>
      </c>
      <c r="AB35" s="10">
        <v>30</v>
      </c>
      <c r="AC35" s="10">
        <v>3.97</v>
      </c>
      <c r="AD35" s="10">
        <v>20</v>
      </c>
      <c r="AE35" s="10">
        <v>39.44</v>
      </c>
      <c r="AF35" s="10">
        <v>5</v>
      </c>
      <c r="AG35" s="10">
        <v>177</v>
      </c>
      <c r="AH35" s="10" t="s">
        <v>521</v>
      </c>
      <c r="AI35" s="10">
        <v>2</v>
      </c>
      <c r="AJ35" s="10">
        <v>3</v>
      </c>
      <c r="AK35" s="10">
        <v>3</v>
      </c>
      <c r="AL35" s="10">
        <v>3</v>
      </c>
      <c r="AM35" s="10">
        <v>6</v>
      </c>
      <c r="AN35" s="10">
        <v>6</v>
      </c>
    </row>
    <row r="36" spans="1:40" x14ac:dyDescent="0.35">
      <c r="A36" s="12">
        <v>35</v>
      </c>
      <c r="B36" s="10" t="s">
        <v>305</v>
      </c>
      <c r="C36" s="13" t="s">
        <v>96</v>
      </c>
      <c r="D36" s="13" t="s">
        <v>306</v>
      </c>
      <c r="E36" t="s">
        <v>281</v>
      </c>
      <c r="F36" t="s">
        <v>217</v>
      </c>
      <c r="G36" s="10" t="s">
        <v>307</v>
      </c>
      <c r="H36" s="10" t="s">
        <v>219</v>
      </c>
      <c r="I36" s="10" t="s">
        <v>214</v>
      </c>
      <c r="J36" s="10">
        <v>52.78</v>
      </c>
      <c r="K36" s="10">
        <v>47.8</v>
      </c>
      <c r="L36" s="10">
        <v>47.16</v>
      </c>
      <c r="M36" s="10">
        <v>71.25</v>
      </c>
      <c r="N36" s="10">
        <v>64.650000000000006</v>
      </c>
      <c r="O36" s="10">
        <v>35.659999999999997</v>
      </c>
      <c r="P36" s="10">
        <v>16.82</v>
      </c>
      <c r="Q36" s="10">
        <v>14.68</v>
      </c>
      <c r="R36" s="10">
        <v>10.8</v>
      </c>
      <c r="S36" s="10">
        <v>5.51</v>
      </c>
      <c r="T36" s="10">
        <v>0</v>
      </c>
      <c r="U36" s="10">
        <v>15.27</v>
      </c>
      <c r="V36" s="10">
        <v>20.58</v>
      </c>
      <c r="W36" s="10">
        <v>10</v>
      </c>
      <c r="X36" s="10">
        <v>1.32</v>
      </c>
      <c r="Y36" s="10">
        <v>60</v>
      </c>
      <c r="Z36" s="10">
        <v>11.25</v>
      </c>
      <c r="AA36" s="10">
        <v>15.94</v>
      </c>
      <c r="AB36" s="10">
        <v>28.6</v>
      </c>
      <c r="AC36" s="10">
        <v>0.11</v>
      </c>
      <c r="AD36" s="10">
        <v>20</v>
      </c>
      <c r="AE36" s="10">
        <v>35.659999999999997</v>
      </c>
      <c r="AF36" s="10">
        <v>25</v>
      </c>
      <c r="AG36" s="10">
        <v>40</v>
      </c>
      <c r="AH36" s="10" t="s">
        <v>509</v>
      </c>
      <c r="AI36" s="10">
        <v>2</v>
      </c>
      <c r="AJ36" s="10">
        <v>2</v>
      </c>
      <c r="AK36" s="10">
        <v>6</v>
      </c>
      <c r="AL36" s="10">
        <v>6</v>
      </c>
      <c r="AM36" s="10">
        <v>7</v>
      </c>
      <c r="AN36" s="10">
        <v>9</v>
      </c>
    </row>
    <row r="37" spans="1:40" x14ac:dyDescent="0.35">
      <c r="A37" s="14">
        <v>36</v>
      </c>
      <c r="B37" s="10" t="s">
        <v>308</v>
      </c>
      <c r="C37" s="13" t="s">
        <v>97</v>
      </c>
      <c r="D37" s="13" t="s">
        <v>309</v>
      </c>
      <c r="E37" t="s">
        <v>168</v>
      </c>
      <c r="F37" t="s">
        <v>207</v>
      </c>
      <c r="G37" s="10" t="s">
        <v>232</v>
      </c>
      <c r="H37" s="10" t="s">
        <v>196</v>
      </c>
      <c r="I37" s="10" t="s">
        <v>233</v>
      </c>
      <c r="J37" s="10">
        <v>52.67</v>
      </c>
      <c r="K37" s="10">
        <v>58.74</v>
      </c>
      <c r="L37" s="10">
        <v>31.24</v>
      </c>
      <c r="M37" s="10">
        <v>81.260000000000005</v>
      </c>
      <c r="N37" s="10">
        <v>57.91</v>
      </c>
      <c r="O37" s="10">
        <v>36.4</v>
      </c>
      <c r="P37" s="10">
        <v>16</v>
      </c>
      <c r="Q37" s="10">
        <v>16.350000000000001</v>
      </c>
      <c r="R37" s="10">
        <v>11.8</v>
      </c>
      <c r="S37" s="10">
        <v>12.6</v>
      </c>
      <c r="T37" s="10">
        <v>2</v>
      </c>
      <c r="U37" s="10">
        <v>10.029999999999999</v>
      </c>
      <c r="V37" s="10">
        <v>11.65</v>
      </c>
      <c r="W37" s="10">
        <v>3</v>
      </c>
      <c r="X37" s="10">
        <v>6.57</v>
      </c>
      <c r="Y37" s="10">
        <v>60</v>
      </c>
      <c r="Z37" s="10">
        <v>21.26</v>
      </c>
      <c r="AA37" s="10">
        <v>2.63</v>
      </c>
      <c r="AB37" s="10">
        <v>29.67</v>
      </c>
      <c r="AC37" s="10">
        <v>5.6</v>
      </c>
      <c r="AD37" s="10">
        <v>20</v>
      </c>
      <c r="AE37" s="10">
        <v>36.4</v>
      </c>
      <c r="AF37" s="10">
        <v>5</v>
      </c>
      <c r="AG37" s="10">
        <v>38</v>
      </c>
      <c r="AH37" s="10" t="s">
        <v>506</v>
      </c>
      <c r="AI37" s="10">
        <v>0</v>
      </c>
    </row>
    <row r="38" spans="1:40" x14ac:dyDescent="0.35">
      <c r="A38" s="12">
        <v>37</v>
      </c>
      <c r="B38" s="10" t="s">
        <v>310</v>
      </c>
      <c r="C38" s="13" t="s">
        <v>98</v>
      </c>
      <c r="D38" s="13" t="s">
        <v>311</v>
      </c>
      <c r="E38" t="s">
        <v>168</v>
      </c>
      <c r="F38" t="s">
        <v>207</v>
      </c>
      <c r="G38" s="10" t="s">
        <v>311</v>
      </c>
      <c r="H38" s="10" t="s">
        <v>213</v>
      </c>
      <c r="I38" s="10" t="s">
        <v>271</v>
      </c>
      <c r="J38" s="10">
        <v>52.33</v>
      </c>
      <c r="K38" s="10">
        <v>62.4</v>
      </c>
      <c r="L38" s="10">
        <v>34.36</v>
      </c>
      <c r="M38" s="10">
        <v>73.790000000000006</v>
      </c>
      <c r="N38" s="10">
        <v>51.74</v>
      </c>
      <c r="O38" s="10">
        <v>33.67</v>
      </c>
      <c r="P38" s="10">
        <v>11.99</v>
      </c>
      <c r="Q38" s="10">
        <v>23.09</v>
      </c>
      <c r="R38" s="10">
        <v>17.37</v>
      </c>
      <c r="S38" s="10">
        <v>9.9499999999999993</v>
      </c>
      <c r="T38" s="10">
        <v>0</v>
      </c>
      <c r="U38" s="10">
        <v>17.68</v>
      </c>
      <c r="V38" s="10">
        <v>15.26</v>
      </c>
      <c r="W38" s="10">
        <v>0.5</v>
      </c>
      <c r="X38" s="10">
        <v>0.93</v>
      </c>
      <c r="Y38" s="10">
        <v>60</v>
      </c>
      <c r="Z38" s="10">
        <v>13.79</v>
      </c>
      <c r="AA38" s="10">
        <v>1.03</v>
      </c>
      <c r="AB38" s="10">
        <v>30</v>
      </c>
      <c r="AC38" s="10">
        <v>0.7</v>
      </c>
      <c r="AD38" s="10">
        <v>20</v>
      </c>
      <c r="AE38" s="10">
        <v>33.67</v>
      </c>
      <c r="AF38" s="10">
        <v>9</v>
      </c>
      <c r="AG38" s="10">
        <v>20</v>
      </c>
      <c r="AH38" s="10" t="s">
        <v>522</v>
      </c>
      <c r="AI38" s="10">
        <v>1</v>
      </c>
    </row>
    <row r="39" spans="1:40" x14ac:dyDescent="0.35">
      <c r="A39" s="14">
        <v>38</v>
      </c>
      <c r="B39" s="10" t="s">
        <v>312</v>
      </c>
      <c r="C39" s="13" t="s">
        <v>99</v>
      </c>
      <c r="D39" s="13" t="s">
        <v>313</v>
      </c>
      <c r="E39" t="s">
        <v>281</v>
      </c>
      <c r="F39" t="s">
        <v>217</v>
      </c>
      <c r="G39" s="10" t="s">
        <v>314</v>
      </c>
      <c r="H39" s="10" t="s">
        <v>219</v>
      </c>
      <c r="I39" s="10" t="s">
        <v>267</v>
      </c>
      <c r="J39" s="10">
        <v>52.3</v>
      </c>
      <c r="K39" s="10">
        <v>55.92</v>
      </c>
      <c r="L39" s="10">
        <v>44.38</v>
      </c>
      <c r="M39" s="10">
        <v>66.06</v>
      </c>
      <c r="N39" s="10">
        <v>68.34</v>
      </c>
      <c r="O39" s="10">
        <v>21.65</v>
      </c>
      <c r="P39" s="10">
        <v>18</v>
      </c>
      <c r="Q39" s="10">
        <v>21.67</v>
      </c>
      <c r="R39" s="10">
        <v>12.12</v>
      </c>
      <c r="S39" s="10">
        <v>4.13</v>
      </c>
      <c r="T39" s="10">
        <v>0</v>
      </c>
      <c r="U39" s="10">
        <v>12.99</v>
      </c>
      <c r="V39" s="10">
        <v>19.25</v>
      </c>
      <c r="W39" s="10">
        <v>11</v>
      </c>
      <c r="X39" s="10">
        <v>1.1499999999999999</v>
      </c>
      <c r="Y39" s="10">
        <v>60</v>
      </c>
      <c r="Z39" s="10">
        <v>6.06</v>
      </c>
      <c r="AA39" s="10">
        <v>25.69</v>
      </c>
      <c r="AB39" s="10">
        <v>22.66</v>
      </c>
      <c r="AC39" s="10">
        <v>0</v>
      </c>
      <c r="AD39" s="10">
        <v>20</v>
      </c>
      <c r="AE39" s="10">
        <v>21.65</v>
      </c>
      <c r="AF39" s="10">
        <v>15</v>
      </c>
      <c r="AG39" s="10">
        <v>150</v>
      </c>
      <c r="AH39" s="10" t="s">
        <v>523</v>
      </c>
      <c r="AI39" s="10">
        <v>1</v>
      </c>
      <c r="AJ39" s="10">
        <v>3</v>
      </c>
      <c r="AK39" s="10">
        <v>6</v>
      </c>
      <c r="AL39" s="10">
        <v>6</v>
      </c>
      <c r="AM39" s="10">
        <v>6</v>
      </c>
      <c r="AN39" s="10">
        <v>7</v>
      </c>
    </row>
    <row r="40" spans="1:40" x14ac:dyDescent="0.35">
      <c r="A40" s="12">
        <v>39</v>
      </c>
      <c r="B40" s="10" t="s">
        <v>315</v>
      </c>
      <c r="C40" s="13" t="s">
        <v>100</v>
      </c>
      <c r="D40" s="13" t="s">
        <v>316</v>
      </c>
      <c r="E40" t="s">
        <v>193</v>
      </c>
      <c r="F40" t="s">
        <v>217</v>
      </c>
      <c r="G40" s="10" t="s">
        <v>317</v>
      </c>
      <c r="H40" s="10" t="s">
        <v>219</v>
      </c>
      <c r="I40" s="10" t="s">
        <v>252</v>
      </c>
      <c r="J40" s="10">
        <v>51.92</v>
      </c>
      <c r="K40" s="10">
        <v>67.16</v>
      </c>
      <c r="L40" s="10">
        <v>32.85</v>
      </c>
      <c r="M40" s="10">
        <v>62.14</v>
      </c>
      <c r="N40" s="10">
        <v>64.760000000000005</v>
      </c>
      <c r="O40" s="10">
        <v>30</v>
      </c>
      <c r="P40" s="10">
        <v>13.81</v>
      </c>
      <c r="Q40" s="10">
        <v>25</v>
      </c>
      <c r="R40" s="10">
        <v>18.100000000000001</v>
      </c>
      <c r="S40" s="10">
        <v>10.25</v>
      </c>
      <c r="T40" s="10">
        <v>0</v>
      </c>
      <c r="U40" s="10">
        <v>12.63</v>
      </c>
      <c r="V40" s="10">
        <v>12.22</v>
      </c>
      <c r="W40" s="10">
        <v>7</v>
      </c>
      <c r="X40" s="10">
        <v>1</v>
      </c>
      <c r="Y40" s="10">
        <v>57.48</v>
      </c>
      <c r="Z40" s="10">
        <v>4.67</v>
      </c>
      <c r="AA40" s="10">
        <v>12.88</v>
      </c>
      <c r="AB40" s="10">
        <v>30</v>
      </c>
      <c r="AC40" s="10">
        <v>1.88</v>
      </c>
      <c r="AD40" s="10">
        <v>20</v>
      </c>
      <c r="AE40" s="10">
        <v>30</v>
      </c>
      <c r="AF40" s="10">
        <v>5</v>
      </c>
      <c r="AG40" s="10">
        <v>90</v>
      </c>
      <c r="AH40" s="10" t="s">
        <v>524</v>
      </c>
      <c r="AI40" s="10">
        <v>1</v>
      </c>
    </row>
    <row r="41" spans="1:40" x14ac:dyDescent="0.35">
      <c r="A41" s="14">
        <v>40</v>
      </c>
      <c r="B41" s="10" t="s">
        <v>318</v>
      </c>
      <c r="C41" s="13" t="s">
        <v>101</v>
      </c>
      <c r="D41" s="13" t="s">
        <v>319</v>
      </c>
      <c r="E41" t="s">
        <v>168</v>
      </c>
      <c r="F41" t="s">
        <v>207</v>
      </c>
      <c r="G41" s="10" t="s">
        <v>201</v>
      </c>
      <c r="H41" s="10" t="s">
        <v>196</v>
      </c>
      <c r="I41" s="10" t="s">
        <v>202</v>
      </c>
      <c r="J41" s="10">
        <v>51.49</v>
      </c>
      <c r="K41" s="10">
        <v>59.19</v>
      </c>
      <c r="L41" s="10">
        <v>35.770000000000003</v>
      </c>
      <c r="M41" s="10">
        <v>66.39</v>
      </c>
      <c r="N41" s="10">
        <v>59.17</v>
      </c>
      <c r="O41" s="10">
        <v>37.96</v>
      </c>
      <c r="P41" s="10">
        <v>16.5</v>
      </c>
      <c r="Q41" s="10">
        <v>25</v>
      </c>
      <c r="R41" s="10">
        <v>11.07</v>
      </c>
      <c r="S41" s="10">
        <v>6.62</v>
      </c>
      <c r="T41" s="10">
        <v>0</v>
      </c>
      <c r="U41" s="10">
        <v>15.9</v>
      </c>
      <c r="V41" s="10">
        <v>18.53</v>
      </c>
      <c r="W41" s="10">
        <v>0</v>
      </c>
      <c r="X41" s="10">
        <v>1.34</v>
      </c>
      <c r="Y41" s="10">
        <v>60</v>
      </c>
      <c r="Z41" s="10">
        <v>6.39</v>
      </c>
      <c r="AA41" s="10">
        <v>15.53</v>
      </c>
      <c r="AB41" s="10">
        <v>20.61</v>
      </c>
      <c r="AC41" s="10">
        <v>3.03</v>
      </c>
      <c r="AD41" s="10">
        <v>20</v>
      </c>
      <c r="AE41" s="10">
        <v>37.96</v>
      </c>
      <c r="AF41" s="10">
        <v>20</v>
      </c>
      <c r="AG41" s="10">
        <v>27</v>
      </c>
      <c r="AH41" s="10" t="s">
        <v>509</v>
      </c>
      <c r="AI41" s="10">
        <v>2</v>
      </c>
      <c r="AJ41" s="10">
        <v>5</v>
      </c>
      <c r="AK41" s="10">
        <v>6</v>
      </c>
      <c r="AL41" s="10">
        <v>6</v>
      </c>
      <c r="AM41" s="10">
        <v>7</v>
      </c>
      <c r="AN41" s="10">
        <v>8</v>
      </c>
    </row>
    <row r="42" spans="1:40" x14ac:dyDescent="0.35">
      <c r="A42" s="12">
        <v>41</v>
      </c>
      <c r="B42" s="10" t="s">
        <v>320</v>
      </c>
      <c r="C42" s="13" t="s">
        <v>102</v>
      </c>
      <c r="D42" s="13" t="s">
        <v>321</v>
      </c>
      <c r="E42" t="s">
        <v>168</v>
      </c>
      <c r="F42" t="s">
        <v>207</v>
      </c>
      <c r="G42" s="10" t="s">
        <v>322</v>
      </c>
      <c r="H42" s="10" t="s">
        <v>213</v>
      </c>
      <c r="I42" s="10" t="s">
        <v>223</v>
      </c>
      <c r="J42" s="10">
        <v>51.48</v>
      </c>
      <c r="K42" s="10">
        <v>57.54</v>
      </c>
      <c r="L42" s="10">
        <v>36.39</v>
      </c>
      <c r="M42" s="10">
        <v>74.180000000000007</v>
      </c>
      <c r="N42" s="10">
        <v>52.05</v>
      </c>
      <c r="O42" s="10">
        <v>32.619999999999997</v>
      </c>
      <c r="P42" s="10">
        <v>9.1199999999999992</v>
      </c>
      <c r="Q42" s="10">
        <v>22.8</v>
      </c>
      <c r="R42" s="10">
        <v>17.239999999999998</v>
      </c>
      <c r="S42" s="10">
        <v>8.3800000000000008</v>
      </c>
      <c r="T42" s="10">
        <v>0</v>
      </c>
      <c r="U42" s="10">
        <v>18.16</v>
      </c>
      <c r="V42" s="10">
        <v>17.39</v>
      </c>
      <c r="W42" s="10">
        <v>0</v>
      </c>
      <c r="X42" s="10">
        <v>0.84</v>
      </c>
      <c r="Y42" s="10">
        <v>51.85</v>
      </c>
      <c r="Z42" s="10">
        <v>22.33</v>
      </c>
      <c r="AA42" s="10">
        <v>1.23</v>
      </c>
      <c r="AB42" s="10">
        <v>28.46</v>
      </c>
      <c r="AC42" s="10">
        <v>2.36</v>
      </c>
      <c r="AD42" s="10">
        <v>20</v>
      </c>
      <c r="AE42" s="10">
        <v>32.619999999999997</v>
      </c>
      <c r="AF42" s="10">
        <v>17</v>
      </c>
      <c r="AG42" s="10">
        <v>11</v>
      </c>
      <c r="AH42" s="10" t="s">
        <v>525</v>
      </c>
      <c r="AI42" s="10">
        <v>0</v>
      </c>
    </row>
    <row r="43" spans="1:40" x14ac:dyDescent="0.35">
      <c r="A43" s="14">
        <v>42</v>
      </c>
      <c r="B43" s="10" t="s">
        <v>323</v>
      </c>
      <c r="C43" s="13" t="s">
        <v>103</v>
      </c>
      <c r="D43" s="13" t="s">
        <v>324</v>
      </c>
      <c r="E43" t="s">
        <v>200</v>
      </c>
      <c r="F43" t="s">
        <v>194</v>
      </c>
      <c r="G43" s="10" t="s">
        <v>325</v>
      </c>
      <c r="H43" s="10" t="s">
        <v>213</v>
      </c>
      <c r="I43" s="10" t="s">
        <v>214</v>
      </c>
      <c r="J43" s="10">
        <v>51.27</v>
      </c>
      <c r="K43" s="10">
        <v>59.83</v>
      </c>
      <c r="L43" s="10">
        <v>24.29</v>
      </c>
      <c r="M43" s="10">
        <v>82.07</v>
      </c>
      <c r="N43" s="10">
        <v>76.83</v>
      </c>
      <c r="O43" s="10">
        <v>19.399999999999999</v>
      </c>
      <c r="P43" s="10">
        <v>12</v>
      </c>
      <c r="Q43" s="10">
        <v>22.67</v>
      </c>
      <c r="R43" s="10">
        <v>18.25</v>
      </c>
      <c r="S43" s="10">
        <v>6.92</v>
      </c>
      <c r="T43" s="10">
        <v>0</v>
      </c>
      <c r="U43" s="10">
        <v>9.77</v>
      </c>
      <c r="V43" s="10">
        <v>13.09</v>
      </c>
      <c r="W43" s="10">
        <v>1</v>
      </c>
      <c r="X43" s="10">
        <v>0.44</v>
      </c>
      <c r="Y43" s="10">
        <v>60</v>
      </c>
      <c r="Z43" s="10">
        <v>22.07</v>
      </c>
      <c r="AA43" s="10">
        <v>17.940000000000001</v>
      </c>
      <c r="AB43" s="10">
        <v>30</v>
      </c>
      <c r="AC43" s="10">
        <v>8.89</v>
      </c>
      <c r="AD43" s="10">
        <v>20</v>
      </c>
      <c r="AE43" s="10">
        <v>19.399999999999999</v>
      </c>
      <c r="AF43" s="10">
        <v>11</v>
      </c>
      <c r="AG43" s="10">
        <v>7</v>
      </c>
      <c r="AH43" s="10" t="s">
        <v>526</v>
      </c>
      <c r="AI43" s="10">
        <v>0</v>
      </c>
      <c r="AJ43" s="10">
        <v>1</v>
      </c>
      <c r="AK43" s="10">
        <v>1</v>
      </c>
      <c r="AL43" s="10">
        <v>6</v>
      </c>
      <c r="AM43" s="10">
        <v>6</v>
      </c>
      <c r="AN43" s="10">
        <v>8</v>
      </c>
    </row>
    <row r="44" spans="1:40" x14ac:dyDescent="0.35">
      <c r="A44" s="12">
        <v>43</v>
      </c>
      <c r="B44" s="10" t="s">
        <v>326</v>
      </c>
      <c r="C44" s="13" t="s">
        <v>104</v>
      </c>
      <c r="D44" s="13" t="s">
        <v>327</v>
      </c>
      <c r="E44" t="s">
        <v>168</v>
      </c>
      <c r="F44" t="s">
        <v>207</v>
      </c>
      <c r="G44" s="10" t="s">
        <v>328</v>
      </c>
      <c r="H44" s="10" t="s">
        <v>213</v>
      </c>
      <c r="I44" s="10" t="s">
        <v>286</v>
      </c>
      <c r="J44" s="10">
        <v>51.04</v>
      </c>
      <c r="K44" s="10">
        <v>54.39</v>
      </c>
      <c r="L44" s="10">
        <v>25.74</v>
      </c>
      <c r="M44" s="10">
        <v>84.77</v>
      </c>
      <c r="N44" s="10">
        <v>58.63</v>
      </c>
      <c r="O44" s="10">
        <v>41.85</v>
      </c>
      <c r="P44" s="10">
        <v>15</v>
      </c>
      <c r="Q44" s="10">
        <v>14.77</v>
      </c>
      <c r="R44" s="10">
        <v>11.31</v>
      </c>
      <c r="S44" s="10">
        <v>13.3</v>
      </c>
      <c r="T44" s="10">
        <v>0</v>
      </c>
      <c r="U44" s="10">
        <v>10.02</v>
      </c>
      <c r="V44" s="10">
        <v>10.57</v>
      </c>
      <c r="W44" s="10">
        <v>2.5</v>
      </c>
      <c r="X44" s="10">
        <v>265</v>
      </c>
      <c r="Y44" s="10">
        <v>60</v>
      </c>
      <c r="Z44" s="10">
        <v>24.77</v>
      </c>
      <c r="AA44" s="10">
        <v>3.7</v>
      </c>
      <c r="AB44" s="10">
        <v>28.92</v>
      </c>
      <c r="AC44" s="10">
        <v>6.01</v>
      </c>
      <c r="AD44" s="10">
        <v>20</v>
      </c>
      <c r="AE44" s="10">
        <v>41.85</v>
      </c>
      <c r="AF44" s="10">
        <v>4</v>
      </c>
      <c r="AG44" s="10">
        <v>14</v>
      </c>
      <c r="AH44" s="10" t="s">
        <v>527</v>
      </c>
      <c r="AI44" s="10">
        <v>1</v>
      </c>
    </row>
    <row r="45" spans="1:40" x14ac:dyDescent="0.35">
      <c r="A45" s="14">
        <v>44</v>
      </c>
      <c r="B45" s="10" t="s">
        <v>329</v>
      </c>
      <c r="C45" s="13" t="s">
        <v>105</v>
      </c>
      <c r="D45" s="13" t="s">
        <v>330</v>
      </c>
      <c r="E45" t="s">
        <v>168</v>
      </c>
      <c r="F45" t="s">
        <v>207</v>
      </c>
      <c r="G45" s="10" t="s">
        <v>304</v>
      </c>
      <c r="H45" s="10" t="s">
        <v>213</v>
      </c>
      <c r="I45" s="10" t="s">
        <v>197</v>
      </c>
      <c r="J45" s="10">
        <v>50.82</v>
      </c>
      <c r="K45" s="10">
        <v>67.430000000000007</v>
      </c>
      <c r="L45" s="10">
        <v>18.61</v>
      </c>
      <c r="M45" s="10">
        <v>87.02</v>
      </c>
      <c r="N45" s="10">
        <v>54.62</v>
      </c>
      <c r="O45" s="10">
        <v>21.51</v>
      </c>
      <c r="P45" s="10">
        <v>14</v>
      </c>
      <c r="Q45" s="10">
        <v>21.97</v>
      </c>
      <c r="R45" s="10">
        <v>15.78</v>
      </c>
      <c r="S45" s="10">
        <v>9.68</v>
      </c>
      <c r="T45" s="10">
        <v>6</v>
      </c>
      <c r="U45" s="10">
        <v>7.16</v>
      </c>
      <c r="V45" s="10">
        <v>10.06</v>
      </c>
      <c r="W45" s="10">
        <v>1</v>
      </c>
      <c r="X45" s="10">
        <v>0.38</v>
      </c>
      <c r="Y45" s="10">
        <v>60</v>
      </c>
      <c r="Z45" s="10">
        <v>27.02</v>
      </c>
      <c r="AA45" s="10">
        <v>6.52</v>
      </c>
      <c r="AB45" s="10">
        <v>27.47</v>
      </c>
      <c r="AC45" s="10">
        <v>2.63</v>
      </c>
      <c r="AD45" s="10">
        <v>18</v>
      </c>
      <c r="AE45" s="10">
        <v>21.51</v>
      </c>
      <c r="AF45" s="10">
        <v>5</v>
      </c>
      <c r="AG45" s="10">
        <v>15</v>
      </c>
      <c r="AH45" s="10" t="s">
        <v>521</v>
      </c>
      <c r="AI45" s="10">
        <v>2</v>
      </c>
    </row>
    <row r="46" spans="1:40" x14ac:dyDescent="0.35">
      <c r="A46" s="12">
        <v>45</v>
      </c>
      <c r="B46" s="10" t="s">
        <v>331</v>
      </c>
      <c r="C46" s="13" t="s">
        <v>106</v>
      </c>
      <c r="D46" s="13" t="s">
        <v>332</v>
      </c>
      <c r="E46" t="s">
        <v>168</v>
      </c>
      <c r="F46" t="s">
        <v>207</v>
      </c>
      <c r="G46" s="10" t="s">
        <v>325</v>
      </c>
      <c r="H46" s="10" t="s">
        <v>213</v>
      </c>
      <c r="I46" s="10" t="s">
        <v>214</v>
      </c>
      <c r="J46" s="10">
        <v>50.63</v>
      </c>
      <c r="K46" s="10">
        <v>70.83</v>
      </c>
      <c r="L46" s="10">
        <v>26.63</v>
      </c>
      <c r="M46" s="10">
        <v>63.34</v>
      </c>
      <c r="N46" s="10">
        <v>56.64</v>
      </c>
      <c r="O46" s="10">
        <v>30.64</v>
      </c>
      <c r="P46" s="10">
        <v>9.0500000000000007</v>
      </c>
      <c r="Q46" s="10">
        <v>25</v>
      </c>
      <c r="R46" s="10">
        <v>18.09</v>
      </c>
      <c r="S46" s="10">
        <v>18.690000000000001</v>
      </c>
      <c r="T46" s="10">
        <v>0</v>
      </c>
      <c r="U46" s="10">
        <v>12.51</v>
      </c>
      <c r="V46" s="10">
        <v>12.48</v>
      </c>
      <c r="W46" s="10">
        <v>0.5</v>
      </c>
      <c r="X46" s="10">
        <v>1.1499999999999999</v>
      </c>
      <c r="Y46" s="10">
        <v>60</v>
      </c>
      <c r="Z46" s="10">
        <v>3.34</v>
      </c>
      <c r="AA46" s="10">
        <v>4.8499999999999996</v>
      </c>
      <c r="AB46" s="10">
        <v>27.52</v>
      </c>
      <c r="AC46" s="10">
        <v>4.2699999999999996</v>
      </c>
      <c r="AD46" s="10">
        <v>20</v>
      </c>
      <c r="AE46" s="10">
        <v>30.64</v>
      </c>
      <c r="AF46" s="10">
        <v>5</v>
      </c>
      <c r="AG46" s="10">
        <v>15</v>
      </c>
      <c r="AH46" s="10" t="s">
        <v>526</v>
      </c>
      <c r="AI46" s="10">
        <v>0</v>
      </c>
    </row>
    <row r="47" spans="1:40" x14ac:dyDescent="0.35">
      <c r="A47" s="14">
        <v>46</v>
      </c>
      <c r="B47" s="10" t="s">
        <v>333</v>
      </c>
      <c r="C47" s="13" t="s">
        <v>107</v>
      </c>
      <c r="D47" s="13" t="s">
        <v>334</v>
      </c>
      <c r="E47" t="s">
        <v>193</v>
      </c>
      <c r="F47" t="s">
        <v>217</v>
      </c>
      <c r="G47" s="10" t="s">
        <v>257</v>
      </c>
      <c r="H47" s="10" t="s">
        <v>196</v>
      </c>
      <c r="I47" s="10" t="s">
        <v>252</v>
      </c>
      <c r="J47" s="10">
        <v>50.62</v>
      </c>
      <c r="K47" s="10">
        <v>70.64</v>
      </c>
      <c r="L47" s="10">
        <v>20.55</v>
      </c>
      <c r="M47" s="10">
        <v>63.6</v>
      </c>
      <c r="N47" s="10">
        <v>62.36</v>
      </c>
      <c r="O47" s="10">
        <v>42.97</v>
      </c>
      <c r="P47" s="10">
        <v>12.25</v>
      </c>
      <c r="Q47" s="10">
        <v>25</v>
      </c>
      <c r="R47" s="10">
        <v>18.41</v>
      </c>
      <c r="S47" s="10">
        <v>14.98</v>
      </c>
      <c r="T47" s="10">
        <v>0</v>
      </c>
      <c r="U47" s="10">
        <v>7.86</v>
      </c>
      <c r="V47" s="10">
        <v>10.01</v>
      </c>
      <c r="W47" s="10">
        <v>1</v>
      </c>
      <c r="X47" s="10">
        <v>1.68</v>
      </c>
      <c r="Y47" s="10">
        <v>60</v>
      </c>
      <c r="Z47" s="10">
        <v>3.6</v>
      </c>
      <c r="AA47" s="10">
        <v>12.13</v>
      </c>
      <c r="AB47" s="10">
        <v>30</v>
      </c>
      <c r="AC47" s="10">
        <v>0.23</v>
      </c>
      <c r="AD47" s="10">
        <v>20</v>
      </c>
      <c r="AE47" s="10">
        <v>42.97</v>
      </c>
      <c r="AF47" s="10">
        <v>15</v>
      </c>
      <c r="AG47" s="10">
        <v>20</v>
      </c>
      <c r="AH47" s="10" t="s">
        <v>513</v>
      </c>
      <c r="AI47" s="10">
        <v>0</v>
      </c>
    </row>
    <row r="48" spans="1:40" x14ac:dyDescent="0.35">
      <c r="A48" s="12">
        <v>47</v>
      </c>
      <c r="B48" s="10" t="s">
        <v>335</v>
      </c>
      <c r="C48" s="13" t="s">
        <v>108</v>
      </c>
      <c r="D48" s="13" t="s">
        <v>336</v>
      </c>
      <c r="E48" t="s">
        <v>193</v>
      </c>
      <c r="F48" t="s">
        <v>217</v>
      </c>
      <c r="G48" s="10" t="s">
        <v>251</v>
      </c>
      <c r="H48" s="10" t="s">
        <v>196</v>
      </c>
      <c r="I48" s="10" t="s">
        <v>252</v>
      </c>
      <c r="J48" s="10">
        <v>50.31</v>
      </c>
      <c r="K48" s="10">
        <v>70.37</v>
      </c>
      <c r="L48" s="10">
        <v>21.34</v>
      </c>
      <c r="M48" s="10">
        <v>64.97</v>
      </c>
      <c r="N48" s="10">
        <v>64.61</v>
      </c>
      <c r="O48" s="10">
        <v>33.51</v>
      </c>
      <c r="P48" s="10">
        <v>13.81</v>
      </c>
      <c r="Q48" s="10">
        <v>24.86</v>
      </c>
      <c r="R48" s="10">
        <v>16.350000000000001</v>
      </c>
      <c r="S48" s="10">
        <v>13.85</v>
      </c>
      <c r="T48" s="10">
        <v>1.5</v>
      </c>
      <c r="U48" s="10">
        <v>7.09</v>
      </c>
      <c r="V48" s="10">
        <v>9.9499999999999993</v>
      </c>
      <c r="W48" s="10">
        <v>3</v>
      </c>
      <c r="X48" s="10">
        <v>1.3</v>
      </c>
      <c r="Y48" s="10">
        <v>60</v>
      </c>
      <c r="Z48" s="10">
        <v>4.97</v>
      </c>
      <c r="AA48" s="10">
        <v>15</v>
      </c>
      <c r="AB48" s="10">
        <v>29.62</v>
      </c>
      <c r="AC48" s="10">
        <v>0</v>
      </c>
      <c r="AD48" s="10">
        <v>20</v>
      </c>
      <c r="AE48" s="10">
        <v>33.51</v>
      </c>
      <c r="AF48" s="10">
        <v>20</v>
      </c>
      <c r="AG48" s="10">
        <v>4</v>
      </c>
      <c r="AH48" s="10" t="s">
        <v>512</v>
      </c>
      <c r="AI48" s="10">
        <v>0</v>
      </c>
    </row>
    <row r="49" spans="1:40" x14ac:dyDescent="0.35">
      <c r="A49" s="14">
        <v>48</v>
      </c>
      <c r="B49" s="10" t="s">
        <v>337</v>
      </c>
      <c r="C49" s="13" t="s">
        <v>109</v>
      </c>
      <c r="D49" s="13" t="s">
        <v>338</v>
      </c>
      <c r="E49" t="s">
        <v>168</v>
      </c>
      <c r="F49" t="s">
        <v>207</v>
      </c>
      <c r="G49" s="10" t="s">
        <v>339</v>
      </c>
      <c r="H49" s="10" t="s">
        <v>213</v>
      </c>
      <c r="I49" s="10" t="s">
        <v>267</v>
      </c>
      <c r="J49" s="10">
        <v>50.19</v>
      </c>
      <c r="K49" s="10">
        <v>54.75</v>
      </c>
      <c r="L49" s="10">
        <v>27.23</v>
      </c>
      <c r="M49" s="10">
        <v>77.53</v>
      </c>
      <c r="N49" s="10">
        <v>62.47</v>
      </c>
      <c r="O49" s="10">
        <v>38.409999999999997</v>
      </c>
      <c r="P49" s="10">
        <v>15.85</v>
      </c>
      <c r="Q49" s="10">
        <v>19.11</v>
      </c>
      <c r="R49" s="10">
        <v>11.19</v>
      </c>
      <c r="S49" s="10">
        <v>8.59</v>
      </c>
      <c r="T49" s="10">
        <v>0</v>
      </c>
      <c r="U49" s="10">
        <v>10.36</v>
      </c>
      <c r="V49" s="10">
        <v>15.05</v>
      </c>
      <c r="W49" s="10">
        <v>0</v>
      </c>
      <c r="X49" s="10">
        <v>1.81</v>
      </c>
      <c r="Y49" s="10">
        <v>60</v>
      </c>
      <c r="Z49" s="10">
        <v>17.53</v>
      </c>
      <c r="AA49" s="10">
        <v>7.37</v>
      </c>
      <c r="AB49" s="10">
        <v>30</v>
      </c>
      <c r="AC49" s="10">
        <v>5.0999999999999996</v>
      </c>
      <c r="AD49" s="10">
        <v>20</v>
      </c>
      <c r="AE49" s="10">
        <v>38.409999999999997</v>
      </c>
      <c r="AF49" s="10">
        <v>5</v>
      </c>
      <c r="AG49" s="10">
        <v>12</v>
      </c>
      <c r="AH49" s="10" t="s">
        <v>528</v>
      </c>
      <c r="AI49" s="10">
        <v>1</v>
      </c>
    </row>
    <row r="50" spans="1:40" x14ac:dyDescent="0.35">
      <c r="A50" s="12">
        <v>49</v>
      </c>
      <c r="B50" s="10" t="s">
        <v>340</v>
      </c>
      <c r="C50" s="13" t="s">
        <v>110</v>
      </c>
      <c r="D50" s="13" t="s">
        <v>341</v>
      </c>
      <c r="E50" t="s">
        <v>193</v>
      </c>
      <c r="F50" t="s">
        <v>217</v>
      </c>
      <c r="G50" s="10" t="s">
        <v>201</v>
      </c>
      <c r="H50" s="10" t="s">
        <v>196</v>
      </c>
      <c r="I50" s="10" t="s">
        <v>202</v>
      </c>
      <c r="J50" s="10">
        <v>49.85</v>
      </c>
      <c r="K50" s="10">
        <v>56.02</v>
      </c>
      <c r="L50" s="10">
        <v>32.49</v>
      </c>
      <c r="M50" s="10">
        <v>70.37</v>
      </c>
      <c r="N50" s="10">
        <v>66.02</v>
      </c>
      <c r="O50" s="10">
        <v>26.19</v>
      </c>
      <c r="P50" s="10">
        <v>14.55</v>
      </c>
      <c r="Q50" s="10">
        <v>19.62</v>
      </c>
      <c r="R50" s="10">
        <v>14.16</v>
      </c>
      <c r="S50" s="10">
        <v>7.7</v>
      </c>
      <c r="T50" s="10">
        <v>0</v>
      </c>
      <c r="U50" s="10">
        <v>12.91</v>
      </c>
      <c r="V50" s="10">
        <v>17.22</v>
      </c>
      <c r="W50" s="10">
        <v>1</v>
      </c>
      <c r="X50" s="10">
        <v>1.36</v>
      </c>
      <c r="Y50" s="10">
        <v>60</v>
      </c>
      <c r="Z50" s="10">
        <v>10.37</v>
      </c>
      <c r="AA50" s="10">
        <v>15.95</v>
      </c>
      <c r="AB50" s="10">
        <v>28.91</v>
      </c>
      <c r="AC50" s="10">
        <v>1.17</v>
      </c>
      <c r="AD50" s="10">
        <v>20</v>
      </c>
      <c r="AE50" s="10">
        <v>26.19</v>
      </c>
      <c r="AF50" s="10">
        <v>20</v>
      </c>
      <c r="AG50" s="10">
        <v>20</v>
      </c>
      <c r="AH50" s="10" t="s">
        <v>509</v>
      </c>
      <c r="AI50" s="10">
        <v>2</v>
      </c>
      <c r="AJ50" s="10">
        <v>4</v>
      </c>
      <c r="AK50" s="10">
        <v>6</v>
      </c>
      <c r="AL50" s="10">
        <v>6</v>
      </c>
      <c r="AM50" s="10">
        <v>7</v>
      </c>
      <c r="AN50" s="10">
        <v>8</v>
      </c>
    </row>
    <row r="51" spans="1:40" x14ac:dyDescent="0.35">
      <c r="A51" s="14">
        <v>50</v>
      </c>
      <c r="B51" s="10" t="s">
        <v>342</v>
      </c>
      <c r="C51" s="13" t="s">
        <v>111</v>
      </c>
      <c r="D51" s="13" t="s">
        <v>343</v>
      </c>
      <c r="E51" s="15" t="s">
        <v>168</v>
      </c>
      <c r="F51" s="15" t="s">
        <v>207</v>
      </c>
      <c r="G51" s="10" t="s">
        <v>240</v>
      </c>
      <c r="H51" s="10" t="s">
        <v>196</v>
      </c>
      <c r="I51" s="10" t="s">
        <v>223</v>
      </c>
      <c r="J51" s="10">
        <v>49.5</v>
      </c>
      <c r="K51" s="10">
        <v>64.739999999999995</v>
      </c>
      <c r="L51" s="10">
        <v>32.9</v>
      </c>
      <c r="M51" s="10">
        <v>69.400000000000006</v>
      </c>
      <c r="N51" s="10">
        <v>53.23</v>
      </c>
      <c r="O51" s="10">
        <v>10.08</v>
      </c>
      <c r="P51" s="10">
        <v>10.68</v>
      </c>
      <c r="Q51" s="10">
        <v>25</v>
      </c>
      <c r="R51" s="10">
        <v>18.920000000000002</v>
      </c>
      <c r="S51" s="10">
        <v>8.14</v>
      </c>
      <c r="T51" s="10">
        <v>2</v>
      </c>
      <c r="U51" s="10">
        <v>16</v>
      </c>
      <c r="V51" s="10">
        <v>16.02</v>
      </c>
      <c r="W51" s="10">
        <v>0</v>
      </c>
      <c r="X51" s="10">
        <v>0.88</v>
      </c>
      <c r="Y51" s="10">
        <v>52.42</v>
      </c>
      <c r="Z51" s="10">
        <v>16.98</v>
      </c>
      <c r="AA51" s="10">
        <v>3.23</v>
      </c>
      <c r="AB51" s="10">
        <v>30</v>
      </c>
      <c r="AC51" s="10">
        <v>0</v>
      </c>
      <c r="AD51" s="10">
        <v>20</v>
      </c>
      <c r="AE51" s="10">
        <v>10.08</v>
      </c>
      <c r="AF51" s="10">
        <v>4</v>
      </c>
      <c r="AG51" s="10">
        <v>20</v>
      </c>
      <c r="AH51" s="10" t="s">
        <v>508</v>
      </c>
      <c r="AI51" s="10">
        <v>1</v>
      </c>
    </row>
    <row r="52" spans="1:40" x14ac:dyDescent="0.35">
      <c r="A52" s="12">
        <v>51</v>
      </c>
      <c r="B52" s="10" t="s">
        <v>344</v>
      </c>
      <c r="C52" s="13" t="s">
        <v>112</v>
      </c>
      <c r="D52" s="13" t="s">
        <v>345</v>
      </c>
      <c r="E52" t="s">
        <v>193</v>
      </c>
      <c r="F52" t="s">
        <v>217</v>
      </c>
      <c r="G52" s="10" t="s">
        <v>240</v>
      </c>
      <c r="H52" s="10" t="s">
        <v>196</v>
      </c>
      <c r="I52" s="10" t="s">
        <v>223</v>
      </c>
      <c r="J52" s="10">
        <v>49.26</v>
      </c>
      <c r="K52" s="10">
        <v>53.39</v>
      </c>
      <c r="L52" s="10">
        <v>35.72</v>
      </c>
      <c r="M52" s="10">
        <v>64.67</v>
      </c>
      <c r="N52" s="10">
        <v>66.38</v>
      </c>
      <c r="O52" s="10">
        <v>29.46</v>
      </c>
      <c r="P52" s="10">
        <v>13.07</v>
      </c>
      <c r="Q52" s="10">
        <v>21.78</v>
      </c>
      <c r="R52" s="10">
        <v>12.97</v>
      </c>
      <c r="S52" s="10">
        <v>5.57</v>
      </c>
      <c r="T52" s="10">
        <v>0</v>
      </c>
      <c r="U52" s="10">
        <v>14.27</v>
      </c>
      <c r="V52" s="10">
        <v>15.42</v>
      </c>
      <c r="W52" s="10">
        <v>5</v>
      </c>
      <c r="X52" s="10">
        <v>1.04</v>
      </c>
      <c r="Y52" s="10">
        <v>57.32</v>
      </c>
      <c r="Z52" s="10">
        <v>7.35</v>
      </c>
      <c r="AA52" s="10">
        <v>16.96</v>
      </c>
      <c r="AB52" s="10">
        <v>28.26</v>
      </c>
      <c r="AC52" s="10">
        <v>1.17</v>
      </c>
      <c r="AD52" s="10">
        <v>20</v>
      </c>
      <c r="AE52" s="10">
        <v>29.46</v>
      </c>
      <c r="AF52" s="10">
        <v>30</v>
      </c>
      <c r="AG52" s="10">
        <v>25</v>
      </c>
      <c r="AH52" s="10" t="s">
        <v>508</v>
      </c>
      <c r="AI52" s="10">
        <v>1</v>
      </c>
      <c r="AJ52" s="10">
        <v>2</v>
      </c>
      <c r="AK52" s="10">
        <v>2</v>
      </c>
      <c r="AL52" s="10">
        <v>2</v>
      </c>
      <c r="AM52" s="10">
        <v>4</v>
      </c>
      <c r="AN52" s="10">
        <v>6</v>
      </c>
    </row>
    <row r="53" spans="1:40" x14ac:dyDescent="0.35">
      <c r="A53" s="14">
        <v>52</v>
      </c>
      <c r="B53" s="10" t="s">
        <v>346</v>
      </c>
      <c r="C53" s="13" t="s">
        <v>113</v>
      </c>
      <c r="D53" s="13" t="s">
        <v>113</v>
      </c>
      <c r="E53" t="s">
        <v>281</v>
      </c>
      <c r="F53" t="s">
        <v>217</v>
      </c>
      <c r="G53" s="10" t="s">
        <v>347</v>
      </c>
      <c r="H53" s="10" t="s">
        <v>213</v>
      </c>
      <c r="I53" s="10" t="s">
        <v>348</v>
      </c>
      <c r="J53" s="10">
        <v>49.1</v>
      </c>
      <c r="K53" s="10">
        <v>58.19</v>
      </c>
      <c r="L53" s="10">
        <v>28.69</v>
      </c>
      <c r="M53" s="10">
        <v>60.55</v>
      </c>
      <c r="N53" s="10">
        <v>67.05</v>
      </c>
      <c r="O53" s="10">
        <v>42.13</v>
      </c>
      <c r="P53" s="10">
        <v>14.5</v>
      </c>
      <c r="Q53" s="10">
        <v>22.82</v>
      </c>
      <c r="R53" s="10">
        <v>13.54</v>
      </c>
      <c r="S53" s="10">
        <v>7.33</v>
      </c>
      <c r="T53" s="10">
        <v>0</v>
      </c>
      <c r="U53" s="10">
        <v>10.52</v>
      </c>
      <c r="V53" s="10">
        <v>13.81</v>
      </c>
      <c r="W53" s="10">
        <v>4</v>
      </c>
      <c r="X53" s="10">
        <v>0.35</v>
      </c>
      <c r="Y53" s="10">
        <v>60</v>
      </c>
      <c r="Z53" s="10">
        <v>0.55000000000000004</v>
      </c>
      <c r="AA53" s="10">
        <v>22.24</v>
      </c>
      <c r="AB53" s="10">
        <v>24.74</v>
      </c>
      <c r="AC53" s="10">
        <v>7.0000000000000007E-2</v>
      </c>
      <c r="AD53" s="10">
        <v>20</v>
      </c>
      <c r="AE53" s="10">
        <v>42.13</v>
      </c>
      <c r="AF53" s="10">
        <v>20</v>
      </c>
      <c r="AG53" s="10">
        <v>50</v>
      </c>
      <c r="AH53" s="10" t="s">
        <v>529</v>
      </c>
      <c r="AI53" s="10">
        <v>3</v>
      </c>
      <c r="AJ53" s="10">
        <v>4</v>
      </c>
      <c r="AK53" s="10">
        <v>5</v>
      </c>
      <c r="AL53" s="10">
        <v>7</v>
      </c>
      <c r="AM53" s="10">
        <v>8</v>
      </c>
      <c r="AN53" s="10">
        <v>9</v>
      </c>
    </row>
    <row r="54" spans="1:40" x14ac:dyDescent="0.35">
      <c r="A54" s="12">
        <v>53</v>
      </c>
      <c r="B54" s="10" t="s">
        <v>349</v>
      </c>
      <c r="C54" s="13" t="s">
        <v>114</v>
      </c>
      <c r="D54" s="13" t="s">
        <v>350</v>
      </c>
      <c r="E54" t="s">
        <v>168</v>
      </c>
      <c r="F54" t="s">
        <v>207</v>
      </c>
      <c r="G54" s="10" t="s">
        <v>351</v>
      </c>
      <c r="H54" s="10" t="s">
        <v>213</v>
      </c>
      <c r="I54" s="10" t="s">
        <v>223</v>
      </c>
      <c r="J54" s="10">
        <v>48.95</v>
      </c>
      <c r="K54" s="10">
        <v>63.47</v>
      </c>
      <c r="L54" s="10">
        <v>24.45</v>
      </c>
      <c r="M54" s="10">
        <v>68.37</v>
      </c>
      <c r="N54" s="10">
        <v>51.8</v>
      </c>
      <c r="O54" s="10">
        <v>37.31</v>
      </c>
      <c r="P54" s="10">
        <v>7.74</v>
      </c>
      <c r="Q54" s="10">
        <v>25</v>
      </c>
      <c r="R54" s="10">
        <v>18.649999999999999</v>
      </c>
      <c r="S54" s="10">
        <v>9.57</v>
      </c>
      <c r="T54" s="10">
        <v>2.5</v>
      </c>
      <c r="U54" s="10">
        <v>10.6</v>
      </c>
      <c r="V54" s="10">
        <v>12.74</v>
      </c>
      <c r="W54" s="10">
        <v>0.5</v>
      </c>
      <c r="X54" s="10">
        <v>0.6</v>
      </c>
      <c r="Y54" s="10">
        <v>57.2</v>
      </c>
      <c r="Z54" s="10">
        <v>11.17</v>
      </c>
      <c r="AA54" s="10">
        <v>2.79</v>
      </c>
      <c r="AB54" s="10">
        <v>29.01</v>
      </c>
      <c r="AC54" s="10">
        <v>0</v>
      </c>
      <c r="AD54" s="10">
        <v>20</v>
      </c>
      <c r="AE54" s="10">
        <v>37.31</v>
      </c>
      <c r="AF54" s="10">
        <v>13</v>
      </c>
      <c r="AG54" s="10">
        <v>30</v>
      </c>
      <c r="AH54" s="10" t="s">
        <v>530</v>
      </c>
      <c r="AI54" s="10">
        <v>1</v>
      </c>
    </row>
    <row r="55" spans="1:40" x14ac:dyDescent="0.35">
      <c r="A55" s="14">
        <v>54</v>
      </c>
      <c r="B55" s="10" t="s">
        <v>352</v>
      </c>
      <c r="C55" s="13" t="s">
        <v>115</v>
      </c>
      <c r="D55" s="13" t="s">
        <v>353</v>
      </c>
      <c r="E55" t="s">
        <v>168</v>
      </c>
      <c r="F55" t="s">
        <v>207</v>
      </c>
      <c r="G55" s="10" t="s">
        <v>354</v>
      </c>
      <c r="H55" s="10" t="s">
        <v>213</v>
      </c>
      <c r="I55" s="10" t="s">
        <v>267</v>
      </c>
      <c r="J55" s="10">
        <v>48.74</v>
      </c>
      <c r="K55" s="10">
        <v>70.53</v>
      </c>
      <c r="L55" s="10">
        <v>28.29</v>
      </c>
      <c r="M55" s="10">
        <v>67.48</v>
      </c>
      <c r="N55" s="10">
        <v>50.37</v>
      </c>
      <c r="O55" s="10">
        <v>5.47</v>
      </c>
      <c r="P55" s="10">
        <v>11.93</v>
      </c>
      <c r="Q55" s="10">
        <v>25</v>
      </c>
      <c r="R55" s="10">
        <v>18.95</v>
      </c>
      <c r="S55" s="10">
        <v>14.65</v>
      </c>
      <c r="T55" s="10">
        <v>0</v>
      </c>
      <c r="U55" s="10">
        <v>11.24</v>
      </c>
      <c r="V55" s="10">
        <v>12.9</v>
      </c>
      <c r="W55" s="10">
        <v>1.5</v>
      </c>
      <c r="X55" s="10">
        <v>2.65</v>
      </c>
      <c r="Y55" s="10">
        <v>53.51</v>
      </c>
      <c r="Z55" s="10">
        <v>13.97</v>
      </c>
      <c r="AA55" s="10">
        <v>1.93</v>
      </c>
      <c r="AB55" s="10">
        <v>28.23</v>
      </c>
      <c r="AC55" s="10">
        <v>0.21</v>
      </c>
      <c r="AD55" s="10">
        <v>20</v>
      </c>
      <c r="AE55" s="10">
        <v>5.47</v>
      </c>
      <c r="AF55" s="10">
        <v>4</v>
      </c>
      <c r="AG55" s="10">
        <v>122</v>
      </c>
      <c r="AH55" s="10" t="s">
        <v>531</v>
      </c>
      <c r="AI55" s="10">
        <v>1</v>
      </c>
    </row>
    <row r="56" spans="1:40" x14ac:dyDescent="0.35">
      <c r="A56" s="12">
        <v>55</v>
      </c>
      <c r="B56" s="10" t="s">
        <v>355</v>
      </c>
      <c r="C56" s="13" t="s">
        <v>116</v>
      </c>
      <c r="D56" s="13" t="s">
        <v>356</v>
      </c>
      <c r="E56" t="s">
        <v>193</v>
      </c>
      <c r="F56" t="s">
        <v>217</v>
      </c>
      <c r="G56" s="10" t="s">
        <v>347</v>
      </c>
      <c r="H56" s="10" t="s">
        <v>213</v>
      </c>
      <c r="I56" s="10" t="s">
        <v>348</v>
      </c>
      <c r="J56" s="10">
        <v>48.69</v>
      </c>
      <c r="K56" s="10">
        <v>57.45</v>
      </c>
      <c r="L56" s="10">
        <v>22.95</v>
      </c>
      <c r="M56" s="10">
        <v>64.11</v>
      </c>
      <c r="N56" s="10">
        <v>69.989999999999995</v>
      </c>
      <c r="O56" s="10">
        <v>47.37</v>
      </c>
      <c r="P56" s="10">
        <v>13</v>
      </c>
      <c r="Q56" s="10">
        <v>25</v>
      </c>
      <c r="R56" s="10">
        <v>12.83</v>
      </c>
      <c r="S56" s="10">
        <v>6.62</v>
      </c>
      <c r="T56" s="10">
        <v>0</v>
      </c>
      <c r="U56" s="10">
        <v>6.39</v>
      </c>
      <c r="V56" s="10">
        <v>9.26</v>
      </c>
      <c r="W56" s="10">
        <v>7</v>
      </c>
      <c r="X56" s="10">
        <v>0.3</v>
      </c>
      <c r="Y56" s="10">
        <v>60</v>
      </c>
      <c r="Z56" s="10">
        <v>4.1100000000000003</v>
      </c>
      <c r="AA56" s="10">
        <v>20.97</v>
      </c>
      <c r="AB56" s="10">
        <v>28.52</v>
      </c>
      <c r="AC56" s="10">
        <v>0.49</v>
      </c>
      <c r="AD56" s="10">
        <v>20</v>
      </c>
      <c r="AE56" s="10">
        <v>47.37</v>
      </c>
      <c r="AF56" s="10">
        <v>10</v>
      </c>
      <c r="AG56" s="10">
        <v>32</v>
      </c>
      <c r="AH56" s="10" t="s">
        <v>529</v>
      </c>
      <c r="AI56" s="10">
        <v>3</v>
      </c>
      <c r="AJ56" s="10">
        <v>4</v>
      </c>
      <c r="AK56" s="10">
        <v>4</v>
      </c>
      <c r="AL56" s="10">
        <v>6</v>
      </c>
      <c r="AM56" s="10">
        <v>8</v>
      </c>
      <c r="AN56" s="10">
        <v>8</v>
      </c>
    </row>
    <row r="57" spans="1:40" x14ac:dyDescent="0.35">
      <c r="A57" s="14">
        <v>56</v>
      </c>
      <c r="B57" s="10" t="s">
        <v>357</v>
      </c>
      <c r="C57" s="13" t="s">
        <v>117</v>
      </c>
      <c r="D57" s="13" t="s">
        <v>251</v>
      </c>
      <c r="E57" s="15" t="s">
        <v>168</v>
      </c>
      <c r="F57" s="15" t="s">
        <v>207</v>
      </c>
      <c r="G57" s="10" t="s">
        <v>251</v>
      </c>
      <c r="H57" s="10" t="s">
        <v>196</v>
      </c>
      <c r="I57" s="10" t="s">
        <v>252</v>
      </c>
      <c r="J57" s="10">
        <v>48.63</v>
      </c>
      <c r="K57" s="10">
        <v>56.15</v>
      </c>
      <c r="L57" s="10">
        <v>17.82</v>
      </c>
      <c r="M57" s="10">
        <v>86.24</v>
      </c>
      <c r="N57" s="10">
        <v>56.27</v>
      </c>
      <c r="O57" s="10">
        <v>35.47</v>
      </c>
      <c r="P57" s="10">
        <v>14.39</v>
      </c>
      <c r="Q57" s="10">
        <v>16.489999999999998</v>
      </c>
      <c r="R57" s="10">
        <v>10.88</v>
      </c>
      <c r="S57" s="10">
        <v>11.9</v>
      </c>
      <c r="T57" s="10">
        <v>2.5</v>
      </c>
      <c r="U57" s="10">
        <v>6.93</v>
      </c>
      <c r="V57" s="10">
        <v>8.67</v>
      </c>
      <c r="W57" s="10">
        <v>1</v>
      </c>
      <c r="X57" s="10">
        <v>1.22</v>
      </c>
      <c r="Y57" s="10">
        <v>60</v>
      </c>
      <c r="Z57" s="10">
        <v>26.24</v>
      </c>
      <c r="AA57" s="10">
        <v>2.8</v>
      </c>
      <c r="AB57" s="10">
        <v>29.43</v>
      </c>
      <c r="AC57" s="10">
        <v>4.04</v>
      </c>
      <c r="AD57" s="10">
        <v>20</v>
      </c>
      <c r="AE57" s="10">
        <v>35.47</v>
      </c>
      <c r="AF57" s="10">
        <v>15</v>
      </c>
      <c r="AG57" s="10">
        <v>5</v>
      </c>
      <c r="AH57" s="10" t="s">
        <v>512</v>
      </c>
      <c r="AI57" s="10">
        <v>0</v>
      </c>
    </row>
    <row r="58" spans="1:40" x14ac:dyDescent="0.35">
      <c r="A58" s="12">
        <v>57</v>
      </c>
      <c r="B58" s="10" t="s">
        <v>358</v>
      </c>
      <c r="C58" s="13" t="s">
        <v>118</v>
      </c>
      <c r="D58" s="13" t="s">
        <v>359</v>
      </c>
      <c r="E58" t="s">
        <v>193</v>
      </c>
      <c r="F58" t="s">
        <v>217</v>
      </c>
      <c r="G58" s="10" t="s">
        <v>240</v>
      </c>
      <c r="H58" s="10" t="s">
        <v>196</v>
      </c>
      <c r="I58" s="10" t="s">
        <v>223</v>
      </c>
      <c r="J58" s="10">
        <v>48.61</v>
      </c>
      <c r="K58" s="10">
        <v>68.849999999999994</v>
      </c>
      <c r="L58" s="10">
        <v>18.53</v>
      </c>
      <c r="M58" s="10">
        <v>62.74</v>
      </c>
      <c r="N58" s="10">
        <v>62.9</v>
      </c>
      <c r="O58" s="10">
        <v>35.47</v>
      </c>
      <c r="P58" s="10">
        <v>12.29</v>
      </c>
      <c r="Q58" s="10">
        <v>25</v>
      </c>
      <c r="R58" s="10">
        <v>17.89</v>
      </c>
      <c r="S58" s="10">
        <v>13.67</v>
      </c>
      <c r="T58" s="10">
        <v>0</v>
      </c>
      <c r="U58" s="10">
        <v>8.16</v>
      </c>
      <c r="V58" s="10">
        <v>7.91</v>
      </c>
      <c r="W58" s="10">
        <v>1</v>
      </c>
      <c r="X58" s="10">
        <v>1.45</v>
      </c>
      <c r="Y58" s="10">
        <v>60</v>
      </c>
      <c r="Z58" s="10">
        <v>2.74</v>
      </c>
      <c r="AA58" s="10">
        <v>9.73</v>
      </c>
      <c r="AB58" s="10">
        <v>30</v>
      </c>
      <c r="AC58" s="10">
        <v>3.17</v>
      </c>
      <c r="AD58" s="10">
        <v>20</v>
      </c>
      <c r="AE58" s="10">
        <v>35.47</v>
      </c>
      <c r="AF58" s="10">
        <v>20</v>
      </c>
      <c r="AG58" s="10">
        <v>15</v>
      </c>
      <c r="AH58" s="10" t="s">
        <v>508</v>
      </c>
      <c r="AI58" s="10">
        <v>1</v>
      </c>
    </row>
    <row r="59" spans="1:40" ht="14" customHeight="1" x14ac:dyDescent="0.35">
      <c r="A59" s="14">
        <v>58</v>
      </c>
      <c r="B59" s="10" t="s">
        <v>360</v>
      </c>
      <c r="C59" s="13" t="s">
        <v>119</v>
      </c>
      <c r="D59" s="13" t="s">
        <v>361</v>
      </c>
      <c r="E59" t="s">
        <v>193</v>
      </c>
      <c r="F59" t="s">
        <v>217</v>
      </c>
      <c r="G59" s="10" t="s">
        <v>361</v>
      </c>
      <c r="H59" s="10" t="s">
        <v>219</v>
      </c>
      <c r="I59" s="10" t="s">
        <v>261</v>
      </c>
      <c r="J59" s="10">
        <v>48.6</v>
      </c>
      <c r="K59" s="10">
        <v>50.45</v>
      </c>
      <c r="L59" s="10">
        <v>17.72</v>
      </c>
      <c r="M59" s="10">
        <v>84.22</v>
      </c>
      <c r="N59" s="10">
        <v>77.31</v>
      </c>
      <c r="O59" s="10">
        <v>35.71</v>
      </c>
      <c r="P59" s="10">
        <v>16.5</v>
      </c>
      <c r="Q59" s="10">
        <v>16.53</v>
      </c>
      <c r="R59" s="10">
        <v>11.69</v>
      </c>
      <c r="S59" s="10">
        <v>5.74</v>
      </c>
      <c r="T59" s="10">
        <v>0</v>
      </c>
      <c r="U59" s="10">
        <v>6.11</v>
      </c>
      <c r="V59" s="10">
        <v>9.44</v>
      </c>
      <c r="W59" s="10">
        <v>1</v>
      </c>
      <c r="X59" s="10">
        <v>1.17</v>
      </c>
      <c r="Y59" s="10">
        <v>60</v>
      </c>
      <c r="Z59" s="10">
        <v>24.22</v>
      </c>
      <c r="AA59" s="10">
        <v>24.68</v>
      </c>
      <c r="AB59" s="10">
        <v>30</v>
      </c>
      <c r="AC59" s="10">
        <v>2.63</v>
      </c>
      <c r="AD59" s="10">
        <v>20</v>
      </c>
      <c r="AE59" s="10">
        <v>35.71</v>
      </c>
      <c r="AF59" s="10">
        <v>80</v>
      </c>
      <c r="AG59" s="10">
        <v>59</v>
      </c>
      <c r="AH59" s="10" t="s">
        <v>532</v>
      </c>
      <c r="AI59" s="10">
        <v>0</v>
      </c>
      <c r="AJ59" s="10">
        <v>2</v>
      </c>
      <c r="AK59" s="10">
        <v>3</v>
      </c>
      <c r="AL59" s="10">
        <v>5</v>
      </c>
      <c r="AM59" s="10">
        <v>6</v>
      </c>
      <c r="AN59" s="10">
        <v>8</v>
      </c>
    </row>
    <row r="60" spans="1:40" x14ac:dyDescent="0.35">
      <c r="A60" s="12">
        <v>59</v>
      </c>
      <c r="B60" s="10" t="s">
        <v>362</v>
      </c>
      <c r="C60" s="13" t="s">
        <v>120</v>
      </c>
      <c r="D60" s="13" t="s">
        <v>363</v>
      </c>
      <c r="E60" t="s">
        <v>168</v>
      </c>
      <c r="F60" t="s">
        <v>207</v>
      </c>
      <c r="G60" s="10" t="s">
        <v>364</v>
      </c>
      <c r="H60" s="10" t="s">
        <v>213</v>
      </c>
      <c r="I60" s="10" t="s">
        <v>223</v>
      </c>
      <c r="J60" s="10">
        <v>48.3</v>
      </c>
      <c r="K60" s="10">
        <v>53.76</v>
      </c>
      <c r="L60" s="10">
        <v>28.66</v>
      </c>
      <c r="M60" s="10">
        <v>74.62</v>
      </c>
      <c r="N60" s="10">
        <v>52.68</v>
      </c>
      <c r="O60" s="10">
        <v>33.76</v>
      </c>
      <c r="P60" s="10">
        <v>8.4600000000000009</v>
      </c>
      <c r="Q60" s="10">
        <v>22.04</v>
      </c>
      <c r="R60" s="10">
        <v>16.600000000000001</v>
      </c>
      <c r="S60" s="10">
        <v>6.66</v>
      </c>
      <c r="T60" s="10">
        <v>0</v>
      </c>
      <c r="U60" s="10">
        <v>13.76</v>
      </c>
      <c r="V60" s="10">
        <v>14.7</v>
      </c>
      <c r="W60" s="10">
        <v>0</v>
      </c>
      <c r="X60" s="10">
        <v>0.2</v>
      </c>
      <c r="Y60" s="10">
        <v>60</v>
      </c>
      <c r="Z60" s="10">
        <v>14.62</v>
      </c>
      <c r="AA60" s="10">
        <v>0.76</v>
      </c>
      <c r="AB60" s="10">
        <v>30</v>
      </c>
      <c r="AC60" s="10">
        <v>1.93</v>
      </c>
      <c r="AD60" s="10">
        <v>20</v>
      </c>
      <c r="AE60" s="10">
        <v>33.76</v>
      </c>
      <c r="AF60" s="10">
        <v>10</v>
      </c>
      <c r="AG60" s="10">
        <v>163</v>
      </c>
      <c r="AH60" s="10" t="s">
        <v>533</v>
      </c>
      <c r="AI60" s="10">
        <v>1</v>
      </c>
    </row>
    <row r="61" spans="1:40" x14ac:dyDescent="0.35">
      <c r="A61" s="14">
        <v>60</v>
      </c>
      <c r="B61" s="10" t="s">
        <v>365</v>
      </c>
      <c r="C61" s="13" t="s">
        <v>121</v>
      </c>
      <c r="D61" s="13" t="s">
        <v>366</v>
      </c>
      <c r="E61" t="s">
        <v>168</v>
      </c>
      <c r="F61" t="s">
        <v>207</v>
      </c>
      <c r="G61" s="10" t="s">
        <v>367</v>
      </c>
      <c r="H61" s="10" t="s">
        <v>219</v>
      </c>
      <c r="I61" s="10" t="s">
        <v>286</v>
      </c>
      <c r="J61" s="10">
        <v>48.18</v>
      </c>
      <c r="K61" s="10">
        <v>60.66</v>
      </c>
      <c r="L61" s="10">
        <v>17.45</v>
      </c>
      <c r="M61" s="10">
        <v>77.53</v>
      </c>
      <c r="N61" s="10">
        <v>58.35</v>
      </c>
      <c r="O61" s="10">
        <v>34.01</v>
      </c>
      <c r="P61" s="10">
        <v>13.31</v>
      </c>
      <c r="Q61" s="10">
        <v>23.38</v>
      </c>
      <c r="R61" s="10">
        <v>14.93</v>
      </c>
      <c r="S61" s="10">
        <v>9.0399999999999991</v>
      </c>
      <c r="T61" s="10">
        <v>0</v>
      </c>
      <c r="U61" s="10">
        <v>6.6</v>
      </c>
      <c r="V61" s="10">
        <v>9.32</v>
      </c>
      <c r="W61" s="10">
        <v>1</v>
      </c>
      <c r="X61" s="10">
        <v>0.53</v>
      </c>
      <c r="Y61" s="10">
        <v>60</v>
      </c>
      <c r="Z61" s="10">
        <v>17.53</v>
      </c>
      <c r="AA61" s="10">
        <v>3.49</v>
      </c>
      <c r="AB61" s="10">
        <v>29.38</v>
      </c>
      <c r="AC61" s="10">
        <v>5.48</v>
      </c>
      <c r="AD61" s="10">
        <v>20</v>
      </c>
      <c r="AE61" s="10">
        <v>34.01</v>
      </c>
      <c r="AF61" s="10">
        <v>3</v>
      </c>
      <c r="AG61" s="10">
        <v>20</v>
      </c>
      <c r="AH61" s="10" t="s">
        <v>534</v>
      </c>
      <c r="AI61" s="10">
        <v>1</v>
      </c>
    </row>
    <row r="62" spans="1:40" x14ac:dyDescent="0.35">
      <c r="A62" s="12">
        <v>61</v>
      </c>
      <c r="B62" s="10" t="s">
        <v>368</v>
      </c>
      <c r="C62" s="13" t="s">
        <v>122</v>
      </c>
      <c r="D62" s="13" t="s">
        <v>369</v>
      </c>
      <c r="E62" s="15" t="s">
        <v>168</v>
      </c>
      <c r="F62" t="s">
        <v>207</v>
      </c>
      <c r="G62" s="10" t="s">
        <v>370</v>
      </c>
      <c r="H62" s="10" t="s">
        <v>196</v>
      </c>
      <c r="I62" s="10" t="s">
        <v>369</v>
      </c>
      <c r="J62" s="10">
        <v>47.82</v>
      </c>
      <c r="K62" s="10">
        <v>64.84</v>
      </c>
      <c r="L62" s="10">
        <v>18.62</v>
      </c>
      <c r="M62" s="10">
        <v>83.31</v>
      </c>
      <c r="N62" s="10">
        <v>59.33</v>
      </c>
      <c r="O62" s="10">
        <v>1.94</v>
      </c>
      <c r="P62" s="10">
        <v>12.89</v>
      </c>
      <c r="Q62" s="10">
        <v>25</v>
      </c>
      <c r="R62" s="10">
        <v>15.64</v>
      </c>
      <c r="S62" s="10">
        <v>9.31</v>
      </c>
      <c r="T62" s="10">
        <v>2</v>
      </c>
      <c r="U62" s="10">
        <v>5.78</v>
      </c>
      <c r="V62" s="10">
        <v>7.81</v>
      </c>
      <c r="W62" s="10">
        <v>1</v>
      </c>
      <c r="X62" s="10">
        <v>4.03</v>
      </c>
      <c r="Y62" s="10">
        <v>60</v>
      </c>
      <c r="Z62" s="10">
        <v>23.31</v>
      </c>
      <c r="AA62" s="10">
        <v>9.33</v>
      </c>
      <c r="AB62" s="10">
        <v>30</v>
      </c>
      <c r="AC62" s="10">
        <v>0</v>
      </c>
      <c r="AD62" s="10">
        <v>20</v>
      </c>
      <c r="AE62" s="10">
        <v>1.94</v>
      </c>
      <c r="AF62" s="10">
        <v>8</v>
      </c>
      <c r="AG62" s="10">
        <v>13</v>
      </c>
      <c r="AH62" s="10" t="s">
        <v>535</v>
      </c>
      <c r="AI62" s="10">
        <v>0</v>
      </c>
    </row>
    <row r="63" spans="1:40" x14ac:dyDescent="0.35">
      <c r="A63" s="14">
        <v>62</v>
      </c>
      <c r="B63" s="10" t="s">
        <v>371</v>
      </c>
      <c r="C63" s="13" t="s">
        <v>123</v>
      </c>
      <c r="D63" s="13" t="s">
        <v>372</v>
      </c>
      <c r="E63" t="s">
        <v>281</v>
      </c>
      <c r="F63" t="s">
        <v>217</v>
      </c>
      <c r="G63" s="10" t="s">
        <v>373</v>
      </c>
      <c r="H63" s="10" t="s">
        <v>219</v>
      </c>
      <c r="I63" s="10" t="s">
        <v>214</v>
      </c>
      <c r="J63" s="10">
        <v>47.69</v>
      </c>
      <c r="K63" s="10">
        <v>65.260000000000005</v>
      </c>
      <c r="L63" s="10">
        <v>24.23</v>
      </c>
      <c r="M63" s="10">
        <v>59.23</v>
      </c>
      <c r="N63" s="10">
        <v>65.34</v>
      </c>
      <c r="O63" s="10">
        <v>24.64</v>
      </c>
      <c r="P63" s="10">
        <v>9</v>
      </c>
      <c r="Q63" s="10">
        <v>25</v>
      </c>
      <c r="R63" s="10">
        <v>18.93</v>
      </c>
      <c r="S63" s="10">
        <v>12.33</v>
      </c>
      <c r="T63" s="10">
        <v>0</v>
      </c>
      <c r="U63" s="10">
        <v>10.4</v>
      </c>
      <c r="V63" s="10">
        <v>12.42</v>
      </c>
      <c r="W63" s="10">
        <v>1</v>
      </c>
      <c r="X63" s="10">
        <v>0.41</v>
      </c>
      <c r="Y63" s="10">
        <v>53.91</v>
      </c>
      <c r="Z63" s="10">
        <v>5.32</v>
      </c>
      <c r="AA63" s="10">
        <v>17.649999999999999</v>
      </c>
      <c r="AB63" s="10">
        <v>25.79</v>
      </c>
      <c r="AC63" s="10">
        <v>1.9</v>
      </c>
      <c r="AD63" s="10">
        <v>20</v>
      </c>
      <c r="AE63" s="10">
        <v>24.64</v>
      </c>
      <c r="AF63" s="10">
        <v>48</v>
      </c>
      <c r="AG63" s="10">
        <v>60</v>
      </c>
      <c r="AH63" s="10" t="s">
        <v>509</v>
      </c>
      <c r="AI63" s="10">
        <v>2</v>
      </c>
      <c r="AJ63" s="10">
        <v>3</v>
      </c>
      <c r="AK63" s="10">
        <v>6</v>
      </c>
      <c r="AL63" s="10">
        <v>6</v>
      </c>
      <c r="AM63" s="10">
        <v>7</v>
      </c>
      <c r="AN63" s="10">
        <v>8</v>
      </c>
    </row>
    <row r="64" spans="1:40" x14ac:dyDescent="0.35">
      <c r="A64" s="12">
        <v>63</v>
      </c>
      <c r="B64" s="10" t="s">
        <v>374</v>
      </c>
      <c r="C64" s="13" t="s">
        <v>124</v>
      </c>
      <c r="D64" s="13" t="s">
        <v>375</v>
      </c>
      <c r="E64" t="s">
        <v>168</v>
      </c>
      <c r="F64" t="s">
        <v>207</v>
      </c>
      <c r="G64" s="10" t="s">
        <v>375</v>
      </c>
      <c r="H64" s="10" t="s">
        <v>213</v>
      </c>
      <c r="I64" s="10" t="s">
        <v>301</v>
      </c>
      <c r="J64" s="10">
        <v>47.58</v>
      </c>
      <c r="K64" s="10">
        <v>59.63</v>
      </c>
      <c r="L64" s="10">
        <v>21.64</v>
      </c>
      <c r="M64" s="10">
        <v>74.75</v>
      </c>
      <c r="N64" s="10">
        <v>50.59</v>
      </c>
      <c r="O64" s="10">
        <v>31.94</v>
      </c>
      <c r="P64" s="10">
        <v>13.04</v>
      </c>
      <c r="Q64" s="10">
        <v>20.66</v>
      </c>
      <c r="R64" s="10">
        <v>15.62</v>
      </c>
      <c r="S64" s="10">
        <v>10.31</v>
      </c>
      <c r="T64" s="10">
        <v>0</v>
      </c>
      <c r="U64" s="10">
        <v>8.59</v>
      </c>
      <c r="V64" s="10">
        <v>12.3</v>
      </c>
      <c r="W64" s="10">
        <v>0</v>
      </c>
      <c r="X64" s="10">
        <v>0.76</v>
      </c>
      <c r="Y64" s="10">
        <v>60</v>
      </c>
      <c r="Z64" s="10">
        <v>14.75</v>
      </c>
      <c r="AA64" s="10">
        <v>0.11</v>
      </c>
      <c r="AB64" s="10">
        <v>30</v>
      </c>
      <c r="AC64" s="10">
        <v>0.48</v>
      </c>
      <c r="AD64" s="10">
        <v>20</v>
      </c>
      <c r="AE64" s="10">
        <v>31.94</v>
      </c>
      <c r="AF64" s="10">
        <v>3</v>
      </c>
      <c r="AG64" s="10">
        <v>7</v>
      </c>
      <c r="AH64" s="10" t="s">
        <v>536</v>
      </c>
      <c r="AI64" s="10">
        <v>2</v>
      </c>
    </row>
    <row r="65" spans="1:41" x14ac:dyDescent="0.35">
      <c r="A65" s="14">
        <v>63</v>
      </c>
      <c r="B65" s="10" t="s">
        <v>376</v>
      </c>
      <c r="C65" s="13" t="s">
        <v>125</v>
      </c>
      <c r="D65" s="13" t="s">
        <v>377</v>
      </c>
      <c r="E65" t="s">
        <v>168</v>
      </c>
      <c r="F65" t="s">
        <v>207</v>
      </c>
      <c r="G65" s="10" t="s">
        <v>378</v>
      </c>
      <c r="H65" s="10" t="s">
        <v>213</v>
      </c>
      <c r="I65" s="10" t="s">
        <v>197</v>
      </c>
      <c r="J65" s="10">
        <v>47.58</v>
      </c>
      <c r="K65" s="10">
        <v>58.85</v>
      </c>
      <c r="L65" s="10">
        <v>34.69</v>
      </c>
      <c r="M65" s="10">
        <v>61.46</v>
      </c>
      <c r="N65" s="10">
        <v>57.77</v>
      </c>
      <c r="O65" s="10">
        <v>14.47</v>
      </c>
      <c r="P65" s="10">
        <v>7.83</v>
      </c>
      <c r="Q65" s="10">
        <v>24.44</v>
      </c>
      <c r="R65" s="10">
        <v>14.42</v>
      </c>
      <c r="S65" s="10">
        <v>12.17</v>
      </c>
      <c r="T65" s="10">
        <v>0</v>
      </c>
      <c r="U65" s="10">
        <v>17.600000000000001</v>
      </c>
      <c r="V65" s="10">
        <v>15.45</v>
      </c>
      <c r="W65" s="10">
        <v>1.5</v>
      </c>
      <c r="X65" s="10">
        <v>0.14000000000000001</v>
      </c>
      <c r="Y65" s="10">
        <v>60</v>
      </c>
      <c r="Z65" s="10">
        <v>1.46</v>
      </c>
      <c r="AA65" s="10">
        <v>0.39</v>
      </c>
      <c r="AB65" s="10">
        <v>29.61</v>
      </c>
      <c r="AC65" s="10">
        <v>7.77</v>
      </c>
      <c r="AD65" s="10">
        <v>20</v>
      </c>
      <c r="AE65" s="10">
        <v>14.47</v>
      </c>
      <c r="AF65" s="10">
        <v>11</v>
      </c>
      <c r="AG65" s="10">
        <v>25</v>
      </c>
      <c r="AH65" s="10" t="s">
        <v>537</v>
      </c>
      <c r="AI65" s="10">
        <v>2</v>
      </c>
    </row>
    <row r="66" spans="1:41" x14ac:dyDescent="0.35">
      <c r="A66" s="12">
        <v>65</v>
      </c>
      <c r="B66" s="10" t="s">
        <v>379</v>
      </c>
      <c r="C66" s="13" t="s">
        <v>126</v>
      </c>
      <c r="D66" s="13" t="s">
        <v>126</v>
      </c>
      <c r="E66" t="s">
        <v>193</v>
      </c>
      <c r="F66" t="s">
        <v>217</v>
      </c>
      <c r="G66" s="10" t="s">
        <v>380</v>
      </c>
      <c r="H66" s="10" t="s">
        <v>213</v>
      </c>
      <c r="I66" s="10" t="s">
        <v>197</v>
      </c>
      <c r="J66" s="10">
        <v>47.07</v>
      </c>
      <c r="K66" s="10">
        <v>63.85</v>
      </c>
      <c r="L66" s="10">
        <v>18.72</v>
      </c>
      <c r="M66" s="10">
        <v>61.97</v>
      </c>
      <c r="N66" s="10">
        <v>69.22</v>
      </c>
      <c r="O66" s="10">
        <v>29.94</v>
      </c>
      <c r="P66" s="10">
        <v>11.5</v>
      </c>
      <c r="Q66" s="10">
        <v>25</v>
      </c>
      <c r="R66" s="10">
        <v>15.75</v>
      </c>
      <c r="S66" s="10">
        <v>11.59</v>
      </c>
      <c r="T66" s="10">
        <v>0</v>
      </c>
      <c r="U66" s="10">
        <v>8.35</v>
      </c>
      <c r="V66" s="10">
        <v>9.01</v>
      </c>
      <c r="W66" s="10">
        <v>1</v>
      </c>
      <c r="X66" s="10">
        <v>0.37</v>
      </c>
      <c r="Y66" s="10">
        <v>60</v>
      </c>
      <c r="Z66" s="10">
        <v>1.97</v>
      </c>
      <c r="AA66" s="10">
        <v>18.87</v>
      </c>
      <c r="AB66" s="10">
        <v>30</v>
      </c>
      <c r="AC66" s="10">
        <v>0.35</v>
      </c>
      <c r="AD66" s="10">
        <v>20</v>
      </c>
      <c r="AE66" s="10">
        <v>29.94</v>
      </c>
      <c r="AF66" s="10">
        <v>13</v>
      </c>
      <c r="AG66" s="10">
        <v>22</v>
      </c>
      <c r="AH66" s="10" t="s">
        <v>538</v>
      </c>
      <c r="AI66" s="10">
        <v>1</v>
      </c>
      <c r="AJ66" s="10">
        <v>1</v>
      </c>
      <c r="AK66" s="10">
        <v>4</v>
      </c>
      <c r="AL66" s="10">
        <v>5</v>
      </c>
      <c r="AM66" s="10">
        <v>6</v>
      </c>
      <c r="AN66" s="10">
        <v>6</v>
      </c>
    </row>
    <row r="67" spans="1:41" x14ac:dyDescent="0.35">
      <c r="A67" s="14">
        <v>66</v>
      </c>
      <c r="B67" s="10" t="s">
        <v>381</v>
      </c>
      <c r="C67" s="13" t="s">
        <v>127</v>
      </c>
      <c r="D67" s="13" t="s">
        <v>382</v>
      </c>
      <c r="E67" t="s">
        <v>193</v>
      </c>
      <c r="F67" t="s">
        <v>217</v>
      </c>
      <c r="G67" s="10" t="s">
        <v>240</v>
      </c>
      <c r="H67" s="10" t="s">
        <v>196</v>
      </c>
      <c r="I67" s="10" t="s">
        <v>223</v>
      </c>
      <c r="J67" s="10">
        <v>46.91</v>
      </c>
      <c r="K67" s="10">
        <v>53.31</v>
      </c>
      <c r="L67" s="10">
        <v>26.25</v>
      </c>
      <c r="M67" s="10">
        <v>69.08</v>
      </c>
      <c r="N67" s="10">
        <v>68.48</v>
      </c>
      <c r="O67" s="10">
        <v>23.71</v>
      </c>
      <c r="P67" s="10">
        <v>15.61</v>
      </c>
      <c r="Q67" s="10">
        <v>18.14</v>
      </c>
      <c r="R67" s="10">
        <v>12</v>
      </c>
      <c r="S67" s="10">
        <v>7.56</v>
      </c>
      <c r="T67" s="10">
        <v>0</v>
      </c>
      <c r="U67" s="10">
        <v>8.1</v>
      </c>
      <c r="V67" s="10">
        <v>9.6999999999999993</v>
      </c>
      <c r="W67" s="10">
        <v>7</v>
      </c>
      <c r="X67" s="10">
        <v>1.45</v>
      </c>
      <c r="Y67" s="10">
        <v>57.06</v>
      </c>
      <c r="Z67" s="10">
        <v>12.01</v>
      </c>
      <c r="AA67" s="10">
        <v>16.239999999999998</v>
      </c>
      <c r="AB67" s="10">
        <v>28.58</v>
      </c>
      <c r="AC67" s="10">
        <v>3.66</v>
      </c>
      <c r="AD67" s="10">
        <v>20</v>
      </c>
      <c r="AE67" s="10">
        <v>23.71</v>
      </c>
      <c r="AF67" s="10">
        <v>31</v>
      </c>
      <c r="AG67" s="10">
        <v>13</v>
      </c>
      <c r="AH67" s="10" t="s">
        <v>508</v>
      </c>
      <c r="AI67" s="10">
        <v>1</v>
      </c>
      <c r="AJ67" s="10">
        <v>2</v>
      </c>
      <c r="AK67" s="10">
        <v>2</v>
      </c>
      <c r="AL67" s="10">
        <v>2</v>
      </c>
      <c r="AM67" s="10">
        <v>4</v>
      </c>
      <c r="AN67" s="10">
        <v>4</v>
      </c>
    </row>
    <row r="68" spans="1:41" x14ac:dyDescent="0.35">
      <c r="A68" s="12">
        <v>67</v>
      </c>
      <c r="B68" s="10" t="s">
        <v>383</v>
      </c>
      <c r="C68" s="13" t="s">
        <v>128</v>
      </c>
      <c r="D68" s="13" t="s">
        <v>384</v>
      </c>
      <c r="E68" t="s">
        <v>193</v>
      </c>
      <c r="F68" t="s">
        <v>217</v>
      </c>
      <c r="G68" s="10" t="s">
        <v>195</v>
      </c>
      <c r="H68" s="10" t="s">
        <v>196</v>
      </c>
      <c r="I68" s="10" t="s">
        <v>197</v>
      </c>
      <c r="J68" s="10">
        <v>46.88</v>
      </c>
      <c r="K68" s="10">
        <v>52.14</v>
      </c>
      <c r="L68" s="10">
        <v>18.96</v>
      </c>
      <c r="M68" s="10">
        <v>67.2</v>
      </c>
      <c r="N68" s="10">
        <v>69.84</v>
      </c>
      <c r="O68" s="10">
        <v>51.33</v>
      </c>
      <c r="P68" s="10">
        <v>17.21</v>
      </c>
      <c r="Q68" s="10">
        <v>18.52</v>
      </c>
      <c r="R68" s="10">
        <v>12.74</v>
      </c>
      <c r="S68" s="10">
        <v>3.67</v>
      </c>
      <c r="T68" s="10">
        <v>0</v>
      </c>
      <c r="U68" s="10">
        <v>4.99</v>
      </c>
      <c r="V68" s="10">
        <v>8.9600000000000009</v>
      </c>
      <c r="W68" s="10">
        <v>4.5</v>
      </c>
      <c r="X68" s="10">
        <v>0.52</v>
      </c>
      <c r="Y68" s="10">
        <v>60</v>
      </c>
      <c r="Z68" s="10">
        <v>7.2</v>
      </c>
      <c r="AA68" s="10">
        <v>19.239999999999998</v>
      </c>
      <c r="AB68" s="10">
        <v>28.7</v>
      </c>
      <c r="AC68" s="10">
        <v>1.89</v>
      </c>
      <c r="AD68" s="10">
        <v>20</v>
      </c>
      <c r="AE68" s="10">
        <v>51.33</v>
      </c>
      <c r="AF68" s="10">
        <v>10</v>
      </c>
      <c r="AG68" s="10">
        <v>40</v>
      </c>
      <c r="AH68" s="10" t="s">
        <v>502</v>
      </c>
      <c r="AI68" s="10">
        <v>2</v>
      </c>
      <c r="AJ68" s="10">
        <v>2</v>
      </c>
      <c r="AK68" s="10">
        <v>3</v>
      </c>
      <c r="AL68" s="10">
        <v>4</v>
      </c>
      <c r="AM68" s="10">
        <v>5</v>
      </c>
      <c r="AN68" s="10">
        <v>6</v>
      </c>
    </row>
    <row r="69" spans="1:41" x14ac:dyDescent="0.35">
      <c r="A69" s="14">
        <v>68</v>
      </c>
      <c r="B69" s="10" t="s">
        <v>385</v>
      </c>
      <c r="C69" s="13" t="s">
        <v>129</v>
      </c>
      <c r="D69" s="13" t="s">
        <v>386</v>
      </c>
      <c r="E69" t="s">
        <v>193</v>
      </c>
      <c r="F69" t="s">
        <v>217</v>
      </c>
      <c r="G69" s="10" t="s">
        <v>195</v>
      </c>
      <c r="H69" s="10" t="s">
        <v>196</v>
      </c>
      <c r="I69" s="10" t="s">
        <v>197</v>
      </c>
      <c r="J69" s="10">
        <v>46.85</v>
      </c>
      <c r="K69" s="10">
        <v>53.3</v>
      </c>
      <c r="L69" s="10">
        <v>19.34</v>
      </c>
      <c r="M69" s="10">
        <v>75.59</v>
      </c>
      <c r="N69" s="10">
        <v>65.56</v>
      </c>
      <c r="O69" s="10">
        <v>33.76</v>
      </c>
      <c r="P69" s="10">
        <v>17.05</v>
      </c>
      <c r="Q69" s="10">
        <v>20.07</v>
      </c>
      <c r="R69" s="10">
        <v>12.01</v>
      </c>
      <c r="S69" s="10">
        <v>4.17</v>
      </c>
      <c r="T69" s="10">
        <v>0</v>
      </c>
      <c r="U69" s="10">
        <v>4.38</v>
      </c>
      <c r="V69" s="10">
        <v>10.199999999999999</v>
      </c>
      <c r="W69" s="10">
        <v>4</v>
      </c>
      <c r="X69" s="10">
        <v>0.76</v>
      </c>
      <c r="Y69" s="10">
        <v>60</v>
      </c>
      <c r="Z69" s="10">
        <v>15.59</v>
      </c>
      <c r="AA69" s="10">
        <v>16.88</v>
      </c>
      <c r="AB69" s="10">
        <v>27.16</v>
      </c>
      <c r="AC69" s="10">
        <v>1.52</v>
      </c>
      <c r="AD69" s="10">
        <v>20</v>
      </c>
      <c r="AE69" s="10">
        <v>33.76</v>
      </c>
      <c r="AF69" s="10">
        <v>10</v>
      </c>
      <c r="AG69" s="10">
        <v>40</v>
      </c>
      <c r="AH69" s="10" t="s">
        <v>502</v>
      </c>
      <c r="AI69" s="10">
        <v>2</v>
      </c>
      <c r="AJ69" s="10">
        <v>2</v>
      </c>
      <c r="AK69" s="10">
        <v>3</v>
      </c>
      <c r="AL69" s="10">
        <v>4</v>
      </c>
      <c r="AM69" s="10">
        <v>5</v>
      </c>
      <c r="AN69" s="10">
        <v>6</v>
      </c>
    </row>
    <row r="70" spans="1:41" x14ac:dyDescent="0.35">
      <c r="A70" s="12">
        <v>69</v>
      </c>
      <c r="B70" s="10" t="s">
        <v>387</v>
      </c>
      <c r="C70" s="13" t="s">
        <v>130</v>
      </c>
      <c r="D70" s="13" t="s">
        <v>388</v>
      </c>
      <c r="E70" t="s">
        <v>200</v>
      </c>
      <c r="F70" t="s">
        <v>194</v>
      </c>
      <c r="G70" s="10" t="s">
        <v>388</v>
      </c>
      <c r="H70" s="10" t="s">
        <v>219</v>
      </c>
      <c r="I70" s="10" t="s">
        <v>389</v>
      </c>
      <c r="J70" s="10">
        <v>46.7</v>
      </c>
      <c r="K70" s="10">
        <v>56.4</v>
      </c>
      <c r="L70" s="10">
        <v>28.7</v>
      </c>
      <c r="M70" s="10">
        <v>64.989999999999995</v>
      </c>
      <c r="N70" s="10">
        <v>51.52</v>
      </c>
      <c r="O70" s="10">
        <v>30.17</v>
      </c>
      <c r="P70" s="10">
        <v>11.74</v>
      </c>
      <c r="Q70" s="10">
        <v>19.64</v>
      </c>
      <c r="R70" s="10">
        <v>14.88</v>
      </c>
      <c r="S70" s="10">
        <v>8.14</v>
      </c>
      <c r="T70" s="10">
        <v>2</v>
      </c>
      <c r="U70" s="10">
        <v>12.11</v>
      </c>
      <c r="V70" s="10">
        <v>13.32</v>
      </c>
      <c r="W70" s="10">
        <v>2.5</v>
      </c>
      <c r="X70" s="10">
        <v>0.77</v>
      </c>
      <c r="Y70" s="10">
        <v>55.28</v>
      </c>
      <c r="Z70" s="10">
        <v>9.7100000000000009</v>
      </c>
      <c r="AA70" s="10">
        <v>4.21</v>
      </c>
      <c r="AB70" s="10">
        <v>25.86</v>
      </c>
      <c r="AC70" s="10">
        <v>1.45</v>
      </c>
      <c r="AD70" s="10">
        <v>20</v>
      </c>
      <c r="AE70" s="10">
        <v>30.17</v>
      </c>
      <c r="AF70" s="10">
        <v>186</v>
      </c>
      <c r="AI70" s="10">
        <v>0</v>
      </c>
    </row>
    <row r="71" spans="1:41" x14ac:dyDescent="0.35">
      <c r="A71" s="14">
        <v>70</v>
      </c>
      <c r="B71" s="10" t="s">
        <v>390</v>
      </c>
      <c r="C71" s="13" t="s">
        <v>131</v>
      </c>
      <c r="D71" s="13" t="s">
        <v>391</v>
      </c>
      <c r="E71" t="s">
        <v>168</v>
      </c>
      <c r="F71" t="s">
        <v>207</v>
      </c>
      <c r="G71" s="10" t="s">
        <v>392</v>
      </c>
      <c r="H71" s="10" t="s">
        <v>213</v>
      </c>
      <c r="I71" s="10" t="s">
        <v>271</v>
      </c>
      <c r="J71" s="10">
        <v>46.56</v>
      </c>
      <c r="K71" s="10">
        <v>69.14</v>
      </c>
      <c r="L71" s="10">
        <v>16.100000000000001</v>
      </c>
      <c r="M71" s="10">
        <v>61.31</v>
      </c>
      <c r="N71" s="10">
        <v>57.4</v>
      </c>
      <c r="O71" s="10">
        <v>29.94</v>
      </c>
      <c r="P71" s="10">
        <v>10.039999999999999</v>
      </c>
      <c r="Q71" s="10">
        <v>25</v>
      </c>
      <c r="R71" s="10">
        <v>17.670000000000002</v>
      </c>
      <c r="S71" s="10">
        <v>12.92</v>
      </c>
      <c r="T71" s="10">
        <v>3.5</v>
      </c>
      <c r="U71" s="10">
        <v>7.4</v>
      </c>
      <c r="V71" s="10">
        <v>8.64</v>
      </c>
      <c r="W71" s="10">
        <v>0</v>
      </c>
      <c r="X71" s="10">
        <v>0.06</v>
      </c>
      <c r="Y71" s="10">
        <v>47.35</v>
      </c>
      <c r="Z71" s="10">
        <v>13.97</v>
      </c>
      <c r="AA71" s="10">
        <v>0.44</v>
      </c>
      <c r="AB71" s="10">
        <v>30</v>
      </c>
      <c r="AC71" s="10">
        <v>6.96</v>
      </c>
      <c r="AD71" s="10">
        <v>20</v>
      </c>
      <c r="AE71" s="10">
        <v>29.94</v>
      </c>
      <c r="AF71" s="10">
        <v>20</v>
      </c>
      <c r="AG71" s="10">
        <v>10</v>
      </c>
      <c r="AH71" s="10" t="s">
        <v>539</v>
      </c>
      <c r="AI71" s="10">
        <v>2</v>
      </c>
    </row>
    <row r="72" spans="1:41" x14ac:dyDescent="0.35">
      <c r="A72" s="12">
        <v>71</v>
      </c>
      <c r="B72" s="10" t="s">
        <v>393</v>
      </c>
      <c r="C72" s="13" t="s">
        <v>132</v>
      </c>
      <c r="D72" s="13" t="s">
        <v>394</v>
      </c>
      <c r="E72" t="s">
        <v>193</v>
      </c>
      <c r="F72" t="s">
        <v>217</v>
      </c>
      <c r="G72" s="10" t="s">
        <v>395</v>
      </c>
      <c r="H72" s="10" t="s">
        <v>213</v>
      </c>
      <c r="I72" s="10" t="s">
        <v>396</v>
      </c>
      <c r="J72" s="10">
        <v>46.12</v>
      </c>
      <c r="K72" s="10">
        <v>50.62</v>
      </c>
      <c r="L72" s="10">
        <v>30.94</v>
      </c>
      <c r="M72" s="10">
        <v>69.73</v>
      </c>
      <c r="N72" s="10">
        <v>51.46</v>
      </c>
      <c r="O72" s="10">
        <v>25.53</v>
      </c>
      <c r="P72" s="10">
        <v>11.97</v>
      </c>
      <c r="Q72" s="10">
        <v>17.98</v>
      </c>
      <c r="R72" s="10">
        <v>13.4</v>
      </c>
      <c r="S72" s="10">
        <v>7.27</v>
      </c>
      <c r="T72" s="10">
        <v>0</v>
      </c>
      <c r="U72" s="10">
        <v>14.73</v>
      </c>
      <c r="V72" s="10">
        <v>14.74</v>
      </c>
      <c r="W72" s="10">
        <v>1</v>
      </c>
      <c r="X72" s="10">
        <v>0.47</v>
      </c>
      <c r="Y72" s="10">
        <v>49.29</v>
      </c>
      <c r="Z72" s="10">
        <v>20.43</v>
      </c>
      <c r="AA72" s="10">
        <v>11.15</v>
      </c>
      <c r="AB72" s="10">
        <v>19.34</v>
      </c>
      <c r="AC72" s="10">
        <v>0.97</v>
      </c>
      <c r="AD72" s="10">
        <v>20</v>
      </c>
      <c r="AE72" s="10">
        <v>25.53</v>
      </c>
      <c r="AF72" s="10">
        <v>12</v>
      </c>
      <c r="AG72" s="10">
        <v>20</v>
      </c>
      <c r="AH72" s="10" t="s">
        <v>540</v>
      </c>
      <c r="AI72" s="10">
        <v>1</v>
      </c>
    </row>
    <row r="73" spans="1:41" x14ac:dyDescent="0.35">
      <c r="A73" s="14">
        <v>72</v>
      </c>
      <c r="B73" s="10" t="s">
        <v>397</v>
      </c>
      <c r="C73" s="13" t="s">
        <v>133</v>
      </c>
      <c r="D73" s="13" t="s">
        <v>398</v>
      </c>
      <c r="E73" t="s">
        <v>168</v>
      </c>
      <c r="F73" t="s">
        <v>207</v>
      </c>
      <c r="G73" s="10" t="s">
        <v>222</v>
      </c>
      <c r="H73" s="10" t="s">
        <v>213</v>
      </c>
      <c r="I73" s="10" t="s">
        <v>223</v>
      </c>
      <c r="J73" s="10">
        <v>46.02</v>
      </c>
      <c r="K73" s="10">
        <v>71.27</v>
      </c>
      <c r="L73" s="10">
        <v>14.78</v>
      </c>
      <c r="M73" s="10">
        <v>69.8</v>
      </c>
      <c r="N73" s="10">
        <v>55.16</v>
      </c>
      <c r="O73" s="10">
        <v>7.31</v>
      </c>
      <c r="P73" s="10">
        <v>13.29</v>
      </c>
      <c r="Q73" s="10">
        <v>25</v>
      </c>
      <c r="R73" s="10">
        <v>18.149999999999999</v>
      </c>
      <c r="S73" s="10">
        <v>13.32</v>
      </c>
      <c r="T73" s="10">
        <v>1.5</v>
      </c>
      <c r="U73" s="10">
        <v>5.0199999999999996</v>
      </c>
      <c r="V73" s="10">
        <v>6.39</v>
      </c>
      <c r="W73" s="10">
        <v>1</v>
      </c>
      <c r="X73" s="10">
        <v>2.37</v>
      </c>
      <c r="Y73" s="10">
        <v>51.46</v>
      </c>
      <c r="Z73" s="10">
        <v>18.350000000000001</v>
      </c>
      <c r="AA73" s="10">
        <v>2.15</v>
      </c>
      <c r="AB73" s="10">
        <v>30</v>
      </c>
      <c r="AC73" s="10">
        <v>3.02</v>
      </c>
      <c r="AD73" s="10">
        <v>20</v>
      </c>
      <c r="AE73" s="10">
        <v>7.31</v>
      </c>
      <c r="AF73" s="10">
        <v>5</v>
      </c>
      <c r="AG73" s="10">
        <v>16</v>
      </c>
      <c r="AH73" s="10" t="s">
        <v>507</v>
      </c>
      <c r="AI73" s="10">
        <v>2</v>
      </c>
    </row>
    <row r="74" spans="1:41" x14ac:dyDescent="0.35">
      <c r="A74" s="12">
        <v>73</v>
      </c>
      <c r="B74" s="10" t="s">
        <v>399</v>
      </c>
      <c r="C74" s="13" t="s">
        <v>134</v>
      </c>
      <c r="D74" s="13" t="s">
        <v>400</v>
      </c>
      <c r="E74" t="s">
        <v>281</v>
      </c>
      <c r="F74" t="s">
        <v>217</v>
      </c>
      <c r="G74" s="10" t="s">
        <v>401</v>
      </c>
      <c r="H74" s="10" t="s">
        <v>219</v>
      </c>
      <c r="I74" s="10" t="s">
        <v>402</v>
      </c>
      <c r="J74" s="10">
        <v>45.76</v>
      </c>
      <c r="K74" s="10">
        <v>46</v>
      </c>
      <c r="L74" s="10">
        <v>34.090000000000003</v>
      </c>
      <c r="M74" s="10">
        <v>68.98</v>
      </c>
      <c r="N74" s="10">
        <v>65.08</v>
      </c>
      <c r="O74" s="10">
        <v>14.21</v>
      </c>
      <c r="P74" s="10">
        <v>11.8</v>
      </c>
      <c r="Q74" s="10">
        <v>19.28</v>
      </c>
      <c r="R74" s="10">
        <v>11.87</v>
      </c>
      <c r="S74" s="10">
        <v>3.06</v>
      </c>
      <c r="T74" s="10">
        <v>0</v>
      </c>
      <c r="U74" s="10">
        <v>11.65</v>
      </c>
      <c r="V74" s="10">
        <v>17.84</v>
      </c>
      <c r="W74" s="10">
        <v>4.5</v>
      </c>
      <c r="X74" s="10">
        <v>0.09</v>
      </c>
      <c r="Y74" s="10">
        <v>60</v>
      </c>
      <c r="Z74" s="10">
        <v>8.98</v>
      </c>
      <c r="AA74" s="10">
        <v>15.08</v>
      </c>
      <c r="AB74" s="10">
        <v>29.45</v>
      </c>
      <c r="AC74" s="10">
        <v>0.55000000000000004</v>
      </c>
      <c r="AD74" s="10">
        <v>20</v>
      </c>
      <c r="AE74" s="10">
        <v>14.21</v>
      </c>
      <c r="AF74" s="10">
        <v>63</v>
      </c>
      <c r="AG74" s="10">
        <v>78</v>
      </c>
      <c r="AH74" s="10" t="s">
        <v>510</v>
      </c>
      <c r="AI74" s="10">
        <v>4</v>
      </c>
    </row>
    <row r="75" spans="1:41" x14ac:dyDescent="0.35">
      <c r="A75" s="14">
        <v>74</v>
      </c>
      <c r="B75" s="10" t="s">
        <v>403</v>
      </c>
      <c r="C75" s="13" t="s">
        <v>135</v>
      </c>
      <c r="D75" s="13" t="s">
        <v>338</v>
      </c>
      <c r="E75" s="15" t="s">
        <v>168</v>
      </c>
      <c r="F75" t="s">
        <v>207</v>
      </c>
      <c r="G75" s="10" t="s">
        <v>201</v>
      </c>
      <c r="H75" s="10" t="s">
        <v>196</v>
      </c>
      <c r="I75" s="10" t="s">
        <v>202</v>
      </c>
      <c r="J75" s="10">
        <v>45.45</v>
      </c>
      <c r="K75" s="10">
        <v>48.65</v>
      </c>
      <c r="L75" s="10">
        <v>26.36</v>
      </c>
      <c r="M75" s="10">
        <v>66.84</v>
      </c>
      <c r="N75" s="10">
        <v>51.12</v>
      </c>
      <c r="O75" s="10">
        <v>44.58</v>
      </c>
      <c r="P75" s="10">
        <v>9.9600000000000009</v>
      </c>
      <c r="Q75" s="10">
        <v>15.91</v>
      </c>
      <c r="R75" s="10">
        <v>11.24</v>
      </c>
      <c r="S75" s="10">
        <v>10.039999999999999</v>
      </c>
      <c r="T75" s="10">
        <v>1.5</v>
      </c>
      <c r="U75" s="10">
        <v>12.62</v>
      </c>
      <c r="V75" s="10">
        <v>13.21</v>
      </c>
      <c r="W75" s="10">
        <v>0</v>
      </c>
      <c r="X75" s="10">
        <v>0.54</v>
      </c>
      <c r="Y75" s="10">
        <v>58.06</v>
      </c>
      <c r="Z75" s="10">
        <v>8.7899999999999991</v>
      </c>
      <c r="AA75" s="10">
        <v>4.9800000000000004</v>
      </c>
      <c r="AB75" s="10">
        <v>25.45</v>
      </c>
      <c r="AC75" s="10">
        <v>0.69</v>
      </c>
      <c r="AD75" s="10">
        <v>20</v>
      </c>
      <c r="AE75" s="10">
        <v>44.58</v>
      </c>
      <c r="AF75" s="10">
        <v>27</v>
      </c>
      <c r="AI75" s="10">
        <v>2</v>
      </c>
    </row>
    <row r="76" spans="1:41" x14ac:dyDescent="0.35">
      <c r="A76" s="12">
        <v>75</v>
      </c>
      <c r="B76" s="10" t="s">
        <v>404</v>
      </c>
      <c r="C76" s="13" t="s">
        <v>136</v>
      </c>
      <c r="D76" s="13" t="s">
        <v>405</v>
      </c>
      <c r="E76" t="s">
        <v>193</v>
      </c>
      <c r="F76" t="s">
        <v>217</v>
      </c>
      <c r="G76" s="10" t="s">
        <v>406</v>
      </c>
      <c r="H76" s="10" t="s">
        <v>213</v>
      </c>
      <c r="I76" s="10" t="s">
        <v>286</v>
      </c>
      <c r="J76" s="10">
        <v>45.4</v>
      </c>
      <c r="K76" s="10">
        <v>54.66</v>
      </c>
      <c r="L76" s="10">
        <v>25.37</v>
      </c>
      <c r="M76" s="10">
        <v>59.83</v>
      </c>
      <c r="N76" s="10">
        <v>62</v>
      </c>
      <c r="O76" s="10">
        <v>32.19</v>
      </c>
      <c r="P76" s="10">
        <v>11.76</v>
      </c>
      <c r="Q76" s="10">
        <v>25</v>
      </c>
      <c r="R76" s="10">
        <v>15.06</v>
      </c>
      <c r="S76" s="10">
        <v>2.83</v>
      </c>
      <c r="T76" s="10">
        <v>0</v>
      </c>
      <c r="U76" s="10">
        <v>8.84</v>
      </c>
      <c r="V76" s="10">
        <v>10.09</v>
      </c>
      <c r="W76" s="10">
        <v>6</v>
      </c>
      <c r="X76" s="10">
        <v>0.43</v>
      </c>
      <c r="Y76" s="10">
        <v>56.49</v>
      </c>
      <c r="Z76" s="10">
        <v>3.34</v>
      </c>
      <c r="AA76" s="10">
        <v>9.58</v>
      </c>
      <c r="AB76" s="10">
        <v>26.44</v>
      </c>
      <c r="AC76" s="10">
        <v>5.98</v>
      </c>
      <c r="AD76" s="10">
        <v>20</v>
      </c>
      <c r="AE76" s="10">
        <v>32.19</v>
      </c>
      <c r="AF76" s="10">
        <v>18</v>
      </c>
      <c r="AI76" s="10">
        <v>1</v>
      </c>
    </row>
    <row r="77" spans="1:41" x14ac:dyDescent="0.35">
      <c r="A77" s="14">
        <v>76</v>
      </c>
      <c r="B77" s="10" t="s">
        <v>407</v>
      </c>
      <c r="C77" s="13" t="s">
        <v>137</v>
      </c>
      <c r="D77" s="13" t="s">
        <v>408</v>
      </c>
      <c r="E77" t="s">
        <v>200</v>
      </c>
      <c r="F77" t="s">
        <v>194</v>
      </c>
      <c r="G77" s="10" t="s">
        <v>409</v>
      </c>
      <c r="H77" s="10" t="s">
        <v>219</v>
      </c>
      <c r="I77" s="10" t="s">
        <v>408</v>
      </c>
      <c r="J77" s="10">
        <v>45.18</v>
      </c>
      <c r="K77" s="10">
        <v>58.3</v>
      </c>
      <c r="L77" s="10">
        <v>18.54</v>
      </c>
      <c r="M77" s="10">
        <v>73.44</v>
      </c>
      <c r="N77" s="10">
        <v>54.16</v>
      </c>
      <c r="O77" s="10">
        <v>20.21</v>
      </c>
      <c r="P77" s="10">
        <v>10.69</v>
      </c>
      <c r="Q77" s="10">
        <v>22.93</v>
      </c>
      <c r="R77" s="10">
        <v>16.86</v>
      </c>
      <c r="S77" s="10">
        <v>7.82</v>
      </c>
      <c r="T77" s="10">
        <v>0</v>
      </c>
      <c r="U77" s="10">
        <v>7.74</v>
      </c>
      <c r="V77" s="10">
        <v>10.08</v>
      </c>
      <c r="W77" s="10">
        <v>0</v>
      </c>
      <c r="X77" s="10">
        <v>0.72</v>
      </c>
      <c r="Y77" s="10">
        <v>60</v>
      </c>
      <c r="Z77" s="10">
        <v>13.44</v>
      </c>
      <c r="AA77" s="10">
        <v>5.01</v>
      </c>
      <c r="AB77" s="10">
        <v>28.84</v>
      </c>
      <c r="AC77" s="10">
        <v>0.31</v>
      </c>
      <c r="AD77" s="10">
        <v>20</v>
      </c>
      <c r="AE77" s="10">
        <v>20.21</v>
      </c>
      <c r="AF77" s="10">
        <v>120</v>
      </c>
      <c r="AI77" s="10">
        <v>3</v>
      </c>
    </row>
    <row r="78" spans="1:41" x14ac:dyDescent="0.35">
      <c r="A78" s="12">
        <v>77</v>
      </c>
      <c r="B78" s="10" t="s">
        <v>410</v>
      </c>
      <c r="C78" s="13" t="s">
        <v>138</v>
      </c>
      <c r="D78" s="13" t="s">
        <v>411</v>
      </c>
      <c r="E78" t="s">
        <v>193</v>
      </c>
      <c r="F78" t="s">
        <v>217</v>
      </c>
      <c r="G78" s="10" t="s">
        <v>412</v>
      </c>
      <c r="H78" s="10" t="s">
        <v>213</v>
      </c>
      <c r="I78" s="10" t="s">
        <v>413</v>
      </c>
      <c r="J78" s="10">
        <v>45.14</v>
      </c>
      <c r="K78" s="10">
        <v>64.25</v>
      </c>
      <c r="L78" s="10">
        <v>9.49</v>
      </c>
      <c r="M78" s="10">
        <v>60.4</v>
      </c>
      <c r="N78" s="10">
        <v>78.77</v>
      </c>
      <c r="O78" s="10">
        <v>30.57</v>
      </c>
      <c r="P78" s="10">
        <v>10.01</v>
      </c>
      <c r="Q78" s="10">
        <v>25</v>
      </c>
      <c r="R78" s="10">
        <v>16.86</v>
      </c>
      <c r="S78" s="10">
        <v>12.37</v>
      </c>
      <c r="T78" s="10">
        <v>0</v>
      </c>
      <c r="U78" s="10">
        <v>3.62</v>
      </c>
      <c r="V78" s="10">
        <v>3.02</v>
      </c>
      <c r="W78" s="10">
        <v>1.5</v>
      </c>
      <c r="X78" s="10">
        <v>1.35</v>
      </c>
      <c r="Y78" s="10">
        <v>60</v>
      </c>
      <c r="Z78" s="10">
        <v>0.4</v>
      </c>
      <c r="AA78" s="10">
        <v>21.36</v>
      </c>
      <c r="AB78" s="10">
        <v>30</v>
      </c>
      <c r="AC78" s="10">
        <v>7.42</v>
      </c>
      <c r="AD78" s="10">
        <v>20</v>
      </c>
      <c r="AE78" s="10">
        <v>30.57</v>
      </c>
      <c r="AF78" s="10">
        <v>167</v>
      </c>
      <c r="AG78" s="10">
        <v>161</v>
      </c>
      <c r="AH78" s="10" t="s">
        <v>508</v>
      </c>
      <c r="AI78" s="10">
        <v>1</v>
      </c>
      <c r="AJ78" s="10">
        <v>2</v>
      </c>
      <c r="AK78" s="10">
        <v>3</v>
      </c>
      <c r="AL78" s="10">
        <v>4</v>
      </c>
      <c r="AM78" s="10">
        <v>5</v>
      </c>
      <c r="AN78" s="10">
        <v>5</v>
      </c>
      <c r="AO78" s="10" t="s">
        <v>561</v>
      </c>
    </row>
    <row r="79" spans="1:41" x14ac:dyDescent="0.35">
      <c r="A79" s="14">
        <v>78</v>
      </c>
      <c r="B79" s="10" t="s">
        <v>414</v>
      </c>
      <c r="C79" s="13" t="s">
        <v>139</v>
      </c>
      <c r="D79" s="13" t="s">
        <v>415</v>
      </c>
      <c r="E79" t="s">
        <v>281</v>
      </c>
      <c r="F79" t="s">
        <v>217</v>
      </c>
      <c r="G79" s="10" t="s">
        <v>416</v>
      </c>
      <c r="H79" s="10" t="s">
        <v>219</v>
      </c>
      <c r="I79" s="10" t="s">
        <v>417</v>
      </c>
      <c r="J79" s="10">
        <v>45.09</v>
      </c>
      <c r="K79" s="10">
        <v>57.3</v>
      </c>
      <c r="L79" s="10">
        <v>24.43</v>
      </c>
      <c r="M79" s="10">
        <v>55.4</v>
      </c>
      <c r="N79" s="10">
        <v>60.56</v>
      </c>
      <c r="O79" s="10">
        <v>34.26</v>
      </c>
      <c r="P79" s="10">
        <v>12.64</v>
      </c>
      <c r="Q79" s="10">
        <v>23.34</v>
      </c>
      <c r="R79" s="10">
        <v>14.08</v>
      </c>
      <c r="S79" s="10">
        <v>7.25</v>
      </c>
      <c r="T79" s="10">
        <v>0</v>
      </c>
      <c r="U79" s="10">
        <v>7.24</v>
      </c>
      <c r="V79" s="10">
        <v>10.95</v>
      </c>
      <c r="W79" s="10">
        <v>6</v>
      </c>
      <c r="X79" s="10">
        <v>0.24</v>
      </c>
      <c r="Y79" s="10">
        <v>52.73</v>
      </c>
      <c r="Z79" s="10">
        <v>2.67</v>
      </c>
      <c r="AA79" s="10">
        <v>13.85</v>
      </c>
      <c r="AB79" s="10">
        <v>25.54</v>
      </c>
      <c r="AC79" s="10">
        <v>1017</v>
      </c>
      <c r="AD79" s="10">
        <v>20</v>
      </c>
      <c r="AE79" s="10">
        <v>34.26</v>
      </c>
      <c r="AF79" s="10">
        <v>15</v>
      </c>
      <c r="AG79" s="10">
        <v>38</v>
      </c>
      <c r="AH79" s="10" t="s">
        <v>551</v>
      </c>
      <c r="AI79" s="10">
        <v>2</v>
      </c>
    </row>
    <row r="80" spans="1:41" x14ac:dyDescent="0.35">
      <c r="A80" s="12">
        <v>79</v>
      </c>
      <c r="B80" s="10" t="s">
        <v>418</v>
      </c>
      <c r="C80" s="13" t="s">
        <v>140</v>
      </c>
      <c r="D80" s="13" t="s">
        <v>419</v>
      </c>
      <c r="E80" t="s">
        <v>168</v>
      </c>
      <c r="F80" t="s">
        <v>207</v>
      </c>
      <c r="G80" s="10" t="s">
        <v>420</v>
      </c>
      <c r="H80" s="10" t="s">
        <v>219</v>
      </c>
      <c r="I80" s="10" t="s">
        <v>348</v>
      </c>
      <c r="J80" s="10">
        <v>45.02</v>
      </c>
      <c r="K80" s="10">
        <v>63.35</v>
      </c>
      <c r="L80" s="10">
        <v>23.11</v>
      </c>
      <c r="M80" s="10">
        <v>67.55</v>
      </c>
      <c r="N80" s="10">
        <v>51.97</v>
      </c>
      <c r="O80" s="10">
        <v>3.76</v>
      </c>
      <c r="P80" s="10">
        <v>10.58</v>
      </c>
      <c r="Q80" s="10">
        <v>25</v>
      </c>
      <c r="R80" s="10">
        <v>16.010000000000002</v>
      </c>
      <c r="S80" s="10">
        <v>11.76</v>
      </c>
      <c r="T80" s="10">
        <v>0</v>
      </c>
      <c r="U80" s="10">
        <v>7.37</v>
      </c>
      <c r="V80" s="10">
        <v>11.07</v>
      </c>
      <c r="W80" s="10">
        <v>2</v>
      </c>
      <c r="X80" s="10">
        <v>2.67</v>
      </c>
      <c r="Y80" s="10">
        <v>52.44</v>
      </c>
      <c r="Z80" s="10">
        <v>15.11</v>
      </c>
      <c r="AA80" s="10">
        <v>4.33</v>
      </c>
      <c r="AB80" s="10">
        <v>26.15</v>
      </c>
      <c r="AC80" s="10">
        <v>1.49</v>
      </c>
      <c r="AD80" s="10">
        <v>20</v>
      </c>
      <c r="AE80" s="10">
        <v>3.76</v>
      </c>
      <c r="AF80" s="10">
        <v>85</v>
      </c>
      <c r="AG80" s="10">
        <v>76</v>
      </c>
      <c r="AH80" s="10" t="s">
        <v>550</v>
      </c>
      <c r="AI80" s="10">
        <v>1</v>
      </c>
    </row>
    <row r="81" spans="1:40" x14ac:dyDescent="0.35">
      <c r="A81" s="14">
        <v>80</v>
      </c>
      <c r="B81" s="10" t="s">
        <v>421</v>
      </c>
      <c r="C81" s="13" t="s">
        <v>141</v>
      </c>
      <c r="D81" s="13" t="s">
        <v>422</v>
      </c>
      <c r="E81" t="s">
        <v>200</v>
      </c>
      <c r="F81" t="s">
        <v>194</v>
      </c>
      <c r="G81" s="10" t="s">
        <v>423</v>
      </c>
      <c r="H81" s="10" t="s">
        <v>219</v>
      </c>
      <c r="I81" s="10" t="s">
        <v>424</v>
      </c>
      <c r="J81" s="10">
        <v>44.95</v>
      </c>
      <c r="K81" s="10">
        <v>55.04</v>
      </c>
      <c r="L81" s="10">
        <v>19.989999999999998</v>
      </c>
      <c r="M81" s="10">
        <v>75.180000000000007</v>
      </c>
      <c r="N81" s="10">
        <v>51.67</v>
      </c>
      <c r="O81" s="10">
        <v>22.26</v>
      </c>
      <c r="P81" s="10">
        <v>11.63</v>
      </c>
      <c r="Q81" s="10">
        <v>19.61</v>
      </c>
      <c r="R81" s="10">
        <v>14.01</v>
      </c>
      <c r="S81" s="10">
        <v>9.7899999999999991</v>
      </c>
      <c r="T81" s="10">
        <v>0</v>
      </c>
      <c r="U81" s="10">
        <v>8.4700000000000006</v>
      </c>
      <c r="V81" s="10">
        <v>9.5399999999999991</v>
      </c>
      <c r="W81" s="10">
        <v>1.5</v>
      </c>
      <c r="X81" s="10">
        <v>0.49</v>
      </c>
      <c r="Y81" s="10">
        <v>56.78</v>
      </c>
      <c r="Z81" s="10">
        <v>18.399999999999999</v>
      </c>
      <c r="AA81" s="10">
        <v>3.61</v>
      </c>
      <c r="AB81" s="10">
        <v>30</v>
      </c>
      <c r="AC81" s="10">
        <v>3.06</v>
      </c>
      <c r="AD81" s="10">
        <v>15</v>
      </c>
      <c r="AE81" s="10">
        <v>22.26</v>
      </c>
      <c r="AF81" s="10">
        <v>10</v>
      </c>
      <c r="AG81" s="10">
        <v>30</v>
      </c>
      <c r="AH81" s="10" t="s">
        <v>549</v>
      </c>
      <c r="AI81" s="10">
        <v>1</v>
      </c>
    </row>
    <row r="82" spans="1:40" x14ac:dyDescent="0.35">
      <c r="A82" s="12">
        <v>81</v>
      </c>
      <c r="B82" s="10" t="s">
        <v>425</v>
      </c>
      <c r="C82" s="13" t="s">
        <v>142</v>
      </c>
      <c r="D82" s="13" t="s">
        <v>426</v>
      </c>
      <c r="E82" t="s">
        <v>193</v>
      </c>
      <c r="F82" t="s">
        <v>217</v>
      </c>
      <c r="G82" s="10" t="s">
        <v>222</v>
      </c>
      <c r="H82" s="10" t="s">
        <v>213</v>
      </c>
      <c r="I82" s="10" t="s">
        <v>223</v>
      </c>
      <c r="J82" s="10">
        <v>44.92</v>
      </c>
      <c r="K82" s="10">
        <v>67.42</v>
      </c>
      <c r="L82" s="10">
        <v>5.6</v>
      </c>
      <c r="M82" s="10">
        <v>66.72</v>
      </c>
      <c r="N82" s="10">
        <v>62.43</v>
      </c>
      <c r="O82" s="10">
        <v>34.26</v>
      </c>
      <c r="P82" s="10">
        <v>13.75</v>
      </c>
      <c r="Q82" s="10">
        <v>24.84</v>
      </c>
      <c r="R82" s="10">
        <v>16.7</v>
      </c>
      <c r="S82" s="10">
        <v>5.14</v>
      </c>
      <c r="T82" s="10">
        <v>7</v>
      </c>
      <c r="U82" s="10">
        <v>0.99</v>
      </c>
      <c r="V82" s="10">
        <v>2.77</v>
      </c>
      <c r="W82" s="10">
        <v>1.5</v>
      </c>
      <c r="X82" s="10">
        <v>0.34</v>
      </c>
      <c r="Y82" s="10">
        <v>60</v>
      </c>
      <c r="Z82" s="10">
        <v>6.72</v>
      </c>
      <c r="AA82" s="10">
        <v>6.04</v>
      </c>
      <c r="AB82" s="10">
        <v>30</v>
      </c>
      <c r="AC82" s="10">
        <v>6.39</v>
      </c>
      <c r="AD82" s="10">
        <v>20</v>
      </c>
      <c r="AE82" s="10">
        <v>34.26</v>
      </c>
      <c r="AF82" s="10">
        <v>3</v>
      </c>
      <c r="AG82" s="10">
        <v>12</v>
      </c>
      <c r="AH82" s="10" t="s">
        <v>507</v>
      </c>
      <c r="AI82" s="10">
        <v>2</v>
      </c>
    </row>
    <row r="83" spans="1:40" x14ac:dyDescent="0.35">
      <c r="A83" s="14">
        <v>82</v>
      </c>
      <c r="B83" s="10" t="s">
        <v>427</v>
      </c>
      <c r="C83" s="13" t="s">
        <v>143</v>
      </c>
      <c r="D83" s="13" t="s">
        <v>428</v>
      </c>
      <c r="E83" t="s">
        <v>193</v>
      </c>
      <c r="F83" t="s">
        <v>217</v>
      </c>
      <c r="G83" s="10" t="s">
        <v>429</v>
      </c>
      <c r="H83" s="10" t="s">
        <v>219</v>
      </c>
      <c r="I83" s="10" t="s">
        <v>223</v>
      </c>
      <c r="J83" s="10">
        <v>44.88</v>
      </c>
      <c r="K83" s="10">
        <v>65.790000000000006</v>
      </c>
      <c r="L83" s="10">
        <v>10.72</v>
      </c>
      <c r="M83" s="10">
        <v>61.97</v>
      </c>
      <c r="N83" s="10">
        <v>64.22</v>
      </c>
      <c r="O83" s="10">
        <v>31.12</v>
      </c>
      <c r="P83" s="10">
        <v>8.2100000000000009</v>
      </c>
      <c r="Q83" s="10">
        <v>25</v>
      </c>
      <c r="R83" s="10">
        <v>18.809999999999999</v>
      </c>
      <c r="S83" s="10">
        <v>13.77</v>
      </c>
      <c r="T83" s="10">
        <v>0</v>
      </c>
      <c r="U83" s="10">
        <v>3.82</v>
      </c>
      <c r="V83" s="10">
        <v>4.57</v>
      </c>
      <c r="W83" s="10">
        <v>1.5</v>
      </c>
      <c r="X83" s="10">
        <v>0.83</v>
      </c>
      <c r="Y83" s="10">
        <v>60</v>
      </c>
      <c r="Z83" s="10">
        <v>1.97</v>
      </c>
      <c r="AA83" s="10">
        <v>12.38</v>
      </c>
      <c r="AB83" s="10">
        <v>30</v>
      </c>
      <c r="AC83" s="10">
        <v>1.84</v>
      </c>
      <c r="AD83" s="10">
        <v>20</v>
      </c>
      <c r="AE83" s="10">
        <v>31.12</v>
      </c>
      <c r="AF83" s="10">
        <v>40</v>
      </c>
      <c r="AG83" s="10">
        <v>37</v>
      </c>
      <c r="AH83" s="10" t="s">
        <v>508</v>
      </c>
      <c r="AI83" s="10">
        <v>1</v>
      </c>
    </row>
    <row r="84" spans="1:40" x14ac:dyDescent="0.35">
      <c r="A84" s="12">
        <v>83</v>
      </c>
      <c r="B84" s="10" t="s">
        <v>430</v>
      </c>
      <c r="C84" s="13" t="s">
        <v>144</v>
      </c>
      <c r="D84" s="13" t="s">
        <v>431</v>
      </c>
      <c r="E84" t="s">
        <v>168</v>
      </c>
      <c r="F84" t="s">
        <v>207</v>
      </c>
      <c r="G84" s="10" t="s">
        <v>432</v>
      </c>
      <c r="H84" s="10" t="s">
        <v>213</v>
      </c>
      <c r="I84" s="10" t="s">
        <v>223</v>
      </c>
      <c r="J84" s="10">
        <v>44.85</v>
      </c>
      <c r="K84" s="10">
        <v>58.77</v>
      </c>
      <c r="L84" s="10">
        <v>22.1</v>
      </c>
      <c r="M84" s="10">
        <v>67.48</v>
      </c>
      <c r="N84" s="10">
        <v>50.36</v>
      </c>
      <c r="O84" s="10">
        <v>20.47</v>
      </c>
      <c r="P84" s="10">
        <v>8.9499999999999993</v>
      </c>
      <c r="Q84" s="10">
        <v>25</v>
      </c>
      <c r="R84" s="10">
        <v>16.04</v>
      </c>
      <c r="S84" s="10">
        <v>8.7799999999999994</v>
      </c>
      <c r="T84" s="10">
        <v>0</v>
      </c>
      <c r="U84" s="10">
        <v>9.48</v>
      </c>
      <c r="V84" s="10">
        <v>12.02</v>
      </c>
      <c r="W84" s="10">
        <v>0.5</v>
      </c>
      <c r="X84" s="10">
        <v>0.1</v>
      </c>
      <c r="Y84" s="10">
        <v>58.55</v>
      </c>
      <c r="Z84" s="10">
        <v>8.93</v>
      </c>
      <c r="AA84" s="10">
        <v>0.36</v>
      </c>
      <c r="AB84" s="10">
        <v>30</v>
      </c>
      <c r="AC84" s="10">
        <v>0</v>
      </c>
      <c r="AD84" s="10">
        <v>20</v>
      </c>
      <c r="AE84" s="10">
        <v>20.47</v>
      </c>
      <c r="AF84" s="10">
        <v>21</v>
      </c>
      <c r="AG84" s="10">
        <v>167</v>
      </c>
      <c r="AH84" s="10" t="s">
        <v>548</v>
      </c>
      <c r="AI84" s="10">
        <v>1</v>
      </c>
    </row>
    <row r="85" spans="1:40" x14ac:dyDescent="0.35">
      <c r="A85" s="14">
        <v>84</v>
      </c>
      <c r="B85" s="10" t="s">
        <v>433</v>
      </c>
      <c r="C85" s="13" t="s">
        <v>145</v>
      </c>
      <c r="D85" s="13" t="s">
        <v>434</v>
      </c>
      <c r="E85" t="s">
        <v>193</v>
      </c>
      <c r="F85" t="s">
        <v>207</v>
      </c>
      <c r="G85" s="10" t="s">
        <v>232</v>
      </c>
      <c r="H85" s="10" t="s">
        <v>196</v>
      </c>
      <c r="I85" s="10" t="s">
        <v>233</v>
      </c>
      <c r="J85" s="10">
        <v>44.52</v>
      </c>
      <c r="K85" s="10">
        <v>52.26</v>
      </c>
      <c r="L85" s="10">
        <v>31.85</v>
      </c>
      <c r="M85" s="10">
        <v>50.69</v>
      </c>
      <c r="N85" s="10">
        <v>60.77</v>
      </c>
      <c r="O85" s="10">
        <v>30.6</v>
      </c>
      <c r="P85" s="10">
        <v>7</v>
      </c>
      <c r="Q85" s="10">
        <v>17.899999999999999</v>
      </c>
      <c r="R85" s="10">
        <v>14.62</v>
      </c>
      <c r="S85" s="10">
        <v>9.24</v>
      </c>
      <c r="T85" s="10">
        <v>3.5</v>
      </c>
      <c r="U85" s="10">
        <v>14.87</v>
      </c>
      <c r="V85" s="10">
        <v>14.27</v>
      </c>
      <c r="W85" s="10">
        <v>1.5</v>
      </c>
      <c r="X85" s="10">
        <v>1.21</v>
      </c>
      <c r="Y85" s="10">
        <v>48.09</v>
      </c>
      <c r="Z85" s="10">
        <v>2.6</v>
      </c>
      <c r="AA85" s="10">
        <v>23.71</v>
      </c>
      <c r="AB85" s="10">
        <v>16.64</v>
      </c>
      <c r="AC85" s="10">
        <v>0.43</v>
      </c>
      <c r="AD85" s="10">
        <v>20</v>
      </c>
      <c r="AE85" s="10">
        <v>30.6</v>
      </c>
      <c r="AF85" s="10">
        <v>20</v>
      </c>
      <c r="AG85" s="10">
        <v>31</v>
      </c>
      <c r="AH85" s="10" t="s">
        <v>506</v>
      </c>
      <c r="AI85" s="10">
        <v>1</v>
      </c>
      <c r="AJ85" s="10">
        <v>3</v>
      </c>
      <c r="AK85" s="10">
        <v>4</v>
      </c>
      <c r="AL85" s="10">
        <v>5</v>
      </c>
      <c r="AM85" s="10">
        <v>8</v>
      </c>
      <c r="AN85" s="10">
        <v>8</v>
      </c>
    </row>
    <row r="86" spans="1:40" x14ac:dyDescent="0.35">
      <c r="A86" s="12">
        <v>85</v>
      </c>
      <c r="B86" s="10" t="s">
        <v>435</v>
      </c>
      <c r="C86" s="13" t="s">
        <v>146</v>
      </c>
      <c r="D86" s="13" t="s">
        <v>436</v>
      </c>
      <c r="E86" t="s">
        <v>193</v>
      </c>
      <c r="F86" t="s">
        <v>217</v>
      </c>
      <c r="G86" s="10" t="s">
        <v>380</v>
      </c>
      <c r="H86" s="10" t="s">
        <v>213</v>
      </c>
      <c r="I86" s="10" t="s">
        <v>197</v>
      </c>
      <c r="J86" s="10">
        <v>44.2</v>
      </c>
      <c r="K86" s="10">
        <v>64.19</v>
      </c>
      <c r="L86" s="10">
        <v>14.15</v>
      </c>
      <c r="M86" s="10">
        <v>54.41</v>
      </c>
      <c r="N86" s="10">
        <v>71.36</v>
      </c>
      <c r="O86" s="10">
        <v>26.73</v>
      </c>
      <c r="P86" s="10">
        <v>12.67</v>
      </c>
      <c r="Q86" s="10">
        <v>25</v>
      </c>
      <c r="R86" s="10">
        <v>15.57</v>
      </c>
      <c r="S86" s="10">
        <v>1095</v>
      </c>
      <c r="T86" s="10">
        <v>0</v>
      </c>
      <c r="U86" s="10">
        <v>4.49</v>
      </c>
      <c r="V86" s="10">
        <v>7.39</v>
      </c>
      <c r="W86" s="10">
        <v>1.5</v>
      </c>
      <c r="X86" s="10">
        <v>0.78</v>
      </c>
      <c r="Y86" s="10">
        <v>52.95</v>
      </c>
      <c r="Z86" s="10">
        <v>1.46</v>
      </c>
      <c r="AA86" s="10">
        <v>20.8</v>
      </c>
      <c r="AB86" s="10">
        <v>30</v>
      </c>
      <c r="AC86" s="10">
        <v>0.56000000000000005</v>
      </c>
      <c r="AD86" s="10">
        <v>20</v>
      </c>
      <c r="AE86" s="10">
        <v>26.73</v>
      </c>
      <c r="AF86" s="10">
        <v>13</v>
      </c>
      <c r="AG86" s="10">
        <v>22</v>
      </c>
      <c r="AH86" s="10" t="s">
        <v>547</v>
      </c>
      <c r="AI86" s="10">
        <v>1</v>
      </c>
      <c r="AJ86" s="10">
        <v>1</v>
      </c>
      <c r="AK86" s="10">
        <v>3</v>
      </c>
      <c r="AL86" s="10">
        <v>5</v>
      </c>
      <c r="AM86" s="10">
        <v>6</v>
      </c>
      <c r="AN86" s="10">
        <v>6</v>
      </c>
    </row>
    <row r="87" spans="1:40" x14ac:dyDescent="0.35">
      <c r="A87" s="14">
        <v>86</v>
      </c>
      <c r="B87" s="10" t="s">
        <v>437</v>
      </c>
      <c r="C87" s="13" t="s">
        <v>147</v>
      </c>
      <c r="D87" s="13" t="s">
        <v>438</v>
      </c>
      <c r="E87" t="s">
        <v>168</v>
      </c>
      <c r="F87" t="s">
        <v>207</v>
      </c>
      <c r="G87" s="10" t="s">
        <v>439</v>
      </c>
      <c r="H87" s="10" t="s">
        <v>219</v>
      </c>
      <c r="I87" s="10" t="s">
        <v>209</v>
      </c>
      <c r="J87" s="10">
        <v>44.16</v>
      </c>
      <c r="K87" s="10">
        <v>47.89</v>
      </c>
      <c r="L87" s="10">
        <v>23.91</v>
      </c>
      <c r="M87" s="10">
        <v>77.900000000000006</v>
      </c>
      <c r="N87" s="10">
        <v>49.06</v>
      </c>
      <c r="O87" s="10">
        <v>21.25</v>
      </c>
      <c r="P87" s="10">
        <v>14.15</v>
      </c>
      <c r="Q87" s="10">
        <v>13.41</v>
      </c>
      <c r="R87" s="10">
        <v>10.95</v>
      </c>
      <c r="S87" s="10">
        <v>7.39</v>
      </c>
      <c r="T87" s="10">
        <v>2</v>
      </c>
      <c r="U87" s="10">
        <v>10.44</v>
      </c>
      <c r="V87" s="10">
        <v>12.68</v>
      </c>
      <c r="W87" s="10">
        <v>0.5</v>
      </c>
      <c r="X87" s="10">
        <v>0.3</v>
      </c>
      <c r="Y87" s="10">
        <v>59.88</v>
      </c>
      <c r="Z87" s="10">
        <v>18.02</v>
      </c>
      <c r="AA87" s="10">
        <v>0.16</v>
      </c>
      <c r="AB87" s="10">
        <v>23</v>
      </c>
      <c r="AC87" s="10">
        <v>5.89</v>
      </c>
      <c r="AD87" s="10">
        <v>20</v>
      </c>
      <c r="AE87" s="10">
        <v>21.25</v>
      </c>
      <c r="AF87" s="10">
        <v>4</v>
      </c>
      <c r="AG87" s="10">
        <v>112</v>
      </c>
      <c r="AH87" s="10" t="s">
        <v>546</v>
      </c>
      <c r="AI87" s="10">
        <v>0</v>
      </c>
    </row>
    <row r="88" spans="1:40" x14ac:dyDescent="0.35">
      <c r="A88" s="12">
        <v>87</v>
      </c>
      <c r="B88" s="10" t="s">
        <v>440</v>
      </c>
      <c r="C88" s="13" t="s">
        <v>148</v>
      </c>
      <c r="D88" s="13" t="s">
        <v>441</v>
      </c>
      <c r="E88" t="s">
        <v>281</v>
      </c>
      <c r="F88" t="s">
        <v>217</v>
      </c>
      <c r="G88" s="10" t="s">
        <v>442</v>
      </c>
      <c r="H88" s="10" t="s">
        <v>213</v>
      </c>
      <c r="I88" s="10" t="s">
        <v>214</v>
      </c>
      <c r="J88" s="10">
        <v>44.11</v>
      </c>
      <c r="K88" s="10">
        <v>54.13</v>
      </c>
      <c r="L88" s="10">
        <v>21.72</v>
      </c>
      <c r="M88" s="10">
        <v>58.2</v>
      </c>
      <c r="N88" s="10">
        <v>65.83</v>
      </c>
      <c r="O88" s="10">
        <v>31.31</v>
      </c>
      <c r="P88" s="10">
        <v>15.44</v>
      </c>
      <c r="Q88" s="10">
        <v>19</v>
      </c>
      <c r="R88" s="10">
        <v>13.32</v>
      </c>
      <c r="S88" s="10">
        <v>4.87</v>
      </c>
      <c r="T88" s="10">
        <v>1.5</v>
      </c>
      <c r="U88" s="10">
        <v>6.19</v>
      </c>
      <c r="V88" s="10">
        <v>9.39</v>
      </c>
      <c r="W88" s="10">
        <v>6</v>
      </c>
      <c r="X88" s="10">
        <v>0.14000000000000001</v>
      </c>
      <c r="Y88" s="10">
        <v>55.26</v>
      </c>
      <c r="Z88" s="10">
        <v>2.94</v>
      </c>
      <c r="AA88" s="10">
        <v>18.649999999999999</v>
      </c>
      <c r="AB88" s="10">
        <v>27.07</v>
      </c>
      <c r="AC88" s="10">
        <v>0.12</v>
      </c>
      <c r="AD88" s="10">
        <v>20</v>
      </c>
      <c r="AE88" s="10">
        <v>31.31</v>
      </c>
      <c r="AF88" s="10">
        <v>42</v>
      </c>
      <c r="AG88" s="10">
        <v>50</v>
      </c>
      <c r="AH88" s="10" t="s">
        <v>509</v>
      </c>
      <c r="AI88" s="10">
        <v>2</v>
      </c>
      <c r="AJ88" s="10">
        <v>3</v>
      </c>
      <c r="AK88" s="10">
        <v>6</v>
      </c>
      <c r="AL88" s="10">
        <v>6</v>
      </c>
      <c r="AM88" s="10">
        <v>6</v>
      </c>
      <c r="AN88" s="10">
        <v>8</v>
      </c>
    </row>
    <row r="89" spans="1:40" x14ac:dyDescent="0.35">
      <c r="A89" s="14">
        <v>88</v>
      </c>
      <c r="B89" s="10" t="s">
        <v>443</v>
      </c>
      <c r="C89" s="13" t="s">
        <v>149</v>
      </c>
      <c r="D89" s="13" t="s">
        <v>444</v>
      </c>
      <c r="E89" t="s">
        <v>168</v>
      </c>
      <c r="F89" t="s">
        <v>207</v>
      </c>
      <c r="G89" s="10" t="s">
        <v>445</v>
      </c>
      <c r="H89" s="10" t="s">
        <v>213</v>
      </c>
      <c r="I89" s="10" t="s">
        <v>389</v>
      </c>
      <c r="J89" s="10">
        <v>44.1</v>
      </c>
      <c r="K89" s="10">
        <v>45.71</v>
      </c>
      <c r="L89" s="10">
        <v>18.2</v>
      </c>
      <c r="M89" s="10">
        <v>89.34</v>
      </c>
      <c r="N89" s="10">
        <v>48.61</v>
      </c>
      <c r="O89" s="10">
        <v>22.01</v>
      </c>
      <c r="P89" s="10">
        <v>15.5</v>
      </c>
      <c r="Q89" s="10">
        <v>10.039999999999999</v>
      </c>
      <c r="R89" s="10">
        <v>7.95</v>
      </c>
      <c r="S89" s="10">
        <v>12.22</v>
      </c>
      <c r="T89" s="10">
        <v>0</v>
      </c>
      <c r="U89" s="10">
        <v>6.8</v>
      </c>
      <c r="V89" s="10">
        <v>9.81</v>
      </c>
      <c r="W89" s="10">
        <v>0.5</v>
      </c>
      <c r="X89" s="10">
        <v>1.0900000000000001</v>
      </c>
      <c r="Y89" s="10">
        <v>60</v>
      </c>
      <c r="Z89" s="10">
        <v>29.34</v>
      </c>
      <c r="AA89" s="10">
        <v>0.66</v>
      </c>
      <c r="AB89" s="10">
        <v>26.32</v>
      </c>
      <c r="AC89" s="10">
        <v>1.63</v>
      </c>
      <c r="AD89" s="10">
        <v>20</v>
      </c>
      <c r="AE89" s="10">
        <v>22.01</v>
      </c>
      <c r="AF89" s="10">
        <v>11</v>
      </c>
      <c r="AG89" s="10">
        <v>11</v>
      </c>
      <c r="AH89" s="10" t="s">
        <v>545</v>
      </c>
      <c r="AI89" s="10">
        <v>1</v>
      </c>
    </row>
    <row r="90" spans="1:40" x14ac:dyDescent="0.35">
      <c r="A90" s="12">
        <v>89</v>
      </c>
      <c r="B90" s="10" t="s">
        <v>446</v>
      </c>
      <c r="C90" s="13" t="s">
        <v>150</v>
      </c>
      <c r="D90" s="13" t="s">
        <v>447</v>
      </c>
      <c r="E90" t="s">
        <v>200</v>
      </c>
      <c r="F90" t="s">
        <v>194</v>
      </c>
      <c r="G90" s="10" t="s">
        <v>448</v>
      </c>
      <c r="H90" s="10" t="s">
        <v>219</v>
      </c>
      <c r="I90" s="10" t="s">
        <v>223</v>
      </c>
      <c r="J90" s="10">
        <v>44.09</v>
      </c>
      <c r="K90" s="10">
        <v>59.45</v>
      </c>
      <c r="L90" s="10">
        <v>17</v>
      </c>
      <c r="M90" s="10">
        <v>62.81</v>
      </c>
      <c r="N90" s="10">
        <v>68.44</v>
      </c>
      <c r="O90" s="10">
        <v>17.47</v>
      </c>
      <c r="P90" s="10">
        <v>8.5299999999999994</v>
      </c>
      <c r="Q90" s="10">
        <v>24.53</v>
      </c>
      <c r="R90" s="10">
        <v>19.149999999999999</v>
      </c>
      <c r="S90" s="10">
        <v>7.42</v>
      </c>
      <c r="T90" s="10">
        <v>0</v>
      </c>
      <c r="U90" s="10">
        <v>6.68</v>
      </c>
      <c r="V90" s="10">
        <v>10.14</v>
      </c>
      <c r="W90" s="10">
        <v>0</v>
      </c>
      <c r="X90" s="10">
        <v>0.18</v>
      </c>
      <c r="Y90" s="10">
        <v>59.34</v>
      </c>
      <c r="Z90" s="10">
        <v>3.47</v>
      </c>
      <c r="AA90" s="10">
        <v>15.61</v>
      </c>
      <c r="AB90" s="10">
        <v>29.98</v>
      </c>
      <c r="AC90" s="10">
        <v>2.85</v>
      </c>
      <c r="AD90" s="10">
        <v>20</v>
      </c>
      <c r="AE90" s="10">
        <v>17.47</v>
      </c>
      <c r="AF90" s="10">
        <v>118</v>
      </c>
      <c r="AG90" s="10">
        <v>120</v>
      </c>
      <c r="AH90" s="10" t="s">
        <v>544</v>
      </c>
      <c r="AI90" s="10">
        <v>0</v>
      </c>
      <c r="AJ90" s="10">
        <v>1</v>
      </c>
      <c r="AK90" s="10">
        <v>3</v>
      </c>
      <c r="AL90" s="10">
        <v>3</v>
      </c>
      <c r="AM90" s="10">
        <v>3</v>
      </c>
      <c r="AN90" s="10">
        <v>4</v>
      </c>
    </row>
    <row r="91" spans="1:40" x14ac:dyDescent="0.35">
      <c r="A91" s="14">
        <v>90</v>
      </c>
      <c r="B91" s="10" t="s">
        <v>449</v>
      </c>
      <c r="C91" s="13" t="s">
        <v>151</v>
      </c>
      <c r="D91" s="13" t="s">
        <v>450</v>
      </c>
      <c r="E91" s="15" t="s">
        <v>168</v>
      </c>
      <c r="F91" t="s">
        <v>207</v>
      </c>
      <c r="G91" s="10" t="s">
        <v>451</v>
      </c>
      <c r="H91" s="10" t="s">
        <v>196</v>
      </c>
      <c r="I91" s="10" t="s">
        <v>197</v>
      </c>
      <c r="J91" s="10">
        <v>44.07</v>
      </c>
      <c r="K91" s="10">
        <v>67.44</v>
      </c>
      <c r="L91" s="10">
        <v>10.56</v>
      </c>
      <c r="M91" s="10">
        <v>72.62</v>
      </c>
      <c r="N91" s="10">
        <v>59.34</v>
      </c>
      <c r="O91" s="10">
        <v>2.21</v>
      </c>
      <c r="P91" s="10">
        <v>12.5</v>
      </c>
      <c r="Q91" s="10">
        <v>25</v>
      </c>
      <c r="R91" s="10">
        <v>18.170000000000002</v>
      </c>
      <c r="S91" s="10">
        <v>11.77</v>
      </c>
      <c r="T91" s="10">
        <v>0</v>
      </c>
      <c r="U91" s="10">
        <v>2.41</v>
      </c>
      <c r="V91" s="10">
        <v>4.2699999999999996</v>
      </c>
      <c r="W91" s="10">
        <v>1</v>
      </c>
      <c r="X91" s="10">
        <v>2.89</v>
      </c>
      <c r="Y91" s="10">
        <v>56.68</v>
      </c>
      <c r="Z91" s="10">
        <v>15.93</v>
      </c>
      <c r="AA91" s="10">
        <v>3.19</v>
      </c>
      <c r="AB91" s="10">
        <v>29.9</v>
      </c>
      <c r="AC91" s="10">
        <v>6.25</v>
      </c>
      <c r="AD91" s="10">
        <v>20</v>
      </c>
      <c r="AE91" s="10">
        <v>2.21</v>
      </c>
      <c r="AF91" s="10">
        <v>14</v>
      </c>
      <c r="AG91" s="10">
        <v>14</v>
      </c>
      <c r="AH91" s="10" t="s">
        <v>502</v>
      </c>
      <c r="AI91" s="10">
        <v>2</v>
      </c>
    </row>
    <row r="92" spans="1:40" x14ac:dyDescent="0.35">
      <c r="A92" s="12">
        <v>91</v>
      </c>
      <c r="B92" s="10" t="s">
        <v>452</v>
      </c>
      <c r="C92" s="13" t="s">
        <v>152</v>
      </c>
      <c r="D92" s="13" t="s">
        <v>453</v>
      </c>
      <c r="E92" t="s">
        <v>193</v>
      </c>
      <c r="F92" t="s">
        <v>217</v>
      </c>
      <c r="G92" s="10" t="s">
        <v>257</v>
      </c>
      <c r="H92" s="10" t="s">
        <v>196</v>
      </c>
      <c r="I92" s="10" t="s">
        <v>252</v>
      </c>
      <c r="J92" s="10">
        <v>43.63</v>
      </c>
      <c r="K92" s="10">
        <v>57.12</v>
      </c>
      <c r="L92" s="10">
        <v>11.48</v>
      </c>
      <c r="M92" s="10">
        <v>69.13</v>
      </c>
      <c r="N92" s="10">
        <v>55.62</v>
      </c>
      <c r="O92" s="10">
        <v>36.64</v>
      </c>
      <c r="P92" s="10">
        <v>14.8</v>
      </c>
      <c r="Q92" s="10">
        <v>2.0760000000000001</v>
      </c>
      <c r="R92" s="10">
        <v>13.93</v>
      </c>
      <c r="S92" s="10">
        <v>7.63</v>
      </c>
      <c r="T92" s="10">
        <v>0</v>
      </c>
      <c r="U92" s="10">
        <v>2.65</v>
      </c>
      <c r="V92" s="10">
        <v>5.61</v>
      </c>
      <c r="W92" s="10">
        <v>2</v>
      </c>
      <c r="X92" s="10">
        <v>1.22</v>
      </c>
      <c r="Y92" s="10">
        <v>58.29</v>
      </c>
      <c r="Z92" s="10">
        <v>10.84</v>
      </c>
      <c r="AA92" s="10">
        <v>8.75</v>
      </c>
      <c r="AB92" s="10">
        <v>25.44</v>
      </c>
      <c r="AC92" s="10">
        <v>1.44</v>
      </c>
      <c r="AD92" s="10">
        <v>20</v>
      </c>
      <c r="AE92" s="10">
        <v>36.64</v>
      </c>
      <c r="AF92" s="10">
        <v>9</v>
      </c>
      <c r="AG92" s="10">
        <v>16</v>
      </c>
      <c r="AH92" s="10" t="s">
        <v>513</v>
      </c>
      <c r="AI92" s="10">
        <v>0</v>
      </c>
    </row>
    <row r="93" spans="1:40" x14ac:dyDescent="0.35">
      <c r="A93" s="14">
        <v>92</v>
      </c>
      <c r="B93" s="10" t="s">
        <v>454</v>
      </c>
      <c r="C93" s="13" t="s">
        <v>153</v>
      </c>
      <c r="D93" s="13" t="s">
        <v>455</v>
      </c>
      <c r="E93" t="s">
        <v>193</v>
      </c>
      <c r="F93" t="s">
        <v>194</v>
      </c>
      <c r="G93" s="10" t="s">
        <v>240</v>
      </c>
      <c r="H93" s="10" t="s">
        <v>196</v>
      </c>
      <c r="I93" s="10" t="s">
        <v>223</v>
      </c>
      <c r="J93" s="10">
        <v>43.62</v>
      </c>
      <c r="K93" s="10">
        <v>59.94</v>
      </c>
      <c r="L93" s="10">
        <v>10.3</v>
      </c>
      <c r="M93" s="10">
        <v>67.349999999999994</v>
      </c>
      <c r="N93" s="10">
        <v>66.239999999999995</v>
      </c>
      <c r="O93" s="10">
        <v>24.57</v>
      </c>
      <c r="P93" s="10">
        <v>14.85</v>
      </c>
      <c r="Q93" s="10">
        <v>25</v>
      </c>
      <c r="R93" s="10">
        <v>14.09</v>
      </c>
      <c r="S93" s="10">
        <v>6</v>
      </c>
      <c r="T93" s="10">
        <v>0</v>
      </c>
      <c r="U93" s="10">
        <v>1.98</v>
      </c>
      <c r="V93" s="10">
        <v>4.58</v>
      </c>
      <c r="W93" s="10">
        <v>3</v>
      </c>
      <c r="X93" s="10">
        <v>0.74</v>
      </c>
      <c r="Y93" s="10">
        <v>60</v>
      </c>
      <c r="Z93" s="10">
        <v>7.35</v>
      </c>
      <c r="AA93" s="10">
        <v>10.24</v>
      </c>
      <c r="AB93" s="10">
        <v>29.64</v>
      </c>
      <c r="AC93" s="10">
        <v>6.36</v>
      </c>
      <c r="AD93" s="10">
        <v>20</v>
      </c>
      <c r="AE93" s="10">
        <v>24.57</v>
      </c>
      <c r="AF93" s="10">
        <v>11</v>
      </c>
      <c r="AG93" s="10">
        <v>18</v>
      </c>
      <c r="AH93" s="10" t="s">
        <v>508</v>
      </c>
      <c r="AI93" s="10">
        <v>1</v>
      </c>
    </row>
    <row r="94" spans="1:40" x14ac:dyDescent="0.35">
      <c r="A94" s="12">
        <v>93</v>
      </c>
      <c r="B94" s="10" t="s">
        <v>456</v>
      </c>
      <c r="C94" s="13" t="s">
        <v>154</v>
      </c>
      <c r="D94" s="13" t="s">
        <v>457</v>
      </c>
      <c r="E94" t="s">
        <v>168</v>
      </c>
      <c r="F94" t="s">
        <v>207</v>
      </c>
      <c r="G94" s="10" t="s">
        <v>245</v>
      </c>
      <c r="H94" s="10" t="s">
        <v>213</v>
      </c>
      <c r="I94" s="10" t="s">
        <v>246</v>
      </c>
      <c r="J94" s="10">
        <v>43.45</v>
      </c>
      <c r="K94" s="10">
        <v>45.86</v>
      </c>
      <c r="L94" s="10">
        <v>14.9</v>
      </c>
      <c r="M94" s="10">
        <v>80.739999999999995</v>
      </c>
      <c r="N94" s="10">
        <v>56.88</v>
      </c>
      <c r="O94" s="10">
        <v>33.76</v>
      </c>
      <c r="P94" s="10">
        <v>12.5</v>
      </c>
      <c r="Q94" s="10">
        <v>14.53</v>
      </c>
      <c r="R94" s="10">
        <v>11.11</v>
      </c>
      <c r="S94" s="10">
        <v>7.72</v>
      </c>
      <c r="T94" s="10">
        <v>0</v>
      </c>
      <c r="U94" s="10">
        <v>4.1399999999999997</v>
      </c>
      <c r="V94" s="10">
        <v>9.0399999999999991</v>
      </c>
      <c r="W94" s="10">
        <v>1.5</v>
      </c>
      <c r="X94" s="10">
        <v>0.22</v>
      </c>
      <c r="Y94" s="10">
        <v>60</v>
      </c>
      <c r="Z94" s="10">
        <v>20.74</v>
      </c>
      <c r="AA94" s="10">
        <v>0.27</v>
      </c>
      <c r="AB94" s="10">
        <v>30</v>
      </c>
      <c r="AC94" s="10">
        <v>6.61</v>
      </c>
      <c r="AD94" s="10">
        <v>20</v>
      </c>
      <c r="AE94" s="10">
        <v>33.76</v>
      </c>
      <c r="AF94" s="10">
        <v>6</v>
      </c>
      <c r="AG94" s="10">
        <v>7</v>
      </c>
      <c r="AH94" s="10" t="s">
        <v>511</v>
      </c>
      <c r="AI94" s="10">
        <v>0</v>
      </c>
    </row>
    <row r="95" spans="1:40" x14ac:dyDescent="0.35">
      <c r="A95" s="14">
        <v>94</v>
      </c>
      <c r="B95" s="10" t="s">
        <v>458</v>
      </c>
      <c r="C95" s="13" t="s">
        <v>155</v>
      </c>
      <c r="D95" s="13" t="s">
        <v>306</v>
      </c>
      <c r="E95" t="s">
        <v>281</v>
      </c>
      <c r="F95" t="s">
        <v>217</v>
      </c>
      <c r="G95" s="10" t="s">
        <v>459</v>
      </c>
      <c r="H95" s="10" t="s">
        <v>213</v>
      </c>
      <c r="I95" s="10" t="s">
        <v>417</v>
      </c>
      <c r="J95" s="10">
        <v>43.35</v>
      </c>
      <c r="K95" s="10">
        <v>52.95</v>
      </c>
      <c r="L95" s="10">
        <v>18.96</v>
      </c>
      <c r="M95" s="10">
        <v>64.48</v>
      </c>
      <c r="N95" s="10">
        <v>65.23</v>
      </c>
      <c r="O95" s="10">
        <v>23.47</v>
      </c>
      <c r="P95" s="10">
        <v>12.53</v>
      </c>
      <c r="Q95" s="10">
        <v>20.9</v>
      </c>
      <c r="R95" s="10">
        <v>15</v>
      </c>
      <c r="S95" s="10">
        <v>4.53</v>
      </c>
      <c r="T95" s="10">
        <v>0</v>
      </c>
      <c r="U95" s="10">
        <v>6.57</v>
      </c>
      <c r="V95" s="10">
        <v>9.2100000000000009</v>
      </c>
      <c r="W95" s="10">
        <v>3</v>
      </c>
      <c r="X95" s="10">
        <v>0.19</v>
      </c>
      <c r="Y95" s="10">
        <v>60</v>
      </c>
      <c r="Z95" s="10">
        <v>4.4800000000000004</v>
      </c>
      <c r="AA95" s="10">
        <v>15.9</v>
      </c>
      <c r="AB95" s="10">
        <v>28.85</v>
      </c>
      <c r="AC95" s="10">
        <v>0.48</v>
      </c>
      <c r="AD95" s="10">
        <v>20</v>
      </c>
      <c r="AE95" s="10">
        <v>23.47</v>
      </c>
      <c r="AF95" s="10">
        <v>55</v>
      </c>
      <c r="AG95" s="10">
        <v>41</v>
      </c>
      <c r="AH95" s="10" t="s">
        <v>509</v>
      </c>
      <c r="AI95" s="10">
        <v>2</v>
      </c>
      <c r="AJ95" s="10">
        <v>4</v>
      </c>
      <c r="AK95" s="10">
        <v>6</v>
      </c>
      <c r="AL95" s="10">
        <v>6</v>
      </c>
      <c r="AM95" s="10">
        <v>7</v>
      </c>
      <c r="AN95" s="10">
        <v>8</v>
      </c>
    </row>
    <row r="96" spans="1:40" x14ac:dyDescent="0.35">
      <c r="A96" s="12">
        <v>95</v>
      </c>
      <c r="B96" s="10" t="s">
        <v>460</v>
      </c>
      <c r="C96" s="13" t="s">
        <v>156</v>
      </c>
      <c r="D96" s="13" t="s">
        <v>461</v>
      </c>
      <c r="E96" s="15" t="s">
        <v>168</v>
      </c>
      <c r="F96" t="s">
        <v>207</v>
      </c>
      <c r="G96" s="10" t="s">
        <v>462</v>
      </c>
      <c r="H96" s="10" t="s">
        <v>196</v>
      </c>
      <c r="I96" s="10" t="s">
        <v>202</v>
      </c>
      <c r="J96" s="10">
        <v>43.15</v>
      </c>
      <c r="K96" s="10">
        <v>59.65</v>
      </c>
      <c r="L96" s="10">
        <v>19.14</v>
      </c>
      <c r="M96" s="10">
        <v>68.739999999999995</v>
      </c>
      <c r="N96" s="10">
        <v>46.65</v>
      </c>
      <c r="O96" s="10">
        <v>11.07</v>
      </c>
      <c r="P96" s="10">
        <v>13.75</v>
      </c>
      <c r="Q96" s="10">
        <v>24.16</v>
      </c>
      <c r="R96" s="10">
        <v>15.18</v>
      </c>
      <c r="S96" s="10">
        <v>6.56</v>
      </c>
      <c r="T96" s="10">
        <v>0</v>
      </c>
      <c r="U96" s="10">
        <v>7.98</v>
      </c>
      <c r="V96" s="10">
        <v>10.4</v>
      </c>
      <c r="W96" s="10">
        <v>0.5</v>
      </c>
      <c r="X96" s="10">
        <v>0.26</v>
      </c>
      <c r="Y96" s="10">
        <v>60</v>
      </c>
      <c r="Z96" s="10">
        <v>8.74</v>
      </c>
      <c r="AA96" s="10">
        <v>5.94</v>
      </c>
      <c r="AB96" s="10">
        <v>19.22</v>
      </c>
      <c r="AC96" s="10">
        <v>1.49</v>
      </c>
      <c r="AD96" s="10">
        <v>20</v>
      </c>
      <c r="AE96" s="10">
        <v>11.07</v>
      </c>
      <c r="AF96" s="10">
        <v>25</v>
      </c>
      <c r="AG96" s="10">
        <v>12</v>
      </c>
      <c r="AH96" s="10" t="s">
        <v>509</v>
      </c>
      <c r="AI96" s="10">
        <v>2</v>
      </c>
    </row>
    <row r="97" spans="1:40" x14ac:dyDescent="0.35">
      <c r="A97" s="14">
        <v>96</v>
      </c>
      <c r="B97" s="10" t="s">
        <v>463</v>
      </c>
      <c r="C97" s="13" t="s">
        <v>157</v>
      </c>
      <c r="D97" s="13" t="s">
        <v>464</v>
      </c>
      <c r="E97" t="s">
        <v>168</v>
      </c>
      <c r="F97" t="s">
        <v>207</v>
      </c>
      <c r="G97" s="10" t="s">
        <v>465</v>
      </c>
      <c r="H97" s="10" t="s">
        <v>219</v>
      </c>
      <c r="I97" s="10" t="s">
        <v>417</v>
      </c>
      <c r="J97" s="10">
        <v>43.13</v>
      </c>
      <c r="K97" s="10">
        <v>45.27</v>
      </c>
      <c r="L97" s="10">
        <v>21.23</v>
      </c>
      <c r="M97" s="10">
        <v>76.41</v>
      </c>
      <c r="N97" s="10">
        <v>52.79</v>
      </c>
      <c r="O97" s="10">
        <v>26.21</v>
      </c>
      <c r="P97" s="10">
        <v>14.53</v>
      </c>
      <c r="Q97" s="10">
        <v>13.01</v>
      </c>
      <c r="R97" s="10">
        <v>9.98</v>
      </c>
      <c r="S97" s="10">
        <v>6.76</v>
      </c>
      <c r="T97" s="10">
        <v>1</v>
      </c>
      <c r="U97" s="10">
        <v>7.98</v>
      </c>
      <c r="V97" s="10">
        <v>12.86</v>
      </c>
      <c r="W97" s="10">
        <v>0</v>
      </c>
      <c r="X97" s="10">
        <v>0.39</v>
      </c>
      <c r="Y97" s="10">
        <v>52.69</v>
      </c>
      <c r="Z97" s="10">
        <v>23.72</v>
      </c>
      <c r="AA97" s="10">
        <v>1.45</v>
      </c>
      <c r="AB97" s="10">
        <v>29.49</v>
      </c>
      <c r="AC97" s="10">
        <v>1.85</v>
      </c>
      <c r="AD97" s="10">
        <v>20</v>
      </c>
      <c r="AE97" s="10">
        <v>26.21</v>
      </c>
      <c r="AF97" s="10">
        <v>7</v>
      </c>
      <c r="AG97" s="10">
        <v>70</v>
      </c>
      <c r="AH97" s="10" t="s">
        <v>543</v>
      </c>
      <c r="AI97" s="10">
        <v>2</v>
      </c>
    </row>
    <row r="98" spans="1:40" x14ac:dyDescent="0.35">
      <c r="A98" s="12">
        <v>97</v>
      </c>
      <c r="B98" s="10" t="s">
        <v>466</v>
      </c>
      <c r="C98" s="13" t="s">
        <v>158</v>
      </c>
      <c r="D98" s="13" t="s">
        <v>467</v>
      </c>
      <c r="E98" t="s">
        <v>200</v>
      </c>
      <c r="F98" t="s">
        <v>194</v>
      </c>
      <c r="G98" s="10" t="s">
        <v>468</v>
      </c>
      <c r="H98" s="10" t="s">
        <v>219</v>
      </c>
      <c r="I98" s="10" t="s">
        <v>209</v>
      </c>
      <c r="J98" s="10">
        <v>43.11</v>
      </c>
      <c r="K98" s="10">
        <v>48.5</v>
      </c>
      <c r="L98" s="10">
        <v>22.82</v>
      </c>
      <c r="M98" s="10">
        <v>77.44</v>
      </c>
      <c r="N98" s="10">
        <v>46.88</v>
      </c>
      <c r="O98" s="10">
        <v>15.25</v>
      </c>
      <c r="P98" s="10">
        <v>13.85</v>
      </c>
      <c r="Q98" s="10">
        <v>14.57</v>
      </c>
      <c r="R98" s="10">
        <v>10.29</v>
      </c>
      <c r="S98" s="10">
        <v>7.8</v>
      </c>
      <c r="T98" s="10">
        <v>2</v>
      </c>
      <c r="U98" s="10">
        <v>9.02</v>
      </c>
      <c r="V98" s="10">
        <v>13.12</v>
      </c>
      <c r="W98" s="10">
        <v>0</v>
      </c>
      <c r="X98" s="10">
        <v>0.68</v>
      </c>
      <c r="Y98" s="10">
        <v>60</v>
      </c>
      <c r="Z98" s="10">
        <v>17.440000000000001</v>
      </c>
      <c r="AA98" s="10">
        <v>2.68</v>
      </c>
      <c r="AB98" s="10">
        <v>22.61</v>
      </c>
      <c r="AC98" s="10">
        <v>1.58</v>
      </c>
      <c r="AD98" s="10">
        <v>20</v>
      </c>
      <c r="AE98" s="10">
        <v>15.25</v>
      </c>
      <c r="AF98" s="10">
        <v>161</v>
      </c>
      <c r="AG98" s="10">
        <v>168</v>
      </c>
      <c r="AH98" s="10" t="s">
        <v>504</v>
      </c>
      <c r="AI98" s="10">
        <v>1</v>
      </c>
    </row>
    <row r="99" spans="1:40" x14ac:dyDescent="0.35">
      <c r="A99" s="14">
        <v>98</v>
      </c>
      <c r="B99" s="10" t="s">
        <v>469</v>
      </c>
      <c r="C99" s="13" t="s">
        <v>159</v>
      </c>
      <c r="D99" s="13" t="s">
        <v>470</v>
      </c>
      <c r="E99" t="s">
        <v>193</v>
      </c>
      <c r="F99" t="s">
        <v>194</v>
      </c>
      <c r="G99" s="10" t="s">
        <v>251</v>
      </c>
      <c r="H99" s="10" t="s">
        <v>196</v>
      </c>
      <c r="I99" s="10" t="s">
        <v>252</v>
      </c>
      <c r="J99" s="10">
        <v>43.03</v>
      </c>
      <c r="K99" s="10">
        <v>47.63</v>
      </c>
      <c r="L99" s="10">
        <v>10.67</v>
      </c>
      <c r="M99" s="10">
        <v>75.14</v>
      </c>
      <c r="N99" s="10">
        <v>68.680000000000007</v>
      </c>
      <c r="O99" s="10">
        <v>36.4</v>
      </c>
      <c r="P99" s="10">
        <v>14.27</v>
      </c>
      <c r="Q99" s="10">
        <v>14.04</v>
      </c>
      <c r="R99" s="10">
        <v>10.85</v>
      </c>
      <c r="S99" s="10">
        <v>8.4600000000000009</v>
      </c>
      <c r="T99" s="10">
        <v>0</v>
      </c>
      <c r="U99" s="10">
        <v>3.53</v>
      </c>
      <c r="V99" s="10">
        <v>4.3499999999999996</v>
      </c>
      <c r="W99" s="10">
        <v>0</v>
      </c>
      <c r="X99" s="10">
        <v>2.78</v>
      </c>
      <c r="Y99" s="10">
        <v>60</v>
      </c>
      <c r="Z99" s="10">
        <v>15.14</v>
      </c>
      <c r="AA99" s="10">
        <v>15.95</v>
      </c>
      <c r="AB99" s="10">
        <v>28.73</v>
      </c>
      <c r="AC99" s="10">
        <v>3.99</v>
      </c>
      <c r="AD99" s="10">
        <v>20</v>
      </c>
      <c r="AE99" s="10">
        <v>36.4</v>
      </c>
      <c r="AF99" s="10">
        <v>18</v>
      </c>
      <c r="AG99" s="10">
        <v>14</v>
      </c>
      <c r="AH99" s="10" t="s">
        <v>512</v>
      </c>
      <c r="AI99" s="10">
        <v>0</v>
      </c>
      <c r="AJ99" s="10">
        <v>1</v>
      </c>
      <c r="AK99" s="10">
        <v>1</v>
      </c>
      <c r="AL99" s="10">
        <v>3</v>
      </c>
      <c r="AM99" s="10">
        <v>3</v>
      </c>
      <c r="AN99" s="10">
        <v>6</v>
      </c>
    </row>
    <row r="100" spans="1:40" x14ac:dyDescent="0.35">
      <c r="A100" s="12">
        <v>99</v>
      </c>
      <c r="B100" s="10" t="s">
        <v>471</v>
      </c>
      <c r="C100" s="13" t="s">
        <v>160</v>
      </c>
      <c r="D100" s="13" t="s">
        <v>472</v>
      </c>
      <c r="E100" t="s">
        <v>168</v>
      </c>
      <c r="F100" t="s">
        <v>207</v>
      </c>
      <c r="G100" s="10" t="s">
        <v>473</v>
      </c>
      <c r="H100" s="10" t="s">
        <v>219</v>
      </c>
      <c r="I100" s="10" t="s">
        <v>417</v>
      </c>
      <c r="J100" s="10">
        <v>42.99</v>
      </c>
      <c r="K100" s="10">
        <v>71.52</v>
      </c>
      <c r="L100" s="10">
        <v>13.2</v>
      </c>
      <c r="M100" s="10">
        <v>62.87</v>
      </c>
      <c r="N100" s="10">
        <v>47.06</v>
      </c>
      <c r="O100" s="10">
        <v>2.99</v>
      </c>
      <c r="P100" s="10">
        <v>10.5</v>
      </c>
      <c r="Q100" s="10">
        <v>25</v>
      </c>
      <c r="R100" s="10">
        <v>18.420000000000002</v>
      </c>
      <c r="S100" s="10">
        <v>17.59</v>
      </c>
      <c r="T100" s="10">
        <v>0</v>
      </c>
      <c r="U100" s="10">
        <v>4.78</v>
      </c>
      <c r="V100" s="10">
        <v>7.01</v>
      </c>
      <c r="W100" s="10">
        <v>0.5</v>
      </c>
      <c r="X100" s="10">
        <v>0.91</v>
      </c>
      <c r="Y100" s="10">
        <v>49.18</v>
      </c>
      <c r="Z100" s="10">
        <v>13.69</v>
      </c>
      <c r="AA100" s="10">
        <v>1.98</v>
      </c>
      <c r="AB100" s="10">
        <v>30</v>
      </c>
      <c r="AC100" s="10">
        <v>4.09</v>
      </c>
      <c r="AD100" s="10">
        <v>11</v>
      </c>
      <c r="AE100" s="10">
        <v>2.99</v>
      </c>
      <c r="AF100" s="10">
        <v>3</v>
      </c>
      <c r="AG100" s="10">
        <v>7</v>
      </c>
      <c r="AH100" s="10" t="s">
        <v>542</v>
      </c>
      <c r="AI100" s="10">
        <v>2</v>
      </c>
    </row>
    <row r="101" spans="1:40" x14ac:dyDescent="0.35">
      <c r="A101" s="14">
        <v>100</v>
      </c>
      <c r="B101" s="10" t="s">
        <v>474</v>
      </c>
      <c r="C101" s="13" t="s">
        <v>161</v>
      </c>
      <c r="D101" s="13" t="s">
        <v>267</v>
      </c>
      <c r="E101" t="s">
        <v>200</v>
      </c>
      <c r="F101" t="s">
        <v>194</v>
      </c>
      <c r="G101" s="10" t="s">
        <v>475</v>
      </c>
      <c r="H101" s="10" t="s">
        <v>219</v>
      </c>
      <c r="I101" s="10" t="s">
        <v>267</v>
      </c>
      <c r="J101" s="10">
        <v>42.93</v>
      </c>
      <c r="K101" s="10">
        <v>49.81</v>
      </c>
      <c r="L101" s="10">
        <v>24.54</v>
      </c>
      <c r="M101" s="10">
        <v>58.44</v>
      </c>
      <c r="N101" s="10">
        <v>59.86</v>
      </c>
      <c r="O101" s="10">
        <v>29.47</v>
      </c>
      <c r="P101" s="10">
        <v>7.22</v>
      </c>
      <c r="Q101" s="10">
        <v>18.45</v>
      </c>
      <c r="R101" s="10">
        <v>14.52</v>
      </c>
      <c r="S101" s="10">
        <v>7.13</v>
      </c>
      <c r="T101" s="10">
        <v>2.5</v>
      </c>
      <c r="U101" s="10">
        <v>9.67</v>
      </c>
      <c r="V101" s="10">
        <v>14.08</v>
      </c>
      <c r="W101" s="10">
        <v>0.5</v>
      </c>
      <c r="X101" s="10">
        <v>0.28000000000000003</v>
      </c>
      <c r="Y101" s="10">
        <v>53.41</v>
      </c>
      <c r="Z101" s="10">
        <v>5.03</v>
      </c>
      <c r="AA101" s="10">
        <v>18.36</v>
      </c>
      <c r="AB101" s="10">
        <v>21.5</v>
      </c>
      <c r="AC101" s="10">
        <v>0</v>
      </c>
      <c r="AD101" s="10">
        <v>20</v>
      </c>
      <c r="AE101" s="10">
        <v>29.47</v>
      </c>
      <c r="AF101" s="10">
        <v>22</v>
      </c>
      <c r="AG101" s="10">
        <v>21</v>
      </c>
      <c r="AH101" s="10" t="s">
        <v>541</v>
      </c>
      <c r="AI101" s="10">
        <v>2</v>
      </c>
      <c r="AJ101" s="10">
        <v>2</v>
      </c>
      <c r="AK101" s="10">
        <v>5</v>
      </c>
      <c r="AL101" s="10">
        <v>6</v>
      </c>
      <c r="AM101" s="10">
        <v>7</v>
      </c>
      <c r="AN101" s="10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C982-9263-4DE0-BA16-B33391E723C8}">
  <dimension ref="A1:BE102"/>
  <sheetViews>
    <sheetView zoomScaleNormal="100" workbookViewId="0">
      <pane xSplit="2" topLeftCell="C1" activePane="topRight" state="frozen"/>
      <selection pane="topRight" activeCell="B21" sqref="B21"/>
    </sheetView>
  </sheetViews>
  <sheetFormatPr defaultRowHeight="14.5" x14ac:dyDescent="0.35"/>
  <cols>
    <col min="2" max="2" width="41.81640625" customWidth="1"/>
    <col min="3" max="4" width="12.81640625" customWidth="1"/>
    <col min="28" max="28" width="10.81640625" bestFit="1" customWidth="1"/>
    <col min="29" max="29" width="12.54296875" bestFit="1" customWidth="1"/>
    <col min="30" max="30" width="9.81640625" bestFit="1" customWidth="1"/>
    <col min="32" max="32" width="14" bestFit="1" customWidth="1"/>
    <col min="33" max="33" width="11.81640625" bestFit="1" customWidth="1"/>
    <col min="34" max="34" width="12.6328125" bestFit="1" customWidth="1"/>
    <col min="35" max="35" width="10.26953125" customWidth="1"/>
    <col min="38" max="38" width="13.36328125" bestFit="1" customWidth="1"/>
    <col min="41" max="41" width="13.36328125" bestFit="1" customWidth="1"/>
    <col min="42" max="42" width="12.90625" customWidth="1"/>
    <col min="44" max="44" width="9.81640625" bestFit="1" customWidth="1"/>
    <col min="47" max="47" width="11.08984375" customWidth="1"/>
    <col min="49" max="49" width="10" style="5" customWidth="1"/>
    <col min="50" max="50" width="7.08984375" style="13" customWidth="1"/>
    <col min="51" max="51" width="8.54296875" style="13" customWidth="1"/>
    <col min="52" max="52" width="11.1796875" style="10" bestFit="1" customWidth="1"/>
    <col min="56" max="56" width="9.6328125" style="5" customWidth="1"/>
    <col min="57" max="57" width="9.6328125" customWidth="1"/>
  </cols>
  <sheetData>
    <row r="1" spans="1:57" s="1" customFormat="1" ht="29.25" customHeight="1" x14ac:dyDescent="0.35">
      <c r="A1" s="42" t="s">
        <v>11</v>
      </c>
      <c r="B1" s="42" t="s">
        <v>12</v>
      </c>
      <c r="C1" s="3" t="s">
        <v>0</v>
      </c>
      <c r="D1" s="3"/>
      <c r="E1" s="41" t="s">
        <v>1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 t="s">
        <v>2</v>
      </c>
      <c r="R1" s="41"/>
      <c r="S1" s="41"/>
      <c r="T1" s="41"/>
      <c r="U1" s="41"/>
      <c r="V1" s="41"/>
      <c r="W1" s="41"/>
      <c r="X1" s="41" t="s">
        <v>3</v>
      </c>
      <c r="Y1" s="41"/>
      <c r="Z1" s="41"/>
      <c r="AA1" s="41"/>
      <c r="AB1" s="41" t="s">
        <v>4</v>
      </c>
      <c r="AC1" s="41"/>
      <c r="AD1" s="41"/>
      <c r="AE1" s="41"/>
      <c r="AF1" s="41"/>
      <c r="AG1" s="41" t="s">
        <v>5</v>
      </c>
      <c r="AH1" s="41"/>
      <c r="AI1" s="41"/>
      <c r="AJ1" s="41" t="s">
        <v>6</v>
      </c>
      <c r="AK1" s="41"/>
      <c r="AL1" s="41"/>
      <c r="AM1" s="41" t="s">
        <v>7</v>
      </c>
      <c r="AN1" s="41"/>
      <c r="AO1" s="41"/>
      <c r="AP1" s="41" t="s">
        <v>8</v>
      </c>
      <c r="AQ1" s="41"/>
      <c r="AR1" s="41"/>
      <c r="AS1" s="41" t="s">
        <v>9</v>
      </c>
      <c r="AT1" s="41"/>
      <c r="AU1" s="3" t="s">
        <v>10</v>
      </c>
      <c r="AW1" s="2"/>
      <c r="AX1" s="10"/>
      <c r="AY1" s="10"/>
      <c r="AZ1" s="10"/>
      <c r="BD1" s="2"/>
    </row>
    <row r="2" spans="1:57" s="3" customFormat="1" ht="64.5" customHeight="1" x14ac:dyDescent="0.35">
      <c r="A2" s="42"/>
      <c r="B2" s="42"/>
      <c r="C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36</v>
      </c>
      <c r="AB2" s="3" t="s">
        <v>37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  <c r="AJ2" s="3" t="s">
        <v>45</v>
      </c>
      <c r="AK2" s="3" t="s">
        <v>46</v>
      </c>
      <c r="AL2" s="3" t="s">
        <v>47</v>
      </c>
      <c r="AM2" s="3" t="s">
        <v>48</v>
      </c>
      <c r="AN2" s="3" t="s">
        <v>49</v>
      </c>
      <c r="AO2" s="3" t="s">
        <v>50</v>
      </c>
      <c r="AP2" s="3" t="s">
        <v>51</v>
      </c>
      <c r="AQ2" s="3" t="s">
        <v>52</v>
      </c>
      <c r="AR2" s="3" t="s">
        <v>53</v>
      </c>
      <c r="AS2" s="3" t="s">
        <v>54</v>
      </c>
      <c r="AT2" s="3" t="s">
        <v>55</v>
      </c>
      <c r="AU2" s="3" t="s">
        <v>56</v>
      </c>
      <c r="AV2" s="3" t="s">
        <v>57</v>
      </c>
      <c r="AW2" s="3" t="s">
        <v>165</v>
      </c>
      <c r="AX2" s="11" t="s">
        <v>167</v>
      </c>
      <c r="AY2" s="16" t="s">
        <v>498</v>
      </c>
      <c r="AZ2" s="16" t="s">
        <v>562</v>
      </c>
      <c r="BA2" s="3" t="s">
        <v>563</v>
      </c>
      <c r="BB2" s="3" t="s">
        <v>564</v>
      </c>
    </row>
    <row r="3" spans="1:57" x14ac:dyDescent="0.35">
      <c r="A3" s="17">
        <v>1</v>
      </c>
      <c r="B3" s="17" t="s">
        <v>58</v>
      </c>
      <c r="C3">
        <v>1552</v>
      </c>
      <c r="D3">
        <f>W3/T3</f>
        <v>0.15702479338842976</v>
      </c>
      <c r="E3" s="20">
        <v>1407</v>
      </c>
      <c r="F3" s="20">
        <v>235</v>
      </c>
      <c r="G3" s="17">
        <v>1642</v>
      </c>
      <c r="H3" s="20">
        <v>131</v>
      </c>
      <c r="I3" s="20">
        <v>1490</v>
      </c>
      <c r="J3" s="20">
        <v>21</v>
      </c>
      <c r="K3" s="20">
        <v>129</v>
      </c>
      <c r="L3" s="20">
        <v>756</v>
      </c>
      <c r="M3" s="20">
        <v>0</v>
      </c>
      <c r="N3">
        <v>0</v>
      </c>
      <c r="O3">
        <v>322</v>
      </c>
      <c r="P3" s="18">
        <v>563</v>
      </c>
      <c r="Q3">
        <v>1875</v>
      </c>
      <c r="R3" s="20">
        <v>1471</v>
      </c>
      <c r="S3">
        <v>0</v>
      </c>
      <c r="T3" s="17">
        <v>2299</v>
      </c>
      <c r="U3" s="17">
        <v>734</v>
      </c>
      <c r="V3" s="17">
        <v>17262433</v>
      </c>
      <c r="W3">
        <v>361</v>
      </c>
      <c r="X3" s="17">
        <v>2808</v>
      </c>
      <c r="Y3" s="17">
        <v>159</v>
      </c>
      <c r="Z3">
        <v>1067</v>
      </c>
      <c r="AA3">
        <v>66</v>
      </c>
      <c r="AB3">
        <v>470109765</v>
      </c>
      <c r="AC3">
        <v>3474151316</v>
      </c>
      <c r="AD3">
        <v>66595814</v>
      </c>
      <c r="AF3">
        <v>1006084659</v>
      </c>
      <c r="AG3">
        <v>12369768966</v>
      </c>
      <c r="AH3">
        <v>5101531076</v>
      </c>
      <c r="AI3">
        <v>99361209</v>
      </c>
      <c r="AJ3">
        <v>3831</v>
      </c>
      <c r="AK3">
        <v>579</v>
      </c>
      <c r="AL3">
        <v>13521407345</v>
      </c>
      <c r="AM3">
        <v>846</v>
      </c>
      <c r="AN3">
        <v>670</v>
      </c>
      <c r="AO3">
        <v>1286419160</v>
      </c>
      <c r="AP3">
        <v>47</v>
      </c>
      <c r="AQ3">
        <v>1275</v>
      </c>
      <c r="AR3">
        <v>28429142</v>
      </c>
      <c r="AS3" s="17" t="s">
        <v>59</v>
      </c>
      <c r="AT3" s="17">
        <v>3.67</v>
      </c>
      <c r="AU3" s="22">
        <v>465</v>
      </c>
      <c r="AV3" s="4">
        <v>1909</v>
      </c>
      <c r="AW3" t="s">
        <v>194</v>
      </c>
      <c r="AX3" s="13" t="s">
        <v>196</v>
      </c>
      <c r="AY3" s="17">
        <v>100</v>
      </c>
      <c r="AZ3" s="10">
        <f>SUM(M3:P3)</f>
        <v>885</v>
      </c>
      <c r="BA3">
        <v>6.2</v>
      </c>
      <c r="BB3">
        <v>2</v>
      </c>
      <c r="BE3" s="25"/>
    </row>
    <row r="4" spans="1:57" x14ac:dyDescent="0.35">
      <c r="A4" s="18">
        <v>2</v>
      </c>
      <c r="B4" s="18" t="s">
        <v>60</v>
      </c>
      <c r="C4">
        <v>4883</v>
      </c>
      <c r="D4">
        <f t="shared" ref="D4:D67" si="0">W4/T4</f>
        <v>0.24566338490389122</v>
      </c>
      <c r="E4" s="20">
        <v>2597</v>
      </c>
      <c r="F4" s="20">
        <v>2018</v>
      </c>
      <c r="G4" s="18">
        <v>4615</v>
      </c>
      <c r="H4" s="20">
        <v>413</v>
      </c>
      <c r="I4" s="20">
        <v>4103</v>
      </c>
      <c r="J4" s="20">
        <v>99</v>
      </c>
      <c r="K4" s="20">
        <v>516</v>
      </c>
      <c r="L4" s="20">
        <v>2521</v>
      </c>
      <c r="M4" s="20">
        <v>0</v>
      </c>
      <c r="N4">
        <v>168</v>
      </c>
      <c r="O4">
        <v>0</v>
      </c>
      <c r="P4" s="18">
        <v>2869</v>
      </c>
      <c r="Q4">
        <v>4538</v>
      </c>
      <c r="R4" s="20">
        <v>4055</v>
      </c>
      <c r="S4">
        <v>0</v>
      </c>
      <c r="T4" s="18">
        <v>6399</v>
      </c>
      <c r="U4" s="18">
        <v>381</v>
      </c>
      <c r="V4" s="21">
        <v>6409000</v>
      </c>
      <c r="W4">
        <v>1572</v>
      </c>
      <c r="X4" s="18">
        <v>4232</v>
      </c>
      <c r="Y4" s="18">
        <v>0</v>
      </c>
      <c r="Z4">
        <v>1253</v>
      </c>
      <c r="AA4">
        <v>0</v>
      </c>
      <c r="AB4">
        <v>517285968</v>
      </c>
      <c r="AC4">
        <v>101881149</v>
      </c>
      <c r="AD4">
        <v>67248523</v>
      </c>
      <c r="AF4">
        <v>281443566</v>
      </c>
      <c r="AG4">
        <v>13382559132</v>
      </c>
      <c r="AH4">
        <v>3915188313</v>
      </c>
      <c r="AI4">
        <v>20314690</v>
      </c>
      <c r="AJ4">
        <v>946</v>
      </c>
      <c r="AK4">
        <v>89</v>
      </c>
      <c r="AL4">
        <v>855521036</v>
      </c>
      <c r="AM4">
        <v>53</v>
      </c>
      <c r="AN4">
        <v>52</v>
      </c>
      <c r="AO4">
        <v>14799384</v>
      </c>
      <c r="AP4">
        <v>30</v>
      </c>
      <c r="AQ4">
        <v>718</v>
      </c>
      <c r="AR4">
        <v>157242</v>
      </c>
      <c r="AS4" s="18" t="s">
        <v>59</v>
      </c>
      <c r="AT4" s="18">
        <v>3.77</v>
      </c>
      <c r="AU4" s="23">
        <v>631</v>
      </c>
      <c r="AV4" s="4">
        <v>1969</v>
      </c>
      <c r="AW4" t="s">
        <v>194</v>
      </c>
      <c r="AX4" s="13" t="s">
        <v>196</v>
      </c>
      <c r="AY4" s="18">
        <v>71.430000000000007</v>
      </c>
      <c r="AZ4" s="10">
        <f t="shared" ref="AZ4:AZ67" si="1">SUM(M4:P4)</f>
        <v>3037</v>
      </c>
      <c r="BA4">
        <v>14</v>
      </c>
      <c r="BB4">
        <v>2</v>
      </c>
      <c r="BE4" s="25"/>
    </row>
    <row r="5" spans="1:57" x14ac:dyDescent="0.35">
      <c r="A5" s="17">
        <v>3</v>
      </c>
      <c r="B5" s="17" t="s">
        <v>476</v>
      </c>
      <c r="C5">
        <v>8574</v>
      </c>
      <c r="D5">
        <f t="shared" si="0"/>
        <v>0.31136904332780624</v>
      </c>
      <c r="E5" s="20">
        <v>4395</v>
      </c>
      <c r="F5" s="20">
        <v>4303</v>
      </c>
      <c r="G5" s="17">
        <v>8698</v>
      </c>
      <c r="H5" s="20">
        <v>1385</v>
      </c>
      <c r="I5" s="20">
        <v>6907</v>
      </c>
      <c r="J5" s="20">
        <v>406</v>
      </c>
      <c r="K5" s="20">
        <v>6668</v>
      </c>
      <c r="L5" s="20">
        <v>1211</v>
      </c>
      <c r="M5" s="20">
        <v>5260</v>
      </c>
      <c r="N5">
        <v>1449</v>
      </c>
      <c r="O5">
        <v>866</v>
      </c>
      <c r="P5" s="18">
        <v>304</v>
      </c>
      <c r="Q5">
        <v>8175</v>
      </c>
      <c r="R5" s="20">
        <v>7757</v>
      </c>
      <c r="S5">
        <v>0</v>
      </c>
      <c r="T5" s="17">
        <v>13871</v>
      </c>
      <c r="U5" s="17">
        <v>4688</v>
      </c>
      <c r="V5" s="17">
        <v>7806000</v>
      </c>
      <c r="W5">
        <v>4319</v>
      </c>
      <c r="X5" s="17">
        <v>1488</v>
      </c>
      <c r="Y5" s="17">
        <v>0</v>
      </c>
      <c r="Z5">
        <v>1235</v>
      </c>
      <c r="AA5">
        <v>0</v>
      </c>
      <c r="AB5">
        <v>123699203</v>
      </c>
      <c r="AC5">
        <v>367977000</v>
      </c>
      <c r="AD5">
        <v>0</v>
      </c>
      <c r="AF5">
        <v>12866000</v>
      </c>
      <c r="AG5">
        <v>10637160000</v>
      </c>
      <c r="AH5">
        <v>2294365000</v>
      </c>
      <c r="AI5">
        <v>35041000</v>
      </c>
      <c r="AJ5">
        <v>461</v>
      </c>
      <c r="AK5">
        <v>120</v>
      </c>
      <c r="AL5">
        <v>1445265652</v>
      </c>
      <c r="AM5">
        <v>768</v>
      </c>
      <c r="AN5">
        <v>399</v>
      </c>
      <c r="AO5">
        <v>194185274</v>
      </c>
      <c r="AP5">
        <v>47</v>
      </c>
      <c r="AQ5">
        <v>2586</v>
      </c>
      <c r="AR5">
        <v>142665050</v>
      </c>
      <c r="AS5" s="17" t="s">
        <v>59</v>
      </c>
      <c r="AT5" s="17">
        <v>3.61</v>
      </c>
      <c r="AU5" s="22">
        <v>752</v>
      </c>
      <c r="AV5" s="4">
        <v>1920</v>
      </c>
      <c r="AW5" t="s">
        <v>194</v>
      </c>
      <c r="AX5" s="13" t="s">
        <v>196</v>
      </c>
      <c r="AY5" s="17">
        <v>46.5</v>
      </c>
      <c r="AZ5" s="10">
        <f t="shared" si="1"/>
        <v>7879</v>
      </c>
      <c r="BA5">
        <v>7.3</v>
      </c>
      <c r="BB5">
        <v>2</v>
      </c>
      <c r="BE5" s="25"/>
    </row>
    <row r="6" spans="1:57" x14ac:dyDescent="0.35">
      <c r="A6" s="18">
        <v>4</v>
      </c>
      <c r="B6" s="18" t="s">
        <v>62</v>
      </c>
      <c r="C6">
        <v>11269</v>
      </c>
      <c r="D6">
        <f t="shared" si="0"/>
        <v>0.22774133083411435</v>
      </c>
      <c r="E6" s="20">
        <v>7021</v>
      </c>
      <c r="F6" s="20">
        <v>3201</v>
      </c>
      <c r="G6" s="18">
        <v>10222</v>
      </c>
      <c r="H6" s="20">
        <v>8150</v>
      </c>
      <c r="I6" s="20">
        <v>2030</v>
      </c>
      <c r="J6" s="20">
        <v>42</v>
      </c>
      <c r="K6" s="20">
        <v>3831</v>
      </c>
      <c r="L6" s="20">
        <v>4519</v>
      </c>
      <c r="M6" s="20">
        <v>3924</v>
      </c>
      <c r="N6">
        <v>3458</v>
      </c>
      <c r="O6">
        <v>537</v>
      </c>
      <c r="P6" s="18">
        <v>431</v>
      </c>
      <c r="Q6">
        <v>10595</v>
      </c>
      <c r="R6" s="20">
        <v>9686</v>
      </c>
      <c r="S6">
        <v>208</v>
      </c>
      <c r="T6" s="18">
        <v>13871</v>
      </c>
      <c r="U6" s="18">
        <v>6359</v>
      </c>
      <c r="V6" s="18">
        <v>8245000</v>
      </c>
      <c r="W6">
        <v>3159</v>
      </c>
      <c r="X6" s="18">
        <v>2257</v>
      </c>
      <c r="Y6" s="18">
        <v>0</v>
      </c>
      <c r="Z6">
        <v>1045</v>
      </c>
      <c r="AA6">
        <v>0</v>
      </c>
      <c r="AB6">
        <v>407467765</v>
      </c>
      <c r="AC6">
        <v>594184000</v>
      </c>
      <c r="AD6">
        <v>1249085</v>
      </c>
      <c r="AF6">
        <v>272440326</v>
      </c>
      <c r="AG6">
        <v>5233073308</v>
      </c>
      <c r="AH6">
        <v>4066204381</v>
      </c>
      <c r="AI6">
        <v>89967558</v>
      </c>
      <c r="AJ6">
        <v>875</v>
      </c>
      <c r="AK6">
        <v>182</v>
      </c>
      <c r="AL6">
        <v>2017236805</v>
      </c>
      <c r="AM6">
        <v>5470</v>
      </c>
      <c r="AN6">
        <v>2677</v>
      </c>
      <c r="AO6">
        <v>453210970</v>
      </c>
      <c r="AP6">
        <v>147</v>
      </c>
      <c r="AQ6">
        <v>3279</v>
      </c>
      <c r="AR6">
        <v>113026329</v>
      </c>
      <c r="AS6" s="18" t="s">
        <v>59</v>
      </c>
      <c r="AT6" s="18">
        <v>3.68</v>
      </c>
      <c r="AU6" s="23">
        <v>834</v>
      </c>
      <c r="AV6" s="4">
        <v>1955</v>
      </c>
      <c r="AW6" t="s">
        <v>207</v>
      </c>
      <c r="AX6" s="13" t="s">
        <v>196</v>
      </c>
      <c r="AY6" s="18">
        <v>64.67</v>
      </c>
      <c r="AZ6" s="10">
        <f t="shared" si="1"/>
        <v>8350</v>
      </c>
      <c r="BA6">
        <v>13</v>
      </c>
      <c r="BB6">
        <v>0</v>
      </c>
      <c r="BE6" s="25"/>
    </row>
    <row r="7" spans="1:57" x14ac:dyDescent="0.35">
      <c r="A7" s="17">
        <v>5</v>
      </c>
      <c r="B7" s="17" t="s">
        <v>65</v>
      </c>
      <c r="C7">
        <v>18871</v>
      </c>
      <c r="D7">
        <f t="shared" si="0"/>
        <v>0.28584029471281069</v>
      </c>
      <c r="E7" s="20">
        <v>12105</v>
      </c>
      <c r="F7" s="20">
        <v>8973</v>
      </c>
      <c r="G7" s="17">
        <v>21078</v>
      </c>
      <c r="H7" s="20">
        <v>4587</v>
      </c>
      <c r="I7" s="20">
        <v>16391</v>
      </c>
      <c r="J7" s="20">
        <v>100</v>
      </c>
      <c r="K7" s="20">
        <v>815</v>
      </c>
      <c r="L7" s="20">
        <v>4909</v>
      </c>
      <c r="M7" s="20">
        <v>129</v>
      </c>
      <c r="N7">
        <v>1031</v>
      </c>
      <c r="O7">
        <v>2</v>
      </c>
      <c r="P7" s="18">
        <v>4562</v>
      </c>
      <c r="Q7">
        <v>15746</v>
      </c>
      <c r="R7" s="20">
        <v>13845</v>
      </c>
      <c r="S7">
        <v>237</v>
      </c>
      <c r="T7" s="17">
        <v>19273</v>
      </c>
      <c r="U7" s="17">
        <v>8082</v>
      </c>
      <c r="V7" s="17">
        <v>10320000</v>
      </c>
      <c r="W7">
        <v>5509</v>
      </c>
      <c r="X7" s="17">
        <v>547</v>
      </c>
      <c r="Y7" s="17">
        <v>852</v>
      </c>
      <c r="Z7">
        <v>273</v>
      </c>
      <c r="AA7">
        <v>97</v>
      </c>
      <c r="AB7">
        <v>929604741</v>
      </c>
      <c r="AC7">
        <v>3436867053</v>
      </c>
      <c r="AD7">
        <v>449104062</v>
      </c>
      <c r="AF7">
        <v>793884237</v>
      </c>
      <c r="AG7">
        <v>11870149123</v>
      </c>
      <c r="AH7">
        <v>9059155461</v>
      </c>
      <c r="AI7">
        <v>430874184</v>
      </c>
      <c r="AJ7">
        <v>458</v>
      </c>
      <c r="AK7">
        <v>231</v>
      </c>
      <c r="AL7">
        <v>1618265461</v>
      </c>
      <c r="AM7">
        <v>8581</v>
      </c>
      <c r="AN7">
        <v>391</v>
      </c>
      <c r="AO7">
        <v>852531951</v>
      </c>
      <c r="AP7">
        <v>8497</v>
      </c>
      <c r="AQ7">
        <v>502</v>
      </c>
      <c r="AR7">
        <v>852531951</v>
      </c>
      <c r="AS7" s="17" t="s">
        <v>59</v>
      </c>
      <c r="AT7" s="17">
        <v>3.71</v>
      </c>
      <c r="AU7" s="22">
        <v>1830</v>
      </c>
      <c r="AV7" s="4">
        <v>1994</v>
      </c>
      <c r="AW7" t="s">
        <v>217</v>
      </c>
      <c r="AX7" s="13" t="s">
        <v>213</v>
      </c>
      <c r="AY7" s="17">
        <v>56.66</v>
      </c>
      <c r="AZ7" s="10">
        <f t="shared" si="1"/>
        <v>5724</v>
      </c>
      <c r="BA7">
        <v>22</v>
      </c>
      <c r="BB7">
        <v>2</v>
      </c>
      <c r="BE7" s="25"/>
    </row>
    <row r="8" spans="1:57" x14ac:dyDescent="0.35">
      <c r="A8" s="18">
        <v>6</v>
      </c>
      <c r="B8" s="18" t="s">
        <v>63</v>
      </c>
      <c r="C8">
        <v>26324</v>
      </c>
      <c r="D8">
        <f t="shared" si="0"/>
        <v>0.58903858251205699</v>
      </c>
      <c r="E8" s="20">
        <v>17052</v>
      </c>
      <c r="F8" s="20">
        <v>10570</v>
      </c>
      <c r="G8" s="18">
        <v>27622</v>
      </c>
      <c r="H8" s="20">
        <v>18732</v>
      </c>
      <c r="I8" s="20">
        <v>8525</v>
      </c>
      <c r="J8" s="20">
        <v>365</v>
      </c>
      <c r="K8" s="20">
        <v>1947</v>
      </c>
      <c r="L8" s="20">
        <v>13690</v>
      </c>
      <c r="M8" s="20">
        <v>7491</v>
      </c>
      <c r="N8">
        <v>42</v>
      </c>
      <c r="O8">
        <v>15</v>
      </c>
      <c r="P8" s="18">
        <v>8089</v>
      </c>
      <c r="Q8">
        <v>28409</v>
      </c>
      <c r="R8" s="20">
        <v>27813</v>
      </c>
      <c r="S8">
        <v>0</v>
      </c>
      <c r="T8" s="18">
        <v>38152</v>
      </c>
      <c r="U8" s="18">
        <v>2822</v>
      </c>
      <c r="V8" s="18">
        <v>11550000</v>
      </c>
      <c r="W8">
        <v>22473</v>
      </c>
      <c r="X8" s="18">
        <v>3164</v>
      </c>
      <c r="Y8" s="18">
        <v>227</v>
      </c>
      <c r="Z8">
        <v>1771</v>
      </c>
      <c r="AA8">
        <v>263</v>
      </c>
      <c r="AB8">
        <v>768918597</v>
      </c>
      <c r="AC8">
        <v>725520711</v>
      </c>
      <c r="AD8">
        <v>8883403</v>
      </c>
      <c r="AF8">
        <v>3399979595</v>
      </c>
      <c r="AG8">
        <v>35501911612</v>
      </c>
      <c r="AH8">
        <v>7240769489</v>
      </c>
      <c r="AI8">
        <v>6380278</v>
      </c>
      <c r="AJ8">
        <v>1119</v>
      </c>
      <c r="AK8">
        <v>130</v>
      </c>
      <c r="AL8">
        <v>1272432962</v>
      </c>
      <c r="AM8">
        <v>6</v>
      </c>
      <c r="AN8">
        <v>6</v>
      </c>
      <c r="AO8">
        <v>8569356</v>
      </c>
      <c r="AP8">
        <v>5</v>
      </c>
      <c r="AQ8">
        <v>58</v>
      </c>
      <c r="AR8">
        <v>4060000</v>
      </c>
      <c r="AS8" s="18" t="s">
        <v>59</v>
      </c>
      <c r="AT8" s="18">
        <v>3.41</v>
      </c>
      <c r="AU8" s="23">
        <v>1770</v>
      </c>
      <c r="AV8" s="4">
        <v>1916</v>
      </c>
      <c r="AW8" s="5" t="s">
        <v>194</v>
      </c>
      <c r="AX8" s="13" t="s">
        <v>213</v>
      </c>
      <c r="AY8" s="18">
        <v>37.76</v>
      </c>
      <c r="AZ8" s="10">
        <f t="shared" si="1"/>
        <v>15637</v>
      </c>
      <c r="BA8">
        <v>10</v>
      </c>
      <c r="BB8">
        <v>2</v>
      </c>
      <c r="BE8" s="25"/>
    </row>
    <row r="9" spans="1:57" x14ac:dyDescent="0.35">
      <c r="A9" s="17">
        <v>7</v>
      </c>
      <c r="B9" s="17" t="s">
        <v>477</v>
      </c>
      <c r="C9">
        <v>26239</v>
      </c>
      <c r="D9">
        <f t="shared" si="0"/>
        <v>0.11453851773682928</v>
      </c>
      <c r="E9" s="20">
        <v>13240</v>
      </c>
      <c r="F9" s="20">
        <v>10479</v>
      </c>
      <c r="G9" s="17">
        <v>23719</v>
      </c>
      <c r="H9" s="20">
        <v>7092</v>
      </c>
      <c r="I9" s="20">
        <v>16181</v>
      </c>
      <c r="J9" s="20">
        <v>446</v>
      </c>
      <c r="K9" s="20">
        <v>1679</v>
      </c>
      <c r="L9" s="20">
        <v>1458</v>
      </c>
      <c r="M9" s="20">
        <v>101</v>
      </c>
      <c r="N9">
        <v>1316</v>
      </c>
      <c r="O9">
        <v>0</v>
      </c>
      <c r="P9" s="18">
        <v>1720</v>
      </c>
      <c r="Q9">
        <v>22431</v>
      </c>
      <c r="R9" s="20">
        <v>18007</v>
      </c>
      <c r="S9">
        <v>261</v>
      </c>
      <c r="T9" s="17">
        <v>24638</v>
      </c>
      <c r="U9" s="17">
        <v>11548</v>
      </c>
      <c r="V9" s="17">
        <v>13616200</v>
      </c>
      <c r="W9">
        <v>2822</v>
      </c>
      <c r="X9" s="17">
        <v>1147</v>
      </c>
      <c r="Y9" s="17">
        <v>62</v>
      </c>
      <c r="Z9">
        <v>485</v>
      </c>
      <c r="AA9">
        <v>89</v>
      </c>
      <c r="AB9">
        <v>790754387</v>
      </c>
      <c r="AC9">
        <v>442499274</v>
      </c>
      <c r="AD9">
        <v>54870087</v>
      </c>
      <c r="AF9">
        <v>1289901810</v>
      </c>
      <c r="AG9">
        <v>18085398947</v>
      </c>
      <c r="AH9">
        <v>25954937706</v>
      </c>
      <c r="AI9">
        <v>86342092</v>
      </c>
      <c r="AJ9">
        <v>1213</v>
      </c>
      <c r="AK9">
        <v>378</v>
      </c>
      <c r="AL9">
        <v>844439202</v>
      </c>
      <c r="AM9">
        <v>7170</v>
      </c>
      <c r="AN9">
        <v>1373</v>
      </c>
      <c r="AO9">
        <v>10792203067</v>
      </c>
      <c r="AP9">
        <v>80</v>
      </c>
      <c r="AQ9">
        <v>24051</v>
      </c>
      <c r="AR9">
        <v>219562366</v>
      </c>
      <c r="AS9" s="17" t="s">
        <v>59</v>
      </c>
      <c r="AT9" s="17">
        <v>3.3</v>
      </c>
      <c r="AU9" s="22">
        <v>2617</v>
      </c>
      <c r="AV9" s="4">
        <v>1953</v>
      </c>
      <c r="AW9" s="5" t="s">
        <v>217</v>
      </c>
      <c r="AX9" s="13" t="s">
        <v>219</v>
      </c>
      <c r="AY9" s="17">
        <v>42.46</v>
      </c>
      <c r="AZ9" s="10">
        <f t="shared" si="1"/>
        <v>3137</v>
      </c>
      <c r="BA9">
        <v>5</v>
      </c>
      <c r="BB9">
        <v>1</v>
      </c>
      <c r="BE9" s="25"/>
    </row>
    <row r="10" spans="1:57" x14ac:dyDescent="0.35">
      <c r="A10" s="18">
        <v>8</v>
      </c>
      <c r="B10" s="18" t="s">
        <v>71</v>
      </c>
      <c r="C10">
        <v>16242</v>
      </c>
      <c r="D10">
        <f t="shared" si="0"/>
        <v>0.15081803422005746</v>
      </c>
      <c r="E10" s="20">
        <v>5894</v>
      </c>
      <c r="F10" s="20">
        <v>9715</v>
      </c>
      <c r="G10" s="18">
        <v>15609</v>
      </c>
      <c r="H10" s="20">
        <v>12790</v>
      </c>
      <c r="I10" s="20">
        <v>2742</v>
      </c>
      <c r="J10" s="20">
        <v>77</v>
      </c>
      <c r="K10" s="20">
        <v>9616</v>
      </c>
      <c r="L10" s="20">
        <v>5993</v>
      </c>
      <c r="M10" s="20">
        <v>6556</v>
      </c>
      <c r="N10">
        <v>4927</v>
      </c>
      <c r="O10">
        <v>52</v>
      </c>
      <c r="P10" s="18">
        <v>4074</v>
      </c>
      <c r="Q10">
        <v>21874</v>
      </c>
      <c r="R10" s="20">
        <v>21381</v>
      </c>
      <c r="S10">
        <v>207</v>
      </c>
      <c r="T10" s="18">
        <v>40035</v>
      </c>
      <c r="U10" s="18">
        <v>15228</v>
      </c>
      <c r="V10" s="18">
        <v>15391000</v>
      </c>
      <c r="W10">
        <v>6038</v>
      </c>
      <c r="X10" s="18">
        <v>2593</v>
      </c>
      <c r="Y10" s="18">
        <v>917</v>
      </c>
      <c r="Z10">
        <v>1521</v>
      </c>
      <c r="AA10">
        <v>1248</v>
      </c>
      <c r="AB10">
        <v>1047079514</v>
      </c>
      <c r="AC10">
        <v>1522543454</v>
      </c>
      <c r="AD10">
        <v>326701729</v>
      </c>
      <c r="AF10">
        <v>802795045</v>
      </c>
      <c r="AG10">
        <v>7189799363</v>
      </c>
      <c r="AH10">
        <v>5555550165</v>
      </c>
      <c r="AI10">
        <v>1914830129</v>
      </c>
      <c r="AJ10">
        <v>2038</v>
      </c>
      <c r="AK10">
        <v>221</v>
      </c>
      <c r="AL10">
        <v>3306610983</v>
      </c>
      <c r="AM10">
        <v>165</v>
      </c>
      <c r="AN10">
        <v>130</v>
      </c>
      <c r="AO10">
        <v>745772158</v>
      </c>
      <c r="AP10">
        <v>57</v>
      </c>
      <c r="AQ10">
        <v>567</v>
      </c>
      <c r="AR10">
        <v>12834300</v>
      </c>
      <c r="AS10" s="18" t="s">
        <v>59</v>
      </c>
      <c r="AT10" s="18">
        <v>3.2</v>
      </c>
      <c r="AU10" s="23">
        <v>1255</v>
      </c>
      <c r="AV10" s="4">
        <v>1857</v>
      </c>
      <c r="AW10" s="5" t="s">
        <v>207</v>
      </c>
      <c r="AX10" s="13" t="s">
        <v>196</v>
      </c>
      <c r="AY10" s="18">
        <v>44.5</v>
      </c>
      <c r="AZ10" s="10">
        <f t="shared" si="1"/>
        <v>15609</v>
      </c>
      <c r="BA10">
        <v>5</v>
      </c>
      <c r="BB10">
        <v>0</v>
      </c>
      <c r="BE10" s="25"/>
    </row>
    <row r="11" spans="1:57" x14ac:dyDescent="0.35">
      <c r="A11" s="17">
        <v>9</v>
      </c>
      <c r="B11" s="17" t="s">
        <v>67</v>
      </c>
      <c r="C11">
        <v>42723</v>
      </c>
      <c r="D11">
        <f t="shared" si="0"/>
        <v>0.14294396110542476</v>
      </c>
      <c r="E11" s="20">
        <v>28560</v>
      </c>
      <c r="F11" s="20">
        <v>10033</v>
      </c>
      <c r="G11" s="17">
        <v>38593</v>
      </c>
      <c r="H11" s="20">
        <v>11410</v>
      </c>
      <c r="I11" s="20">
        <v>25825</v>
      </c>
      <c r="J11" s="20">
        <v>1358</v>
      </c>
      <c r="K11" s="20">
        <v>9176</v>
      </c>
      <c r="L11" s="20">
        <v>13218</v>
      </c>
      <c r="M11" s="20">
        <v>6</v>
      </c>
      <c r="N11">
        <v>247</v>
      </c>
      <c r="O11">
        <v>0</v>
      </c>
      <c r="P11" s="18">
        <v>22141</v>
      </c>
      <c r="Q11">
        <v>32283</v>
      </c>
      <c r="R11" s="20">
        <v>22301</v>
      </c>
      <c r="S11">
        <v>0</v>
      </c>
      <c r="T11" s="17">
        <v>31264</v>
      </c>
      <c r="U11" s="17">
        <v>14047</v>
      </c>
      <c r="V11" s="17">
        <v>7749500</v>
      </c>
      <c r="W11">
        <v>4469</v>
      </c>
      <c r="X11" s="17">
        <v>2901</v>
      </c>
      <c r="Y11" s="17">
        <v>1129</v>
      </c>
      <c r="Z11">
        <v>516</v>
      </c>
      <c r="AA11">
        <v>477</v>
      </c>
      <c r="AB11">
        <v>557167224</v>
      </c>
      <c r="AC11">
        <v>1032313341</v>
      </c>
      <c r="AD11">
        <v>12266310</v>
      </c>
      <c r="AF11">
        <v>419898271</v>
      </c>
      <c r="AG11">
        <v>10112739430</v>
      </c>
      <c r="AH11">
        <v>9183846871</v>
      </c>
      <c r="AI11">
        <v>77483877</v>
      </c>
      <c r="AJ11">
        <v>381</v>
      </c>
      <c r="AK11">
        <v>69</v>
      </c>
      <c r="AL11">
        <v>330567384</v>
      </c>
      <c r="AM11">
        <v>321</v>
      </c>
      <c r="AN11">
        <v>180</v>
      </c>
      <c r="AO11">
        <v>29012808</v>
      </c>
      <c r="AP11">
        <v>0</v>
      </c>
      <c r="AQ11">
        <v>0</v>
      </c>
      <c r="AR11">
        <v>0</v>
      </c>
      <c r="AS11" s="17" t="s">
        <v>59</v>
      </c>
      <c r="AT11" s="17">
        <v>3.66</v>
      </c>
      <c r="AU11" s="22">
        <v>2633</v>
      </c>
      <c r="AV11" s="4">
        <v>1984</v>
      </c>
      <c r="AW11" s="5" t="s">
        <v>217</v>
      </c>
      <c r="AX11" s="13" t="s">
        <v>219</v>
      </c>
      <c r="AY11" s="17">
        <v>62.02</v>
      </c>
      <c r="AZ11" s="10">
        <f t="shared" si="1"/>
        <v>22394</v>
      </c>
      <c r="BA11">
        <v>40</v>
      </c>
      <c r="BB11">
        <v>2</v>
      </c>
      <c r="BE11" s="25"/>
    </row>
    <row r="12" spans="1:57" x14ac:dyDescent="0.35">
      <c r="A12" s="18">
        <v>10</v>
      </c>
      <c r="B12" s="18" t="s">
        <v>69</v>
      </c>
      <c r="C12">
        <v>4621</v>
      </c>
      <c r="D12">
        <f t="shared" si="0"/>
        <v>0.16803615447822515</v>
      </c>
      <c r="E12" s="20">
        <v>2321</v>
      </c>
      <c r="F12" s="20">
        <v>1835</v>
      </c>
      <c r="G12" s="18">
        <v>4156</v>
      </c>
      <c r="H12" s="20">
        <v>1273</v>
      </c>
      <c r="I12" s="20">
        <v>2819</v>
      </c>
      <c r="J12" s="20">
        <v>64</v>
      </c>
      <c r="K12" s="20">
        <v>380</v>
      </c>
      <c r="L12" s="20">
        <v>2482</v>
      </c>
      <c r="M12" s="20">
        <v>492</v>
      </c>
      <c r="N12">
        <v>0</v>
      </c>
      <c r="O12">
        <v>0</v>
      </c>
      <c r="P12" s="18">
        <v>2370</v>
      </c>
      <c r="Q12">
        <v>4901</v>
      </c>
      <c r="R12" s="20">
        <v>4456</v>
      </c>
      <c r="S12">
        <v>0</v>
      </c>
      <c r="T12" s="18">
        <v>7302</v>
      </c>
      <c r="U12" s="18">
        <v>1121</v>
      </c>
      <c r="V12" s="18">
        <v>6720000</v>
      </c>
      <c r="W12">
        <v>1227</v>
      </c>
      <c r="X12" s="18">
        <v>1459</v>
      </c>
      <c r="Y12" s="18">
        <v>30</v>
      </c>
      <c r="Z12">
        <v>660</v>
      </c>
      <c r="AA12">
        <v>30</v>
      </c>
      <c r="AB12">
        <v>292563038</v>
      </c>
      <c r="AC12">
        <v>162733103</v>
      </c>
      <c r="AD12">
        <v>59893253</v>
      </c>
      <c r="AF12">
        <v>210723317</v>
      </c>
      <c r="AG12">
        <v>5447793114</v>
      </c>
      <c r="AH12">
        <v>238768058</v>
      </c>
      <c r="AI12">
        <v>6487970</v>
      </c>
      <c r="AJ12">
        <v>1087</v>
      </c>
      <c r="AK12">
        <v>152</v>
      </c>
      <c r="AL12">
        <v>1419924865</v>
      </c>
      <c r="AM12">
        <v>33</v>
      </c>
      <c r="AN12">
        <v>32</v>
      </c>
      <c r="AO12">
        <v>42032028</v>
      </c>
      <c r="AP12">
        <v>6</v>
      </c>
      <c r="AQ12">
        <v>298</v>
      </c>
      <c r="AR12">
        <v>500000</v>
      </c>
      <c r="AS12" s="18" t="s">
        <v>59</v>
      </c>
      <c r="AT12" s="18">
        <v>3.72</v>
      </c>
      <c r="AU12" s="23">
        <v>423</v>
      </c>
      <c r="AV12" s="4">
        <v>1974</v>
      </c>
      <c r="AW12" s="5" t="s">
        <v>194</v>
      </c>
      <c r="AX12" s="13" t="s">
        <v>196</v>
      </c>
      <c r="AY12" s="18">
        <v>52.39</v>
      </c>
      <c r="AZ12" s="10">
        <f t="shared" si="1"/>
        <v>2862</v>
      </c>
      <c r="BA12">
        <v>30</v>
      </c>
      <c r="BB12">
        <v>1</v>
      </c>
      <c r="BE12" s="25"/>
    </row>
    <row r="13" spans="1:57" x14ac:dyDescent="0.35">
      <c r="A13" s="17">
        <v>11</v>
      </c>
      <c r="B13" s="17" t="s">
        <v>68</v>
      </c>
      <c r="C13">
        <v>19910</v>
      </c>
      <c r="D13">
        <f t="shared" si="0"/>
        <v>0.34451548991354469</v>
      </c>
      <c r="E13" s="20">
        <v>11055</v>
      </c>
      <c r="F13" s="20">
        <v>6894</v>
      </c>
      <c r="G13" s="17">
        <v>17949</v>
      </c>
      <c r="H13" s="20">
        <v>12011</v>
      </c>
      <c r="I13" s="20">
        <v>5640</v>
      </c>
      <c r="J13" s="20">
        <v>298</v>
      </c>
      <c r="K13" s="20">
        <v>4264</v>
      </c>
      <c r="L13" s="20">
        <v>4545</v>
      </c>
      <c r="M13" s="20">
        <v>3246</v>
      </c>
      <c r="N13">
        <v>757</v>
      </c>
      <c r="O13">
        <v>350</v>
      </c>
      <c r="P13" s="18">
        <v>4456</v>
      </c>
      <c r="Q13">
        <v>20431</v>
      </c>
      <c r="R13" s="20">
        <v>19657</v>
      </c>
      <c r="S13">
        <v>0</v>
      </c>
      <c r="T13" s="17">
        <v>22208</v>
      </c>
      <c r="U13" s="17">
        <v>3071</v>
      </c>
      <c r="V13" s="17">
        <v>8803800</v>
      </c>
      <c r="W13">
        <v>7651</v>
      </c>
      <c r="X13" s="17">
        <v>3498</v>
      </c>
      <c r="Y13" s="17">
        <v>191</v>
      </c>
      <c r="Z13">
        <v>1228</v>
      </c>
      <c r="AA13">
        <v>52</v>
      </c>
      <c r="AB13">
        <v>304975801</v>
      </c>
      <c r="AC13">
        <v>622114908</v>
      </c>
      <c r="AD13">
        <v>2818965</v>
      </c>
      <c r="AF13">
        <v>224403487</v>
      </c>
      <c r="AG13">
        <v>24307164934</v>
      </c>
      <c r="AH13">
        <v>2901860918</v>
      </c>
      <c r="AI13">
        <v>30076184</v>
      </c>
      <c r="AJ13">
        <v>307</v>
      </c>
      <c r="AK13">
        <v>158</v>
      </c>
      <c r="AL13">
        <v>1340981710</v>
      </c>
      <c r="AM13">
        <v>227</v>
      </c>
      <c r="AN13">
        <v>158</v>
      </c>
      <c r="AO13">
        <v>80491075</v>
      </c>
      <c r="AP13">
        <v>227</v>
      </c>
      <c r="AQ13">
        <v>3169</v>
      </c>
      <c r="AR13">
        <v>23910530</v>
      </c>
      <c r="AS13" s="17" t="s">
        <v>59</v>
      </c>
      <c r="AT13" s="17">
        <v>3.35</v>
      </c>
      <c r="AU13" s="22">
        <v>1645</v>
      </c>
      <c r="AV13" s="4">
        <v>1875</v>
      </c>
      <c r="AW13" s="5" t="s">
        <v>194</v>
      </c>
      <c r="AX13" s="13" t="s">
        <v>213</v>
      </c>
      <c r="AY13" s="17">
        <v>43.49</v>
      </c>
      <c r="AZ13" s="10">
        <f t="shared" si="1"/>
        <v>8809</v>
      </c>
      <c r="BA13">
        <v>140</v>
      </c>
      <c r="BB13">
        <v>1</v>
      </c>
      <c r="BE13" s="25"/>
    </row>
    <row r="14" spans="1:57" x14ac:dyDescent="0.35">
      <c r="A14" s="18">
        <v>12</v>
      </c>
      <c r="B14" s="18" t="s">
        <v>80</v>
      </c>
      <c r="C14">
        <v>6328</v>
      </c>
      <c r="D14">
        <f t="shared" si="0"/>
        <v>5.7405845980888139E-2</v>
      </c>
      <c r="E14" s="20">
        <v>2939</v>
      </c>
      <c r="F14" s="20">
        <v>2224</v>
      </c>
      <c r="G14" s="18">
        <v>5163</v>
      </c>
      <c r="H14" s="20">
        <v>4316</v>
      </c>
      <c r="I14" s="20">
        <v>555</v>
      </c>
      <c r="J14" s="20">
        <v>292</v>
      </c>
      <c r="K14" s="20">
        <v>488</v>
      </c>
      <c r="L14" s="20">
        <v>2643</v>
      </c>
      <c r="M14" s="20">
        <v>3131</v>
      </c>
      <c r="N14">
        <v>0</v>
      </c>
      <c r="O14">
        <v>0</v>
      </c>
      <c r="P14" s="18">
        <v>0</v>
      </c>
      <c r="Q14">
        <v>8112</v>
      </c>
      <c r="R14" s="20">
        <v>7612</v>
      </c>
      <c r="S14">
        <v>2</v>
      </c>
      <c r="T14" s="18">
        <v>14232</v>
      </c>
      <c r="U14" s="18">
        <v>2536</v>
      </c>
      <c r="V14" s="18">
        <v>5560000</v>
      </c>
      <c r="W14">
        <v>817</v>
      </c>
      <c r="X14" s="18">
        <v>1400</v>
      </c>
      <c r="Y14" s="18">
        <v>0</v>
      </c>
      <c r="Z14">
        <v>1233</v>
      </c>
      <c r="AA14">
        <v>0</v>
      </c>
      <c r="AB14">
        <v>274359666</v>
      </c>
      <c r="AC14">
        <v>432651322</v>
      </c>
      <c r="AD14">
        <v>75563843</v>
      </c>
      <c r="AF14">
        <v>711090388</v>
      </c>
      <c r="AG14">
        <v>3622969286</v>
      </c>
      <c r="AH14">
        <v>7257550271</v>
      </c>
      <c r="AI14">
        <v>100034193</v>
      </c>
      <c r="AJ14">
        <v>346</v>
      </c>
      <c r="AK14">
        <v>58</v>
      </c>
      <c r="AL14">
        <v>1571244858</v>
      </c>
      <c r="AM14">
        <v>67</v>
      </c>
      <c r="AN14">
        <v>67</v>
      </c>
      <c r="AO14">
        <v>113246500</v>
      </c>
      <c r="AP14">
        <v>114</v>
      </c>
      <c r="AQ14">
        <v>22707</v>
      </c>
      <c r="AR14">
        <v>39560473</v>
      </c>
      <c r="AS14" s="18" t="s">
        <v>59</v>
      </c>
      <c r="AT14" s="18">
        <v>3.6</v>
      </c>
      <c r="AU14" s="23">
        <v>752</v>
      </c>
      <c r="AV14" s="4">
        <v>1949</v>
      </c>
      <c r="AW14" s="5" t="s">
        <v>194</v>
      </c>
      <c r="AX14" s="13" t="s">
        <v>196</v>
      </c>
      <c r="AY14" s="18">
        <v>41.88</v>
      </c>
      <c r="AZ14" s="10">
        <f t="shared" si="1"/>
        <v>3131</v>
      </c>
      <c r="BA14">
        <v>8</v>
      </c>
      <c r="BB14">
        <v>0</v>
      </c>
      <c r="BE14" s="25"/>
    </row>
    <row r="15" spans="1:57" x14ac:dyDescent="0.35">
      <c r="A15" s="17">
        <v>13</v>
      </c>
      <c r="B15" s="17" t="s">
        <v>70</v>
      </c>
      <c r="C15">
        <v>28211</v>
      </c>
      <c r="D15">
        <f t="shared" si="0"/>
        <v>7.5911320573242277E-2</v>
      </c>
      <c r="E15" s="20">
        <v>12650</v>
      </c>
      <c r="F15" s="20">
        <v>11169</v>
      </c>
      <c r="G15" s="17">
        <v>23819</v>
      </c>
      <c r="H15" s="20">
        <v>8223</v>
      </c>
      <c r="I15" s="20">
        <v>15263</v>
      </c>
      <c r="J15" s="20">
        <v>333</v>
      </c>
      <c r="K15" s="20">
        <v>1250</v>
      </c>
      <c r="L15" s="20">
        <v>11456</v>
      </c>
      <c r="M15" s="20">
        <v>161</v>
      </c>
      <c r="N15">
        <v>580</v>
      </c>
      <c r="O15">
        <v>0</v>
      </c>
      <c r="P15" s="18">
        <v>11965</v>
      </c>
      <c r="Q15">
        <v>32738</v>
      </c>
      <c r="R15" s="20">
        <v>30300</v>
      </c>
      <c r="S15">
        <v>0</v>
      </c>
      <c r="T15" s="17">
        <v>41588</v>
      </c>
      <c r="U15" s="17">
        <v>3426</v>
      </c>
      <c r="V15" s="17">
        <v>22050000</v>
      </c>
      <c r="W15">
        <v>3157</v>
      </c>
      <c r="X15" s="17">
        <v>3652</v>
      </c>
      <c r="Y15" s="17">
        <v>0</v>
      </c>
      <c r="Z15">
        <v>1758</v>
      </c>
      <c r="AA15">
        <v>0</v>
      </c>
      <c r="AB15">
        <v>213260114</v>
      </c>
      <c r="AC15">
        <v>612841371</v>
      </c>
      <c r="AD15">
        <v>1447736</v>
      </c>
      <c r="AF15">
        <v>538877543</v>
      </c>
      <c r="AG15">
        <v>22821775815</v>
      </c>
      <c r="AH15">
        <v>4745981011</v>
      </c>
      <c r="AI15">
        <v>18906043</v>
      </c>
      <c r="AJ15">
        <v>1114</v>
      </c>
      <c r="AK15">
        <v>135</v>
      </c>
      <c r="AL15">
        <v>1126401395</v>
      </c>
      <c r="AM15">
        <v>15</v>
      </c>
      <c r="AN15">
        <v>14</v>
      </c>
      <c r="AO15">
        <v>9053507</v>
      </c>
      <c r="AP15">
        <v>6</v>
      </c>
      <c r="AQ15">
        <v>1097</v>
      </c>
      <c r="AR15">
        <v>106428740</v>
      </c>
      <c r="AS15" s="17" t="s">
        <v>59</v>
      </c>
      <c r="AT15" s="17">
        <v>3.28</v>
      </c>
      <c r="AU15" s="22">
        <v>1135</v>
      </c>
      <c r="AV15" s="4">
        <v>1922</v>
      </c>
      <c r="AW15" s="5" t="s">
        <v>194</v>
      </c>
      <c r="AX15" s="13" t="s">
        <v>196</v>
      </c>
      <c r="AY15" s="17">
        <v>56.15</v>
      </c>
      <c r="AZ15" s="10">
        <f t="shared" si="1"/>
        <v>12706</v>
      </c>
      <c r="BA15">
        <v>10</v>
      </c>
      <c r="BB15">
        <v>2</v>
      </c>
      <c r="BE15" s="25"/>
    </row>
    <row r="16" spans="1:57" x14ac:dyDescent="0.35">
      <c r="A16" s="18">
        <v>14</v>
      </c>
      <c r="B16" s="18" t="s">
        <v>84</v>
      </c>
      <c r="C16">
        <v>2177</v>
      </c>
      <c r="D16">
        <f t="shared" si="0"/>
        <v>0.13967136150234741</v>
      </c>
      <c r="E16" s="20">
        <v>973</v>
      </c>
      <c r="F16" s="20">
        <v>403</v>
      </c>
      <c r="G16" s="18">
        <v>2098</v>
      </c>
      <c r="H16" s="20">
        <v>1061</v>
      </c>
      <c r="I16" s="20">
        <v>312</v>
      </c>
      <c r="J16" s="20">
        <v>3</v>
      </c>
      <c r="K16" s="20">
        <v>66</v>
      </c>
      <c r="L16" s="20">
        <v>383</v>
      </c>
      <c r="M16" s="20">
        <v>297</v>
      </c>
      <c r="N16">
        <v>0</v>
      </c>
      <c r="O16">
        <v>41</v>
      </c>
      <c r="P16" s="18">
        <v>111</v>
      </c>
      <c r="Q16">
        <v>1833</v>
      </c>
      <c r="R16" s="20">
        <v>1406</v>
      </c>
      <c r="S16">
        <v>0</v>
      </c>
      <c r="T16" s="18">
        <v>2556</v>
      </c>
      <c r="U16" s="18">
        <v>791</v>
      </c>
      <c r="V16" s="18">
        <v>3360000</v>
      </c>
      <c r="W16">
        <v>357</v>
      </c>
      <c r="X16" s="18">
        <v>407</v>
      </c>
      <c r="Y16" s="18">
        <v>45</v>
      </c>
      <c r="Z16">
        <v>461</v>
      </c>
      <c r="AA16">
        <v>23</v>
      </c>
      <c r="AB16">
        <v>258017963</v>
      </c>
      <c r="AC16">
        <v>1173162596</v>
      </c>
      <c r="AD16">
        <v>10158476</v>
      </c>
      <c r="AF16">
        <v>258193314</v>
      </c>
      <c r="AG16">
        <v>1351480018</v>
      </c>
      <c r="AH16">
        <v>1355968732</v>
      </c>
      <c r="AI16">
        <v>61159265</v>
      </c>
      <c r="AJ16">
        <v>484</v>
      </c>
      <c r="AK16">
        <v>251</v>
      </c>
      <c r="AL16">
        <v>859548669</v>
      </c>
      <c r="AM16">
        <v>501</v>
      </c>
      <c r="AN16">
        <v>385</v>
      </c>
      <c r="AO16">
        <v>136478365</v>
      </c>
      <c r="AP16">
        <v>6</v>
      </c>
      <c r="AQ16">
        <v>182</v>
      </c>
      <c r="AR16">
        <v>21475000</v>
      </c>
      <c r="AS16" s="18" t="s">
        <v>59</v>
      </c>
      <c r="AT16" s="18">
        <v>3.77</v>
      </c>
      <c r="AU16" s="23">
        <v>195</v>
      </c>
      <c r="AV16" s="4">
        <v>1933</v>
      </c>
      <c r="AW16" s="5" t="s">
        <v>207</v>
      </c>
      <c r="AX16" s="13" t="s">
        <v>196</v>
      </c>
      <c r="AY16" s="18">
        <v>42.91</v>
      </c>
      <c r="AZ16" s="10">
        <f t="shared" si="1"/>
        <v>449</v>
      </c>
      <c r="BA16">
        <v>9</v>
      </c>
      <c r="BB16">
        <v>0</v>
      </c>
      <c r="BE16" s="25"/>
    </row>
    <row r="17" spans="1:57" x14ac:dyDescent="0.35">
      <c r="A17" s="17">
        <v>15</v>
      </c>
      <c r="B17" s="17" t="s">
        <v>82</v>
      </c>
      <c r="C17">
        <v>3225</v>
      </c>
      <c r="D17">
        <f t="shared" si="0"/>
        <v>0.18441665521506115</v>
      </c>
      <c r="E17" s="20">
        <v>1294</v>
      </c>
      <c r="F17" s="20">
        <v>1848</v>
      </c>
      <c r="G17" s="17">
        <v>3142</v>
      </c>
      <c r="H17" s="20">
        <v>2380</v>
      </c>
      <c r="I17" s="20">
        <v>741</v>
      </c>
      <c r="J17" s="20">
        <v>21</v>
      </c>
      <c r="K17" s="20">
        <v>2820</v>
      </c>
      <c r="L17" s="20">
        <v>322</v>
      </c>
      <c r="M17" s="20">
        <v>2292</v>
      </c>
      <c r="N17">
        <v>108</v>
      </c>
      <c r="O17">
        <v>421</v>
      </c>
      <c r="P17" s="18">
        <v>321</v>
      </c>
      <c r="Q17">
        <v>4395</v>
      </c>
      <c r="R17" s="20">
        <v>4230</v>
      </c>
      <c r="S17">
        <v>0</v>
      </c>
      <c r="T17" s="17">
        <v>7277</v>
      </c>
      <c r="U17" s="17">
        <v>2277</v>
      </c>
      <c r="V17" s="17">
        <v>3772000</v>
      </c>
      <c r="W17">
        <v>1342</v>
      </c>
      <c r="X17" s="17">
        <v>633</v>
      </c>
      <c r="Y17" s="17">
        <v>233</v>
      </c>
      <c r="Z17">
        <v>411</v>
      </c>
      <c r="AA17">
        <v>1330</v>
      </c>
      <c r="AB17">
        <v>186095041</v>
      </c>
      <c r="AC17">
        <v>312407311</v>
      </c>
      <c r="AD17">
        <v>0</v>
      </c>
      <c r="AF17">
        <v>1610827</v>
      </c>
      <c r="AG17">
        <v>1711088927</v>
      </c>
      <c r="AH17">
        <v>1712347300</v>
      </c>
      <c r="AI17">
        <v>10704634</v>
      </c>
      <c r="AJ17">
        <v>322</v>
      </c>
      <c r="AK17">
        <v>80</v>
      </c>
      <c r="AL17">
        <v>920648358</v>
      </c>
      <c r="AM17">
        <v>25</v>
      </c>
      <c r="AN17">
        <v>20</v>
      </c>
      <c r="AO17">
        <v>11773000</v>
      </c>
      <c r="AP17">
        <v>9</v>
      </c>
      <c r="AQ17">
        <v>500</v>
      </c>
      <c r="AR17">
        <v>1216600</v>
      </c>
      <c r="AS17" s="17" t="s">
        <v>59</v>
      </c>
      <c r="AT17" s="17">
        <v>3.11</v>
      </c>
      <c r="AU17" s="22">
        <v>281</v>
      </c>
      <c r="AV17" s="4">
        <v>1982</v>
      </c>
      <c r="AW17" s="5" t="s">
        <v>207</v>
      </c>
      <c r="AX17" s="13" t="s">
        <v>213</v>
      </c>
      <c r="AY17" s="17">
        <v>36.880000000000003</v>
      </c>
      <c r="AZ17" s="10">
        <f t="shared" si="1"/>
        <v>3142</v>
      </c>
      <c r="BA17">
        <v>12</v>
      </c>
      <c r="BB17">
        <v>2</v>
      </c>
      <c r="BE17" s="27"/>
    </row>
    <row r="18" spans="1:57" x14ac:dyDescent="0.35">
      <c r="A18" s="18">
        <v>16</v>
      </c>
      <c r="B18" s="18" t="s">
        <v>76</v>
      </c>
      <c r="C18">
        <v>14498</v>
      </c>
      <c r="D18">
        <f t="shared" si="0"/>
        <v>0.1065566337172395</v>
      </c>
      <c r="E18" s="20">
        <v>6187</v>
      </c>
      <c r="F18" s="20">
        <v>7846</v>
      </c>
      <c r="G18" s="18">
        <v>14033</v>
      </c>
      <c r="H18" s="20">
        <v>4667</v>
      </c>
      <c r="I18" s="20">
        <v>9175</v>
      </c>
      <c r="J18" s="20">
        <v>191</v>
      </c>
      <c r="K18" s="20">
        <v>2887</v>
      </c>
      <c r="L18" s="20">
        <v>4201</v>
      </c>
      <c r="M18" s="20">
        <v>125</v>
      </c>
      <c r="N18">
        <v>1036</v>
      </c>
      <c r="O18">
        <v>0</v>
      </c>
      <c r="P18" s="18">
        <v>5927</v>
      </c>
      <c r="Q18">
        <v>9623</v>
      </c>
      <c r="R18" s="20">
        <v>6716</v>
      </c>
      <c r="S18">
        <v>187</v>
      </c>
      <c r="T18" s="18">
        <v>11027</v>
      </c>
      <c r="U18" s="18">
        <v>7104</v>
      </c>
      <c r="V18" s="18">
        <v>6840000</v>
      </c>
      <c r="W18">
        <v>1175</v>
      </c>
      <c r="X18" s="18">
        <v>1007</v>
      </c>
      <c r="Y18" s="18">
        <v>141</v>
      </c>
      <c r="Z18">
        <v>255</v>
      </c>
      <c r="AA18">
        <v>23</v>
      </c>
      <c r="AB18">
        <v>259444385</v>
      </c>
      <c r="AC18">
        <v>3447873554</v>
      </c>
      <c r="AD18">
        <v>298118486</v>
      </c>
      <c r="AF18">
        <v>464299569</v>
      </c>
      <c r="AG18">
        <v>7814818389</v>
      </c>
      <c r="AH18">
        <v>7694016320</v>
      </c>
      <c r="AI18">
        <v>149548643</v>
      </c>
      <c r="AJ18">
        <v>250</v>
      </c>
      <c r="AK18">
        <v>102</v>
      </c>
      <c r="AL18">
        <v>225033000</v>
      </c>
      <c r="AM18">
        <v>172</v>
      </c>
      <c r="AN18">
        <v>103</v>
      </c>
      <c r="AO18">
        <v>909667969</v>
      </c>
      <c r="AP18">
        <v>6</v>
      </c>
      <c r="AQ18">
        <v>129</v>
      </c>
      <c r="AR18">
        <v>6450000</v>
      </c>
      <c r="AS18" s="18" t="s">
        <v>59</v>
      </c>
      <c r="AT18" s="18">
        <v>3.88</v>
      </c>
      <c r="AU18" s="23">
        <v>1161</v>
      </c>
      <c r="AV18" s="4">
        <v>1996</v>
      </c>
      <c r="AW18" s="5" t="s">
        <v>217</v>
      </c>
      <c r="AX18" s="13" t="s">
        <v>213</v>
      </c>
      <c r="AY18" s="18">
        <v>49.08</v>
      </c>
      <c r="AZ18" s="10">
        <f t="shared" si="1"/>
        <v>7088</v>
      </c>
      <c r="BA18">
        <v>10</v>
      </c>
      <c r="BB18">
        <v>0</v>
      </c>
      <c r="BE18" s="25"/>
    </row>
    <row r="19" spans="1:57" x14ac:dyDescent="0.35">
      <c r="A19" s="17">
        <v>17</v>
      </c>
      <c r="B19" s="17" t="s">
        <v>78</v>
      </c>
      <c r="C19">
        <v>1687</v>
      </c>
      <c r="D19">
        <f t="shared" si="0"/>
        <v>0.17181314330958036</v>
      </c>
      <c r="E19" s="20">
        <v>999</v>
      </c>
      <c r="F19" s="20">
        <v>432</v>
      </c>
      <c r="G19" s="17">
        <v>1431</v>
      </c>
      <c r="H19" s="20">
        <v>522</v>
      </c>
      <c r="I19" s="20">
        <v>909</v>
      </c>
      <c r="J19" s="20">
        <v>0</v>
      </c>
      <c r="K19" s="20">
        <v>5</v>
      </c>
      <c r="L19" s="20">
        <v>567</v>
      </c>
      <c r="M19" s="20">
        <v>267</v>
      </c>
      <c r="N19">
        <v>0</v>
      </c>
      <c r="O19">
        <v>0</v>
      </c>
      <c r="P19" s="18">
        <v>305</v>
      </c>
      <c r="Q19">
        <v>1519</v>
      </c>
      <c r="R19" s="20">
        <v>1065</v>
      </c>
      <c r="S19">
        <v>0</v>
      </c>
      <c r="T19" s="17">
        <v>1263</v>
      </c>
      <c r="U19" s="17">
        <v>603</v>
      </c>
      <c r="V19" s="17">
        <v>9352000</v>
      </c>
      <c r="W19">
        <v>217</v>
      </c>
      <c r="X19" s="17">
        <v>2226</v>
      </c>
      <c r="Y19" s="17">
        <v>0</v>
      </c>
      <c r="Z19">
        <v>812</v>
      </c>
      <c r="AA19">
        <v>0</v>
      </c>
      <c r="AB19">
        <v>1612392164</v>
      </c>
      <c r="AC19">
        <v>4613003668</v>
      </c>
      <c r="AD19">
        <v>464302899</v>
      </c>
      <c r="AF19">
        <v>1148855182</v>
      </c>
      <c r="AG19">
        <v>10140863437</v>
      </c>
      <c r="AH19">
        <v>4162254970</v>
      </c>
      <c r="AI19">
        <v>108479190</v>
      </c>
      <c r="AJ19">
        <v>2828</v>
      </c>
      <c r="AK19">
        <v>573</v>
      </c>
      <c r="AL19">
        <v>5822210509</v>
      </c>
      <c r="AM19">
        <v>10</v>
      </c>
      <c r="AN19">
        <v>10</v>
      </c>
      <c r="AO19">
        <v>17435820</v>
      </c>
      <c r="AP19">
        <v>0</v>
      </c>
      <c r="AQ19">
        <v>0</v>
      </c>
      <c r="AR19">
        <v>0</v>
      </c>
      <c r="AS19" s="17" t="s">
        <v>59</v>
      </c>
      <c r="AT19" s="17">
        <v>3.4</v>
      </c>
      <c r="AU19" s="22">
        <v>1046</v>
      </c>
      <c r="AV19" s="4">
        <v>2005</v>
      </c>
      <c r="AW19" s="5" t="s">
        <v>194</v>
      </c>
      <c r="AX19" s="13" t="s">
        <v>196</v>
      </c>
      <c r="AY19" s="17">
        <v>27.71</v>
      </c>
      <c r="AZ19" s="10">
        <f t="shared" si="1"/>
        <v>572</v>
      </c>
      <c r="BA19">
        <v>15</v>
      </c>
      <c r="BB19">
        <v>0</v>
      </c>
      <c r="BE19" s="25"/>
    </row>
    <row r="20" spans="1:57" x14ac:dyDescent="0.35">
      <c r="A20" s="18">
        <v>18</v>
      </c>
      <c r="B20" s="18" t="s">
        <v>478</v>
      </c>
      <c r="C20">
        <v>13198</v>
      </c>
      <c r="D20">
        <f t="shared" si="0"/>
        <v>6.4498933901918978E-2</v>
      </c>
      <c r="E20" s="20">
        <v>11836</v>
      </c>
      <c r="F20" s="20">
        <v>2195</v>
      </c>
      <c r="G20" s="18">
        <v>14031</v>
      </c>
      <c r="H20" s="20">
        <v>1984</v>
      </c>
      <c r="I20" s="20">
        <v>11690</v>
      </c>
      <c r="J20" s="20">
        <v>357</v>
      </c>
      <c r="K20" s="20">
        <v>3628</v>
      </c>
      <c r="L20" s="20">
        <v>863</v>
      </c>
      <c r="M20" s="20">
        <v>1</v>
      </c>
      <c r="N20">
        <v>39</v>
      </c>
      <c r="O20">
        <v>6</v>
      </c>
      <c r="P20" s="18">
        <v>4445</v>
      </c>
      <c r="Q20">
        <v>9281</v>
      </c>
      <c r="R20" s="20">
        <v>6975</v>
      </c>
      <c r="S20">
        <v>0</v>
      </c>
      <c r="T20" s="18">
        <v>11256</v>
      </c>
      <c r="U20" s="18">
        <v>7830</v>
      </c>
      <c r="V20" s="18">
        <v>6650000</v>
      </c>
      <c r="W20">
        <v>726</v>
      </c>
      <c r="X20" s="18">
        <v>1171</v>
      </c>
      <c r="Y20" s="18">
        <v>326</v>
      </c>
      <c r="Z20">
        <v>255</v>
      </c>
      <c r="AA20">
        <v>61</v>
      </c>
      <c r="AB20">
        <v>1690968164</v>
      </c>
      <c r="AC20">
        <v>1862779804</v>
      </c>
      <c r="AD20">
        <v>67636817</v>
      </c>
      <c r="AF20">
        <v>572932484</v>
      </c>
      <c r="AG20">
        <v>7802820644</v>
      </c>
      <c r="AH20">
        <v>5041498175</v>
      </c>
      <c r="AI20">
        <v>36921481</v>
      </c>
      <c r="AJ20">
        <v>912</v>
      </c>
      <c r="AK20">
        <v>264</v>
      </c>
      <c r="AL20">
        <v>997463557</v>
      </c>
      <c r="AM20">
        <v>76</v>
      </c>
      <c r="AN20">
        <v>66</v>
      </c>
      <c r="AO20">
        <v>38969741</v>
      </c>
      <c r="AP20">
        <v>21</v>
      </c>
      <c r="AQ20">
        <v>2020</v>
      </c>
      <c r="AR20">
        <v>227383753</v>
      </c>
      <c r="AS20" s="18" t="s">
        <v>59</v>
      </c>
      <c r="AT20" s="18">
        <v>3.45</v>
      </c>
      <c r="AU20" s="23">
        <v>835</v>
      </c>
      <c r="AV20" s="4">
        <v>1964</v>
      </c>
      <c r="AW20" s="5" t="s">
        <v>217</v>
      </c>
      <c r="AX20" s="13" t="s">
        <v>219</v>
      </c>
      <c r="AY20" s="18">
        <v>43.08</v>
      </c>
      <c r="AZ20" s="10">
        <f t="shared" si="1"/>
        <v>4491</v>
      </c>
      <c r="BA20">
        <v>200</v>
      </c>
      <c r="BB20">
        <v>1</v>
      </c>
      <c r="BE20" s="25"/>
    </row>
    <row r="21" spans="1:57" x14ac:dyDescent="0.35">
      <c r="A21" s="17">
        <v>19</v>
      </c>
      <c r="B21" s="17" t="s">
        <v>79</v>
      </c>
      <c r="C21">
        <v>55974</v>
      </c>
      <c r="D21">
        <f t="shared" si="0"/>
        <v>0.16221540665786116</v>
      </c>
      <c r="E21" s="20">
        <v>29416</v>
      </c>
      <c r="F21" s="20">
        <v>18830</v>
      </c>
      <c r="G21" s="17">
        <v>48246</v>
      </c>
      <c r="H21" s="20">
        <v>13757</v>
      </c>
      <c r="I21" s="20">
        <v>33626</v>
      </c>
      <c r="J21" s="20">
        <v>863</v>
      </c>
      <c r="K21" s="20">
        <v>4476</v>
      </c>
      <c r="L21" s="20">
        <v>24927</v>
      </c>
      <c r="M21" s="20">
        <v>32</v>
      </c>
      <c r="N21">
        <v>3931</v>
      </c>
      <c r="O21">
        <v>349</v>
      </c>
      <c r="P21" s="18">
        <v>25091</v>
      </c>
      <c r="Q21">
        <v>47281</v>
      </c>
      <c r="R21" s="20">
        <v>32600</v>
      </c>
      <c r="S21">
        <v>69</v>
      </c>
      <c r="T21" s="17">
        <v>44669</v>
      </c>
      <c r="U21" s="17">
        <v>29676</v>
      </c>
      <c r="V21" s="17">
        <v>9484000</v>
      </c>
      <c r="W21">
        <v>7246</v>
      </c>
      <c r="X21" s="17">
        <v>1437</v>
      </c>
      <c r="Y21" s="17">
        <v>719</v>
      </c>
      <c r="Z21">
        <v>202</v>
      </c>
      <c r="AA21">
        <v>328</v>
      </c>
      <c r="AB21">
        <v>628538656</v>
      </c>
      <c r="AC21">
        <v>1664138999</v>
      </c>
      <c r="AD21">
        <v>122557698</v>
      </c>
      <c r="AF21">
        <v>1389549690</v>
      </c>
      <c r="AG21">
        <v>16712501524</v>
      </c>
      <c r="AH21">
        <v>25822124170</v>
      </c>
      <c r="AI21">
        <v>248611524</v>
      </c>
      <c r="AJ21">
        <v>333</v>
      </c>
      <c r="AK21">
        <v>76</v>
      </c>
      <c r="AL21">
        <v>431983767</v>
      </c>
      <c r="AM21">
        <v>578</v>
      </c>
      <c r="AN21">
        <v>408</v>
      </c>
      <c r="AO21">
        <v>124945928</v>
      </c>
      <c r="AP21">
        <v>17</v>
      </c>
      <c r="AQ21">
        <v>894</v>
      </c>
      <c r="AR21">
        <v>15103250</v>
      </c>
      <c r="AS21" s="17" t="s">
        <v>59</v>
      </c>
      <c r="AT21" s="17">
        <v>3.55</v>
      </c>
      <c r="AU21" s="22">
        <v>3624</v>
      </c>
      <c r="AV21" s="4">
        <v>1985</v>
      </c>
      <c r="AW21" s="5" t="s">
        <v>217</v>
      </c>
      <c r="AX21" s="13" t="s">
        <v>196</v>
      </c>
      <c r="AY21" s="17">
        <v>47.6</v>
      </c>
      <c r="AZ21" s="10">
        <f t="shared" si="1"/>
        <v>29403</v>
      </c>
      <c r="BA21">
        <v>45</v>
      </c>
      <c r="BB21">
        <v>1</v>
      </c>
      <c r="BE21" s="25"/>
    </row>
    <row r="22" spans="1:57" x14ac:dyDescent="0.35">
      <c r="A22" s="18">
        <v>20</v>
      </c>
      <c r="B22" s="18" t="s">
        <v>77</v>
      </c>
      <c r="C22">
        <v>24321</v>
      </c>
      <c r="D22">
        <f t="shared" si="0"/>
        <v>4.6670059903684273E-2</v>
      </c>
      <c r="E22" s="20">
        <v>11899</v>
      </c>
      <c r="F22" s="20">
        <v>12909</v>
      </c>
      <c r="G22" s="18">
        <v>24808</v>
      </c>
      <c r="H22" s="20">
        <v>1859</v>
      </c>
      <c r="I22" s="20">
        <v>21057</v>
      </c>
      <c r="J22" s="20">
        <v>1892</v>
      </c>
      <c r="K22" s="20">
        <v>1362</v>
      </c>
      <c r="L22" s="20">
        <v>4773</v>
      </c>
      <c r="M22" s="20">
        <v>328</v>
      </c>
      <c r="N22">
        <v>4541</v>
      </c>
      <c r="O22">
        <v>574</v>
      </c>
      <c r="P22" s="18">
        <v>692</v>
      </c>
      <c r="Q22">
        <v>20048</v>
      </c>
      <c r="R22" s="20">
        <v>17121</v>
      </c>
      <c r="S22">
        <v>199</v>
      </c>
      <c r="T22" s="18">
        <v>25541</v>
      </c>
      <c r="U22" s="18">
        <v>19670</v>
      </c>
      <c r="V22" s="18">
        <v>13750000</v>
      </c>
      <c r="W22">
        <v>1192</v>
      </c>
      <c r="X22" s="18">
        <v>1282</v>
      </c>
      <c r="Y22" s="18">
        <v>0</v>
      </c>
      <c r="Z22">
        <v>304</v>
      </c>
      <c r="AA22">
        <v>0</v>
      </c>
      <c r="AB22">
        <v>784185002</v>
      </c>
      <c r="AC22">
        <v>1539082005</v>
      </c>
      <c r="AD22">
        <v>0</v>
      </c>
      <c r="AF22">
        <v>983952519</v>
      </c>
      <c r="AG22">
        <v>8206788834</v>
      </c>
      <c r="AH22">
        <v>5738022504</v>
      </c>
      <c r="AI22">
        <v>613605910</v>
      </c>
      <c r="AJ22">
        <v>330</v>
      </c>
      <c r="AK22">
        <v>119</v>
      </c>
      <c r="AL22">
        <v>273622018</v>
      </c>
      <c r="AM22">
        <v>131</v>
      </c>
      <c r="AN22">
        <v>56</v>
      </c>
      <c r="AO22">
        <v>642563643</v>
      </c>
      <c r="AP22">
        <v>0</v>
      </c>
      <c r="AQ22">
        <v>0</v>
      </c>
      <c r="AR22">
        <v>0</v>
      </c>
      <c r="AS22" s="18" t="s">
        <v>59</v>
      </c>
      <c r="AT22" s="18">
        <v>3.48</v>
      </c>
      <c r="AU22" s="23">
        <v>1898</v>
      </c>
      <c r="AV22" s="4">
        <v>1992</v>
      </c>
      <c r="AW22" s="5" t="s">
        <v>217</v>
      </c>
      <c r="AX22" s="13" t="s">
        <v>213</v>
      </c>
      <c r="AY22" s="18">
        <v>36.4</v>
      </c>
      <c r="AZ22" s="10">
        <f t="shared" si="1"/>
        <v>6135</v>
      </c>
      <c r="BA22">
        <v>11</v>
      </c>
      <c r="BB22">
        <v>0</v>
      </c>
      <c r="BE22" s="25"/>
    </row>
    <row r="23" spans="1:57" x14ac:dyDescent="0.35">
      <c r="A23" s="17">
        <v>20</v>
      </c>
      <c r="B23" s="17" t="s">
        <v>73</v>
      </c>
      <c r="C23">
        <v>15643</v>
      </c>
      <c r="D23">
        <f t="shared" si="0"/>
        <v>3.4761904761904765E-2</v>
      </c>
      <c r="E23" s="20">
        <v>7508</v>
      </c>
      <c r="F23" s="20">
        <v>5316</v>
      </c>
      <c r="G23" s="17">
        <v>12824</v>
      </c>
      <c r="H23" s="20">
        <v>12414</v>
      </c>
      <c r="I23" s="20">
        <v>222</v>
      </c>
      <c r="J23" s="20">
        <v>188</v>
      </c>
      <c r="K23" s="20">
        <v>945</v>
      </c>
      <c r="L23" s="20">
        <v>9689</v>
      </c>
      <c r="M23" s="20">
        <v>4366</v>
      </c>
      <c r="N23">
        <v>3</v>
      </c>
      <c r="O23">
        <v>510</v>
      </c>
      <c r="P23" s="18">
        <v>5755</v>
      </c>
      <c r="Q23">
        <v>15343</v>
      </c>
      <c r="R23" s="20">
        <v>10533</v>
      </c>
      <c r="S23">
        <v>12</v>
      </c>
      <c r="T23" s="17">
        <v>16800</v>
      </c>
      <c r="U23" s="17">
        <v>5351</v>
      </c>
      <c r="V23" s="17">
        <v>6106000</v>
      </c>
      <c r="W23">
        <v>584</v>
      </c>
      <c r="X23" s="17">
        <v>1174</v>
      </c>
      <c r="Y23" s="17">
        <v>956</v>
      </c>
      <c r="Z23">
        <v>324</v>
      </c>
      <c r="AA23">
        <v>264</v>
      </c>
      <c r="AB23">
        <v>593189220</v>
      </c>
      <c r="AC23">
        <v>1146707353</v>
      </c>
      <c r="AD23">
        <v>5052016</v>
      </c>
      <c r="AF23">
        <v>1491254981</v>
      </c>
      <c r="AG23">
        <v>6781828899</v>
      </c>
      <c r="AH23">
        <v>1069829177</v>
      </c>
      <c r="AI23">
        <v>29198064</v>
      </c>
      <c r="AJ23">
        <v>283</v>
      </c>
      <c r="AK23">
        <v>117</v>
      </c>
      <c r="AL23">
        <v>1225244499</v>
      </c>
      <c r="AM23">
        <v>3557</v>
      </c>
      <c r="AN23">
        <v>1790</v>
      </c>
      <c r="AO23">
        <v>829556433</v>
      </c>
      <c r="AP23">
        <v>1</v>
      </c>
      <c r="AQ23">
        <v>12</v>
      </c>
      <c r="AR23">
        <v>2229100</v>
      </c>
      <c r="AS23" s="17" t="s">
        <v>74</v>
      </c>
      <c r="AT23" s="17" t="s">
        <v>495</v>
      </c>
      <c r="AU23" s="22">
        <v>977</v>
      </c>
      <c r="AV23" s="4">
        <v>1978</v>
      </c>
      <c r="AW23" s="5" t="s">
        <v>207</v>
      </c>
      <c r="AX23" s="13" t="s">
        <v>196</v>
      </c>
      <c r="AY23" s="17">
        <v>43.47</v>
      </c>
      <c r="AZ23" s="10">
        <f t="shared" si="1"/>
        <v>10634</v>
      </c>
      <c r="BA23">
        <v>10</v>
      </c>
      <c r="BB23">
        <v>1</v>
      </c>
      <c r="BE23" s="25"/>
    </row>
    <row r="24" spans="1:57" ht="15" customHeight="1" x14ac:dyDescent="0.35">
      <c r="A24" s="18">
        <v>22</v>
      </c>
      <c r="B24" s="18" t="s">
        <v>97</v>
      </c>
      <c r="C24">
        <v>7398</v>
      </c>
      <c r="D24">
        <f t="shared" si="0"/>
        <v>0.11288037244450443</v>
      </c>
      <c r="E24" s="20">
        <v>3784</v>
      </c>
      <c r="F24" s="20">
        <v>3440</v>
      </c>
      <c r="G24" s="18">
        <v>7224</v>
      </c>
      <c r="H24" s="20">
        <v>6725</v>
      </c>
      <c r="I24" s="20">
        <v>214</v>
      </c>
      <c r="J24" s="20">
        <v>285</v>
      </c>
      <c r="K24" s="20">
        <v>997</v>
      </c>
      <c r="L24" s="20">
        <v>5929</v>
      </c>
      <c r="M24" s="20">
        <v>6926</v>
      </c>
      <c r="N24">
        <v>0</v>
      </c>
      <c r="O24">
        <v>0</v>
      </c>
      <c r="P24" s="18">
        <v>0</v>
      </c>
      <c r="Q24">
        <v>9311</v>
      </c>
      <c r="R24" s="20">
        <v>8634</v>
      </c>
      <c r="S24">
        <v>0</v>
      </c>
      <c r="T24" s="18">
        <v>14821</v>
      </c>
      <c r="U24" s="18">
        <v>5590</v>
      </c>
      <c r="V24" s="18">
        <v>12390000</v>
      </c>
      <c r="W24">
        <v>1673</v>
      </c>
      <c r="X24" s="18">
        <v>2000</v>
      </c>
      <c r="Y24" s="18">
        <v>1200</v>
      </c>
      <c r="Z24">
        <v>476</v>
      </c>
      <c r="AA24">
        <v>673</v>
      </c>
      <c r="AB24">
        <v>141956254</v>
      </c>
      <c r="AC24">
        <v>467020879</v>
      </c>
      <c r="AD24">
        <v>6900000</v>
      </c>
      <c r="AF24">
        <v>448700000</v>
      </c>
      <c r="AG24">
        <v>13785127157</v>
      </c>
      <c r="AH24">
        <v>1678600000</v>
      </c>
      <c r="AI24">
        <v>533500000</v>
      </c>
      <c r="AJ24">
        <v>316</v>
      </c>
      <c r="AK24">
        <v>87</v>
      </c>
      <c r="AL24">
        <v>1761890133</v>
      </c>
      <c r="AM24">
        <v>569</v>
      </c>
      <c r="AN24">
        <v>212</v>
      </c>
      <c r="AO24">
        <v>698673000</v>
      </c>
      <c r="AP24">
        <v>123</v>
      </c>
      <c r="AQ24">
        <v>26661</v>
      </c>
      <c r="AR24">
        <v>481014500</v>
      </c>
      <c r="AS24" s="18" t="s">
        <v>59</v>
      </c>
      <c r="AT24" s="18">
        <v>3.52</v>
      </c>
      <c r="AU24" s="23">
        <v>445</v>
      </c>
      <c r="AV24" s="4">
        <v>1918</v>
      </c>
      <c r="AW24" s="5" t="s">
        <v>207</v>
      </c>
      <c r="AX24" s="13" t="s">
        <v>196</v>
      </c>
      <c r="AY24" s="18">
        <v>42.4</v>
      </c>
      <c r="AZ24" s="10">
        <f t="shared" si="1"/>
        <v>6926</v>
      </c>
      <c r="BA24">
        <v>5</v>
      </c>
      <c r="BB24">
        <v>0</v>
      </c>
      <c r="BE24" s="25"/>
    </row>
    <row r="25" spans="1:57" x14ac:dyDescent="0.35">
      <c r="A25" s="17">
        <v>22</v>
      </c>
      <c r="B25" s="17" t="s">
        <v>96</v>
      </c>
      <c r="C25">
        <v>40564</v>
      </c>
      <c r="D25">
        <f t="shared" si="0"/>
        <v>0.19312112796411024</v>
      </c>
      <c r="E25" s="20">
        <v>17709</v>
      </c>
      <c r="F25" s="20">
        <v>17795</v>
      </c>
      <c r="G25" s="17">
        <v>35504</v>
      </c>
      <c r="H25" s="20">
        <v>13739</v>
      </c>
      <c r="I25" s="20">
        <v>21607</v>
      </c>
      <c r="J25" s="20">
        <v>158</v>
      </c>
      <c r="K25" s="20">
        <v>1893</v>
      </c>
      <c r="L25" s="20">
        <v>5455</v>
      </c>
      <c r="M25" s="20">
        <v>0</v>
      </c>
      <c r="N25">
        <v>671</v>
      </c>
      <c r="O25">
        <v>0</v>
      </c>
      <c r="P25" s="18">
        <v>6677</v>
      </c>
      <c r="Q25">
        <v>37995</v>
      </c>
      <c r="R25" s="20">
        <v>33115</v>
      </c>
      <c r="S25">
        <v>0</v>
      </c>
      <c r="T25" s="17">
        <v>46810</v>
      </c>
      <c r="U25" s="17">
        <v>9485</v>
      </c>
      <c r="V25" s="17">
        <v>6442000</v>
      </c>
      <c r="W25">
        <v>9040</v>
      </c>
      <c r="X25" s="17">
        <v>700</v>
      </c>
      <c r="Y25" s="17">
        <v>1810</v>
      </c>
      <c r="Z25">
        <v>177</v>
      </c>
      <c r="AA25">
        <v>495</v>
      </c>
      <c r="AB25">
        <v>153319284</v>
      </c>
      <c r="AC25">
        <v>63093105</v>
      </c>
      <c r="AD25">
        <v>0</v>
      </c>
      <c r="AF25">
        <v>442458735</v>
      </c>
      <c r="AG25">
        <v>7311680767</v>
      </c>
      <c r="AH25">
        <v>14190688868</v>
      </c>
      <c r="AI25">
        <v>65488833</v>
      </c>
      <c r="AJ25">
        <v>393</v>
      </c>
      <c r="AK25">
        <v>120</v>
      </c>
      <c r="AL25">
        <v>445856357</v>
      </c>
      <c r="AM25">
        <v>26</v>
      </c>
      <c r="AN25">
        <v>22</v>
      </c>
      <c r="AO25">
        <v>4040777</v>
      </c>
      <c r="AP25">
        <v>272</v>
      </c>
      <c r="AQ25">
        <v>6984</v>
      </c>
      <c r="AR25">
        <v>374618173</v>
      </c>
      <c r="AS25" s="17" t="s">
        <v>59</v>
      </c>
      <c r="AT25" s="17">
        <v>3.27</v>
      </c>
      <c r="AU25" s="22">
        <v>1871</v>
      </c>
      <c r="AV25" s="4">
        <v>2005</v>
      </c>
      <c r="AW25" s="5" t="s">
        <v>217</v>
      </c>
      <c r="AX25" s="13" t="s">
        <v>219</v>
      </c>
      <c r="AY25" s="17">
        <v>33.4</v>
      </c>
      <c r="AZ25" s="10">
        <f t="shared" si="1"/>
        <v>7348</v>
      </c>
      <c r="BA25">
        <v>25</v>
      </c>
      <c r="BB25">
        <v>2</v>
      </c>
      <c r="BE25" s="25"/>
    </row>
    <row r="26" spans="1:57" x14ac:dyDescent="0.35">
      <c r="A26" s="18">
        <v>24</v>
      </c>
      <c r="B26" s="18" t="s">
        <v>87</v>
      </c>
      <c r="C26">
        <v>10163</v>
      </c>
      <c r="D26">
        <f t="shared" si="0"/>
        <v>8.3126404162232465E-2</v>
      </c>
      <c r="E26" s="20">
        <v>5595</v>
      </c>
      <c r="F26" s="20">
        <v>4240</v>
      </c>
      <c r="G26" s="18">
        <v>9635</v>
      </c>
      <c r="H26" s="20">
        <v>5371</v>
      </c>
      <c r="I26" s="20">
        <v>4449</v>
      </c>
      <c r="J26" s="20">
        <v>15</v>
      </c>
      <c r="K26" s="20">
        <v>1298</v>
      </c>
      <c r="L26" s="20">
        <v>1424</v>
      </c>
      <c r="M26" s="20">
        <v>81</v>
      </c>
      <c r="N26">
        <v>255</v>
      </c>
      <c r="O26">
        <v>33</v>
      </c>
      <c r="P26" s="18">
        <v>2353</v>
      </c>
      <c r="Q26">
        <v>7630</v>
      </c>
      <c r="R26" s="20">
        <v>5825</v>
      </c>
      <c r="S26">
        <v>21</v>
      </c>
      <c r="T26" s="18">
        <v>8457</v>
      </c>
      <c r="U26" s="18">
        <v>5476</v>
      </c>
      <c r="V26" s="18">
        <v>5890000</v>
      </c>
      <c r="W26">
        <v>703</v>
      </c>
      <c r="X26" s="18">
        <v>431</v>
      </c>
      <c r="Y26" s="18">
        <v>179</v>
      </c>
      <c r="Z26">
        <v>120</v>
      </c>
      <c r="AA26">
        <v>59</v>
      </c>
      <c r="AB26">
        <v>232117677</v>
      </c>
      <c r="AC26">
        <v>811517525</v>
      </c>
      <c r="AD26">
        <v>2708323</v>
      </c>
      <c r="AF26">
        <v>1631499142</v>
      </c>
      <c r="AG26">
        <v>2541894446</v>
      </c>
      <c r="AH26">
        <v>1981960337</v>
      </c>
      <c r="AI26">
        <v>133159734</v>
      </c>
      <c r="AJ26">
        <v>297</v>
      </c>
      <c r="AK26">
        <v>61</v>
      </c>
      <c r="AL26">
        <v>767978532</v>
      </c>
      <c r="AM26">
        <v>2360</v>
      </c>
      <c r="AN26">
        <v>406</v>
      </c>
      <c r="AO26">
        <v>601408461</v>
      </c>
      <c r="AP26">
        <v>6</v>
      </c>
      <c r="AQ26">
        <v>9436</v>
      </c>
      <c r="AR26">
        <v>124179100</v>
      </c>
      <c r="AS26" s="18" t="s">
        <v>59</v>
      </c>
      <c r="AT26" s="18">
        <v>3.76</v>
      </c>
      <c r="AU26" s="23">
        <v>722</v>
      </c>
      <c r="AV26" s="4">
        <v>1984</v>
      </c>
      <c r="AW26" s="5" t="s">
        <v>217</v>
      </c>
      <c r="AX26" s="13" t="s">
        <v>213</v>
      </c>
      <c r="AY26" s="18">
        <v>36.700000000000003</v>
      </c>
      <c r="AZ26" s="10">
        <f t="shared" si="1"/>
        <v>2722</v>
      </c>
      <c r="BA26">
        <v>16</v>
      </c>
      <c r="BB26">
        <v>0</v>
      </c>
      <c r="BE26" s="25"/>
    </row>
    <row r="27" spans="1:57" x14ac:dyDescent="0.35">
      <c r="A27" s="17">
        <v>25</v>
      </c>
      <c r="B27" s="17" t="s">
        <v>86</v>
      </c>
      <c r="C27">
        <v>22647</v>
      </c>
      <c r="D27">
        <f t="shared" si="0"/>
        <v>6.6270458940616006E-2</v>
      </c>
      <c r="E27" s="20">
        <v>8579</v>
      </c>
      <c r="F27" s="20">
        <v>8365</v>
      </c>
      <c r="G27" s="17">
        <v>16944</v>
      </c>
      <c r="H27" s="20">
        <v>5210</v>
      </c>
      <c r="I27" s="20">
        <v>11562</v>
      </c>
      <c r="J27" s="20">
        <v>192</v>
      </c>
      <c r="K27" s="20">
        <v>309</v>
      </c>
      <c r="L27" s="20">
        <v>4204</v>
      </c>
      <c r="M27" s="20">
        <v>1999</v>
      </c>
      <c r="N27">
        <v>255</v>
      </c>
      <c r="O27">
        <v>0</v>
      </c>
      <c r="P27" s="18">
        <v>2259</v>
      </c>
      <c r="Q27">
        <v>23137</v>
      </c>
      <c r="R27" s="20">
        <v>17457</v>
      </c>
      <c r="S27">
        <v>0</v>
      </c>
      <c r="T27" s="17">
        <v>21201</v>
      </c>
      <c r="U27" s="17">
        <v>2879</v>
      </c>
      <c r="V27" s="17">
        <v>8070436</v>
      </c>
      <c r="W27">
        <v>1405</v>
      </c>
      <c r="X27" s="17">
        <v>2747</v>
      </c>
      <c r="Y27" s="17">
        <v>0</v>
      </c>
      <c r="Z27">
        <v>1100</v>
      </c>
      <c r="AA27">
        <v>0</v>
      </c>
      <c r="AB27">
        <v>117375321</v>
      </c>
      <c r="AC27">
        <v>200214534</v>
      </c>
      <c r="AD27">
        <v>0</v>
      </c>
      <c r="AF27">
        <v>156479157</v>
      </c>
      <c r="AG27">
        <v>14101275573</v>
      </c>
      <c r="AH27">
        <v>3223024916</v>
      </c>
      <c r="AI27">
        <v>14078929</v>
      </c>
      <c r="AJ27">
        <v>498</v>
      </c>
      <c r="AK27">
        <v>79</v>
      </c>
      <c r="AL27">
        <v>751848425</v>
      </c>
      <c r="AM27">
        <v>124</v>
      </c>
      <c r="AN27">
        <v>9759</v>
      </c>
      <c r="AO27">
        <v>70236823</v>
      </c>
      <c r="AP27">
        <v>4</v>
      </c>
      <c r="AQ27">
        <v>129</v>
      </c>
      <c r="AR27">
        <v>516880</v>
      </c>
      <c r="AS27" s="17" t="s">
        <v>59</v>
      </c>
      <c r="AT27" s="17">
        <v>3.35</v>
      </c>
      <c r="AU27" s="22">
        <v>968</v>
      </c>
      <c r="AV27" s="4">
        <v>1882</v>
      </c>
      <c r="AW27" s="5" t="s">
        <v>207</v>
      </c>
      <c r="AX27" s="13" t="s">
        <v>213</v>
      </c>
      <c r="AY27" s="17">
        <v>43.29</v>
      </c>
      <c r="AZ27" s="10">
        <f t="shared" si="1"/>
        <v>4513</v>
      </c>
      <c r="BA27">
        <v>10</v>
      </c>
      <c r="BB27">
        <v>3</v>
      </c>
      <c r="BE27" s="25"/>
    </row>
    <row r="28" spans="1:57" x14ac:dyDescent="0.35">
      <c r="A28" s="18">
        <v>26</v>
      </c>
      <c r="B28" s="18" t="s">
        <v>72</v>
      </c>
      <c r="C28">
        <v>10640</v>
      </c>
      <c r="D28">
        <f t="shared" si="0"/>
        <v>6.8859060402684566E-2</v>
      </c>
      <c r="E28" s="20">
        <v>6307</v>
      </c>
      <c r="F28" s="20">
        <v>4336</v>
      </c>
      <c r="G28" s="18">
        <v>10643</v>
      </c>
      <c r="H28" s="20">
        <v>4788</v>
      </c>
      <c r="I28" s="20">
        <v>5717</v>
      </c>
      <c r="J28" s="20">
        <v>138</v>
      </c>
      <c r="K28" s="20">
        <v>2795</v>
      </c>
      <c r="L28" s="20">
        <v>5849</v>
      </c>
      <c r="M28" s="20">
        <v>21</v>
      </c>
      <c r="N28">
        <v>1788</v>
      </c>
      <c r="O28">
        <v>836</v>
      </c>
      <c r="P28" s="18">
        <v>5999</v>
      </c>
      <c r="Q28">
        <v>6558</v>
      </c>
      <c r="R28" s="20">
        <v>5602</v>
      </c>
      <c r="S28">
        <v>29</v>
      </c>
      <c r="T28" s="18">
        <v>7450</v>
      </c>
      <c r="U28" s="18">
        <v>5131</v>
      </c>
      <c r="V28" s="18">
        <v>9356000</v>
      </c>
      <c r="W28">
        <v>513</v>
      </c>
      <c r="X28" s="18">
        <v>278</v>
      </c>
      <c r="Y28" s="18">
        <v>708</v>
      </c>
      <c r="Z28">
        <v>157</v>
      </c>
      <c r="AA28">
        <v>129</v>
      </c>
      <c r="AB28">
        <v>204240085</v>
      </c>
      <c r="AC28">
        <v>886828792</v>
      </c>
      <c r="AD28">
        <v>127471666</v>
      </c>
      <c r="AF28">
        <v>334303247</v>
      </c>
      <c r="AG28">
        <v>3851903668</v>
      </c>
      <c r="AH28">
        <v>3518648814</v>
      </c>
      <c r="AI28">
        <v>54025233</v>
      </c>
      <c r="AJ28">
        <v>16550</v>
      </c>
      <c r="AK28">
        <v>5699</v>
      </c>
      <c r="AL28">
        <v>126799138</v>
      </c>
      <c r="AM28">
        <v>1064</v>
      </c>
      <c r="AN28">
        <v>678</v>
      </c>
      <c r="AO28">
        <v>174890443</v>
      </c>
      <c r="AP28">
        <v>48</v>
      </c>
      <c r="AQ28">
        <v>294</v>
      </c>
      <c r="AR28">
        <v>102900000</v>
      </c>
      <c r="AS28" s="18" t="s">
        <v>59</v>
      </c>
      <c r="AT28" s="18">
        <v>3.02</v>
      </c>
      <c r="AU28" s="23">
        <v>831</v>
      </c>
      <c r="AV28" s="4">
        <v>1986</v>
      </c>
      <c r="AW28" s="5" t="s">
        <v>217</v>
      </c>
      <c r="AX28" s="13" t="s">
        <v>196</v>
      </c>
      <c r="AY28" s="18">
        <v>21.71</v>
      </c>
      <c r="AZ28" s="10">
        <f t="shared" si="1"/>
        <v>8644</v>
      </c>
      <c r="BA28">
        <v>20</v>
      </c>
      <c r="BB28">
        <v>1</v>
      </c>
      <c r="BE28" s="25"/>
    </row>
    <row r="29" spans="1:57" x14ac:dyDescent="0.35">
      <c r="A29" s="17">
        <v>27</v>
      </c>
      <c r="B29" s="17" t="s">
        <v>479</v>
      </c>
      <c r="C29">
        <v>14544</v>
      </c>
      <c r="D29">
        <f t="shared" si="0"/>
        <v>0.11055846422338569</v>
      </c>
      <c r="E29" s="20">
        <v>8812</v>
      </c>
      <c r="F29" s="20">
        <v>5139</v>
      </c>
      <c r="G29" s="17">
        <v>13951</v>
      </c>
      <c r="H29" s="20">
        <v>7953</v>
      </c>
      <c r="I29" s="20">
        <v>5707</v>
      </c>
      <c r="J29" s="20">
        <v>291</v>
      </c>
      <c r="K29" s="20">
        <v>60</v>
      </c>
      <c r="L29" s="20">
        <v>1147</v>
      </c>
      <c r="M29" s="20">
        <v>5</v>
      </c>
      <c r="N29">
        <v>277</v>
      </c>
      <c r="O29">
        <v>0</v>
      </c>
      <c r="P29" s="18">
        <v>925</v>
      </c>
      <c r="Q29">
        <v>12010</v>
      </c>
      <c r="R29" s="20">
        <v>8767</v>
      </c>
      <c r="S29">
        <v>0</v>
      </c>
      <c r="T29" s="17">
        <v>11460</v>
      </c>
      <c r="U29" s="17">
        <v>4928</v>
      </c>
      <c r="V29" s="17">
        <v>2575500</v>
      </c>
      <c r="W29">
        <v>1267</v>
      </c>
      <c r="X29" s="17">
        <v>266</v>
      </c>
      <c r="Y29" s="17">
        <v>609</v>
      </c>
      <c r="Z29">
        <v>108</v>
      </c>
      <c r="AA29">
        <v>221</v>
      </c>
      <c r="AB29">
        <v>277593045</v>
      </c>
      <c r="AC29">
        <v>149182145</v>
      </c>
      <c r="AD29">
        <v>23826744</v>
      </c>
      <c r="AF29">
        <v>189744855</v>
      </c>
      <c r="AG29">
        <v>3232485513</v>
      </c>
      <c r="AH29">
        <v>1312211564</v>
      </c>
      <c r="AI29">
        <v>40193769</v>
      </c>
      <c r="AJ29">
        <v>339</v>
      </c>
      <c r="AK29">
        <v>40</v>
      </c>
      <c r="AL29">
        <v>216068541</v>
      </c>
      <c r="AM29">
        <v>428</v>
      </c>
      <c r="AN29">
        <v>339</v>
      </c>
      <c r="AO29">
        <v>42725458</v>
      </c>
      <c r="AP29">
        <v>21</v>
      </c>
      <c r="AQ29">
        <v>580</v>
      </c>
      <c r="AR29">
        <v>3208392</v>
      </c>
      <c r="AS29" s="17" t="s">
        <v>59</v>
      </c>
      <c r="AT29" s="17">
        <v>3.57</v>
      </c>
      <c r="AU29" s="22">
        <v>1024</v>
      </c>
      <c r="AV29" s="4">
        <v>1980</v>
      </c>
      <c r="AW29" s="5" t="s">
        <v>217</v>
      </c>
      <c r="AX29" s="13" t="s">
        <v>219</v>
      </c>
      <c r="AY29" s="17">
        <v>38.82</v>
      </c>
      <c r="AZ29" s="10">
        <f t="shared" si="1"/>
        <v>1207</v>
      </c>
      <c r="BA29">
        <v>11</v>
      </c>
      <c r="BB29">
        <v>1</v>
      </c>
      <c r="BE29" s="25"/>
    </row>
    <row r="30" spans="1:57" ht="15" customHeight="1" x14ac:dyDescent="0.35">
      <c r="A30" s="18">
        <v>28</v>
      </c>
      <c r="B30" s="18" t="s">
        <v>91</v>
      </c>
      <c r="C30">
        <v>3631</v>
      </c>
      <c r="D30">
        <f t="shared" si="0"/>
        <v>2.9992576095025984E-2</v>
      </c>
      <c r="E30" s="20">
        <v>1157</v>
      </c>
      <c r="F30" s="20">
        <v>2323</v>
      </c>
      <c r="G30" s="18">
        <v>3480</v>
      </c>
      <c r="H30" s="20">
        <v>3380</v>
      </c>
      <c r="I30" s="20">
        <v>100</v>
      </c>
      <c r="J30" s="20">
        <v>0</v>
      </c>
      <c r="K30" s="20">
        <v>1609</v>
      </c>
      <c r="L30" s="20">
        <v>1673</v>
      </c>
      <c r="M30" s="20">
        <v>374</v>
      </c>
      <c r="N30">
        <v>0</v>
      </c>
      <c r="O30">
        <v>96</v>
      </c>
      <c r="P30" s="18">
        <v>2812</v>
      </c>
      <c r="Q30">
        <v>4508</v>
      </c>
      <c r="R30" s="20">
        <v>3784</v>
      </c>
      <c r="S30">
        <v>0</v>
      </c>
      <c r="T30" s="18">
        <v>6735</v>
      </c>
      <c r="U30" s="18">
        <v>478</v>
      </c>
      <c r="V30" s="18">
        <v>791333</v>
      </c>
      <c r="W30">
        <v>202</v>
      </c>
      <c r="X30" s="18">
        <v>710</v>
      </c>
      <c r="Y30" s="18">
        <v>830</v>
      </c>
      <c r="Z30">
        <v>222</v>
      </c>
      <c r="AA30">
        <v>224</v>
      </c>
      <c r="AB30">
        <v>91994030</v>
      </c>
      <c r="AC30">
        <v>218306601</v>
      </c>
      <c r="AD30">
        <v>22382989</v>
      </c>
      <c r="AF30">
        <v>55062216</v>
      </c>
      <c r="AG30">
        <v>1889665860</v>
      </c>
      <c r="AH30">
        <v>605535075</v>
      </c>
      <c r="AI30">
        <v>23622199</v>
      </c>
      <c r="AJ30">
        <v>131</v>
      </c>
      <c r="AK30">
        <v>40</v>
      </c>
      <c r="AL30">
        <v>637628904</v>
      </c>
      <c r="AM30">
        <v>15</v>
      </c>
      <c r="AN30">
        <v>33</v>
      </c>
      <c r="AO30">
        <v>10685213</v>
      </c>
      <c r="AP30">
        <v>6</v>
      </c>
      <c r="AQ30">
        <v>352</v>
      </c>
      <c r="AR30">
        <v>9368000</v>
      </c>
      <c r="AS30" s="18" t="s">
        <v>59</v>
      </c>
      <c r="AT30" s="18">
        <v>3.64</v>
      </c>
      <c r="AU30" s="23">
        <v>361</v>
      </c>
      <c r="AV30" s="4">
        <v>1985</v>
      </c>
      <c r="AW30" s="5" t="s">
        <v>207</v>
      </c>
      <c r="AX30" s="13" t="s">
        <v>219</v>
      </c>
      <c r="AY30" s="18">
        <v>42.91</v>
      </c>
      <c r="AZ30" s="10">
        <f t="shared" si="1"/>
        <v>3282</v>
      </c>
      <c r="BA30">
        <v>90</v>
      </c>
      <c r="BB30">
        <v>0</v>
      </c>
      <c r="BE30" s="25"/>
    </row>
    <row r="31" spans="1:57" x14ac:dyDescent="0.35">
      <c r="A31" s="17">
        <v>29</v>
      </c>
      <c r="B31" s="17" t="s">
        <v>88</v>
      </c>
      <c r="C31">
        <v>27377</v>
      </c>
      <c r="D31">
        <f t="shared" si="0"/>
        <v>0.21090206618511675</v>
      </c>
      <c r="E31" s="20">
        <v>13239</v>
      </c>
      <c r="F31" s="20">
        <v>13906</v>
      </c>
      <c r="G31" s="17">
        <v>27145</v>
      </c>
      <c r="H31" s="20">
        <v>1198</v>
      </c>
      <c r="I31" s="20">
        <v>23206</v>
      </c>
      <c r="J31" s="20">
        <v>2741</v>
      </c>
      <c r="K31" s="20">
        <v>3158</v>
      </c>
      <c r="L31" s="20">
        <v>4916</v>
      </c>
      <c r="M31" s="20">
        <v>1576</v>
      </c>
      <c r="N31">
        <v>4912</v>
      </c>
      <c r="O31">
        <v>15</v>
      </c>
      <c r="P31" s="18">
        <v>1571</v>
      </c>
      <c r="Q31">
        <v>21469</v>
      </c>
      <c r="R31" s="20">
        <v>17454</v>
      </c>
      <c r="S31">
        <v>158</v>
      </c>
      <c r="T31" s="17">
        <v>23812</v>
      </c>
      <c r="U31" s="17">
        <v>13776</v>
      </c>
      <c r="V31" s="17">
        <v>5465000</v>
      </c>
      <c r="W31">
        <v>5022</v>
      </c>
      <c r="X31" s="17">
        <v>845</v>
      </c>
      <c r="Y31" s="17">
        <v>613</v>
      </c>
      <c r="Z31">
        <v>153</v>
      </c>
      <c r="AA31">
        <v>166</v>
      </c>
      <c r="AB31">
        <v>137777852</v>
      </c>
      <c r="AC31">
        <v>733837619</v>
      </c>
      <c r="AD31">
        <v>71841449</v>
      </c>
      <c r="AF31">
        <v>1941214522</v>
      </c>
      <c r="AG31">
        <v>6621803083</v>
      </c>
      <c r="AH31">
        <v>4245899271</v>
      </c>
      <c r="AI31">
        <v>250368982</v>
      </c>
      <c r="AJ31">
        <v>170</v>
      </c>
      <c r="AK31">
        <v>135</v>
      </c>
      <c r="AL31">
        <v>1310143816</v>
      </c>
      <c r="AM31">
        <v>246</v>
      </c>
      <c r="AN31">
        <v>218</v>
      </c>
      <c r="AO31">
        <v>240889937</v>
      </c>
      <c r="AP31">
        <v>6</v>
      </c>
      <c r="AQ31">
        <v>1086</v>
      </c>
      <c r="AR31">
        <v>190500000</v>
      </c>
      <c r="AS31" s="17" t="s">
        <v>59</v>
      </c>
      <c r="AT31" s="17">
        <v>3.28</v>
      </c>
      <c r="AU31" s="22">
        <v>2217</v>
      </c>
      <c r="AV31" s="4">
        <v>2012</v>
      </c>
      <c r="AW31" s="5" t="s">
        <v>217</v>
      </c>
      <c r="AX31" s="13" t="s">
        <v>213</v>
      </c>
      <c r="AY31" s="17">
        <v>45.83</v>
      </c>
      <c r="AZ31" s="10">
        <f t="shared" si="1"/>
        <v>8074</v>
      </c>
      <c r="BA31">
        <v>30</v>
      </c>
      <c r="BB31">
        <v>1</v>
      </c>
      <c r="BE31" s="25"/>
    </row>
    <row r="32" spans="1:57" x14ac:dyDescent="0.35">
      <c r="A32" s="18">
        <v>30</v>
      </c>
      <c r="B32" s="18" t="s">
        <v>92</v>
      </c>
      <c r="C32">
        <v>1328</v>
      </c>
      <c r="D32">
        <f t="shared" si="0"/>
        <v>9.7217068645640073E-2</v>
      </c>
      <c r="E32" s="20">
        <v>398</v>
      </c>
      <c r="F32" s="20">
        <v>799</v>
      </c>
      <c r="G32" s="18">
        <v>1197</v>
      </c>
      <c r="H32" s="20">
        <v>1158</v>
      </c>
      <c r="I32" s="20">
        <v>8</v>
      </c>
      <c r="J32" s="20">
        <v>31</v>
      </c>
      <c r="K32" s="20">
        <v>94</v>
      </c>
      <c r="L32" s="20">
        <v>499</v>
      </c>
      <c r="M32" s="20">
        <v>306</v>
      </c>
      <c r="N32">
        <v>18</v>
      </c>
      <c r="O32">
        <v>1</v>
      </c>
      <c r="P32" s="18">
        <v>268</v>
      </c>
      <c r="Q32">
        <v>1745</v>
      </c>
      <c r="R32" s="20">
        <v>1598</v>
      </c>
      <c r="S32">
        <v>0</v>
      </c>
      <c r="T32" s="18">
        <v>2695</v>
      </c>
      <c r="U32" s="18">
        <v>362</v>
      </c>
      <c r="V32" s="18">
        <v>1688000</v>
      </c>
      <c r="W32">
        <v>262</v>
      </c>
      <c r="X32" s="18">
        <v>443</v>
      </c>
      <c r="Y32" s="18">
        <v>225</v>
      </c>
      <c r="Z32">
        <v>225</v>
      </c>
      <c r="AA32">
        <v>84</v>
      </c>
      <c r="AB32">
        <v>175921078</v>
      </c>
      <c r="AC32">
        <v>185119660</v>
      </c>
      <c r="AD32">
        <v>9828005</v>
      </c>
      <c r="AF32">
        <v>101169882</v>
      </c>
      <c r="AG32">
        <v>5806799932</v>
      </c>
      <c r="AH32">
        <v>165190396</v>
      </c>
      <c r="AI32">
        <v>12200089</v>
      </c>
      <c r="AJ32">
        <v>266</v>
      </c>
      <c r="AK32">
        <v>93</v>
      </c>
      <c r="AL32">
        <v>2792211569</v>
      </c>
      <c r="AM32">
        <v>1432</v>
      </c>
      <c r="AN32">
        <v>1015</v>
      </c>
      <c r="AO32">
        <v>21704057</v>
      </c>
      <c r="AP32">
        <v>358</v>
      </c>
      <c r="AQ32">
        <v>18532</v>
      </c>
      <c r="AR32">
        <v>26292920</v>
      </c>
      <c r="AS32" s="18" t="s">
        <v>59</v>
      </c>
      <c r="AT32" s="18">
        <v>3.24</v>
      </c>
      <c r="AU32" s="23">
        <v>146</v>
      </c>
      <c r="AV32" s="4">
        <v>1983</v>
      </c>
      <c r="AW32" s="5" t="s">
        <v>207</v>
      </c>
      <c r="AX32" s="13" t="s">
        <v>219</v>
      </c>
      <c r="AY32" s="18">
        <v>19.920000000000002</v>
      </c>
      <c r="AZ32" s="10">
        <f t="shared" si="1"/>
        <v>593</v>
      </c>
      <c r="BA32">
        <v>10</v>
      </c>
      <c r="BB32">
        <v>1</v>
      </c>
      <c r="BE32" s="25"/>
    </row>
    <row r="33" spans="1:57" x14ac:dyDescent="0.35">
      <c r="A33" s="17">
        <v>31</v>
      </c>
      <c r="B33" s="17" t="s">
        <v>480</v>
      </c>
      <c r="C33">
        <v>9903</v>
      </c>
      <c r="D33">
        <f t="shared" si="0"/>
        <v>0.12481557981705518</v>
      </c>
      <c r="E33" s="20">
        <v>6689</v>
      </c>
      <c r="F33" s="20">
        <v>2270</v>
      </c>
      <c r="G33" s="17">
        <v>8959</v>
      </c>
      <c r="H33" s="20">
        <v>3626</v>
      </c>
      <c r="I33" s="20">
        <v>5217</v>
      </c>
      <c r="J33" s="20">
        <v>116</v>
      </c>
      <c r="K33" s="20">
        <v>342</v>
      </c>
      <c r="L33" s="20">
        <v>522</v>
      </c>
      <c r="M33" s="20">
        <v>20</v>
      </c>
      <c r="N33">
        <v>570</v>
      </c>
      <c r="O33">
        <v>7</v>
      </c>
      <c r="P33" s="18">
        <v>267</v>
      </c>
      <c r="Q33">
        <v>6595</v>
      </c>
      <c r="R33" s="20">
        <v>4184</v>
      </c>
      <c r="S33">
        <v>326</v>
      </c>
      <c r="T33" s="17">
        <v>6778</v>
      </c>
      <c r="U33" s="17">
        <v>3996</v>
      </c>
      <c r="V33" s="17">
        <v>7105500</v>
      </c>
      <c r="W33">
        <v>846</v>
      </c>
      <c r="X33" s="17">
        <v>563</v>
      </c>
      <c r="Y33" s="17">
        <v>147</v>
      </c>
      <c r="Z33">
        <v>182</v>
      </c>
      <c r="AA33">
        <v>108</v>
      </c>
      <c r="AB33">
        <v>114988068</v>
      </c>
      <c r="AC33">
        <v>250177300</v>
      </c>
      <c r="AD33">
        <v>192099243</v>
      </c>
      <c r="AF33">
        <v>582195447</v>
      </c>
      <c r="AG33">
        <v>4400158310</v>
      </c>
      <c r="AH33">
        <v>2671982196</v>
      </c>
      <c r="AI33">
        <v>150633091</v>
      </c>
      <c r="AJ33">
        <v>196</v>
      </c>
      <c r="AK33">
        <v>82</v>
      </c>
      <c r="AL33">
        <v>268861000</v>
      </c>
      <c r="AM33">
        <v>199</v>
      </c>
      <c r="AN33">
        <v>180</v>
      </c>
      <c r="AO33">
        <v>73363572</v>
      </c>
      <c r="AP33">
        <v>2</v>
      </c>
      <c r="AQ33">
        <v>14</v>
      </c>
      <c r="AR33">
        <v>2940000</v>
      </c>
      <c r="AS33" s="17" t="s">
        <v>59</v>
      </c>
      <c r="AT33" s="17">
        <v>3.29</v>
      </c>
      <c r="AU33" s="22">
        <v>566</v>
      </c>
      <c r="AV33" s="4">
        <v>1956</v>
      </c>
      <c r="AW33" s="5" t="s">
        <v>217</v>
      </c>
      <c r="AX33" s="13" t="s">
        <v>219</v>
      </c>
      <c r="AY33" s="17">
        <v>35.340000000000003</v>
      </c>
      <c r="AZ33" s="10">
        <f t="shared" si="1"/>
        <v>864</v>
      </c>
      <c r="BA33">
        <v>7</v>
      </c>
      <c r="BB33">
        <v>2</v>
      </c>
      <c r="BE33" s="25"/>
    </row>
    <row r="34" spans="1:57" x14ac:dyDescent="0.35">
      <c r="A34" s="18">
        <v>32</v>
      </c>
      <c r="B34" s="18" t="s">
        <v>93</v>
      </c>
      <c r="C34">
        <v>18509</v>
      </c>
      <c r="D34">
        <f t="shared" si="0"/>
        <v>8.9869461298032721E-2</v>
      </c>
      <c r="E34" s="20">
        <v>8188</v>
      </c>
      <c r="F34" s="20">
        <v>8220</v>
      </c>
      <c r="G34" s="18">
        <v>16408</v>
      </c>
      <c r="H34" s="20">
        <v>4942</v>
      </c>
      <c r="I34" s="20">
        <v>10600</v>
      </c>
      <c r="J34" s="20">
        <v>866</v>
      </c>
      <c r="K34" s="20">
        <v>398</v>
      </c>
      <c r="L34" s="20">
        <v>1699</v>
      </c>
      <c r="M34" s="20">
        <v>144</v>
      </c>
      <c r="N34">
        <v>1738</v>
      </c>
      <c r="O34">
        <v>105</v>
      </c>
      <c r="P34" s="18">
        <v>110</v>
      </c>
      <c r="Q34">
        <v>16135</v>
      </c>
      <c r="R34" s="20">
        <v>17677</v>
      </c>
      <c r="S34">
        <v>123</v>
      </c>
      <c r="T34" s="18">
        <v>27195</v>
      </c>
      <c r="U34" s="18">
        <v>13747</v>
      </c>
      <c r="V34" s="18">
        <v>13535850</v>
      </c>
      <c r="W34">
        <v>2444</v>
      </c>
      <c r="X34" s="18">
        <v>584</v>
      </c>
      <c r="Y34" s="18">
        <v>167</v>
      </c>
      <c r="Z34">
        <v>297</v>
      </c>
      <c r="AA34">
        <v>128</v>
      </c>
      <c r="AB34">
        <v>949052037</v>
      </c>
      <c r="AC34">
        <v>1950664878</v>
      </c>
      <c r="AD34">
        <v>831320549</v>
      </c>
      <c r="AF34">
        <v>836906272</v>
      </c>
      <c r="AG34">
        <v>8350572746</v>
      </c>
      <c r="AH34">
        <v>13963578271</v>
      </c>
      <c r="AI34">
        <v>709275175</v>
      </c>
      <c r="AJ34">
        <v>257</v>
      </c>
      <c r="AK34">
        <v>128</v>
      </c>
      <c r="AL34">
        <v>140581853</v>
      </c>
      <c r="AM34">
        <v>262</v>
      </c>
      <c r="AN34">
        <v>223</v>
      </c>
      <c r="AO34">
        <v>111862558</v>
      </c>
      <c r="AP34">
        <v>297</v>
      </c>
      <c r="AQ34">
        <v>18597</v>
      </c>
      <c r="AR34">
        <v>669526433</v>
      </c>
      <c r="AS34" s="18" t="s">
        <v>59</v>
      </c>
      <c r="AT34" s="18">
        <v>3.58</v>
      </c>
      <c r="AU34" s="23">
        <v>1258</v>
      </c>
      <c r="AV34" s="4">
        <v>1971</v>
      </c>
      <c r="AW34" s="5" t="s">
        <v>217</v>
      </c>
      <c r="AX34" s="13" t="s">
        <v>196</v>
      </c>
      <c r="AY34" s="18">
        <v>47.82</v>
      </c>
      <c r="AZ34" s="10">
        <f t="shared" si="1"/>
        <v>2097</v>
      </c>
      <c r="BA34">
        <v>20</v>
      </c>
      <c r="BB34">
        <v>0</v>
      </c>
      <c r="BE34" s="25"/>
    </row>
    <row r="35" spans="1:57" x14ac:dyDescent="0.35">
      <c r="A35" s="17">
        <v>33</v>
      </c>
      <c r="B35" s="17" t="s">
        <v>105</v>
      </c>
      <c r="C35">
        <v>6152</v>
      </c>
      <c r="D35">
        <f t="shared" si="0"/>
        <v>6.3498268736736294E-2</v>
      </c>
      <c r="E35" s="20">
        <v>2807</v>
      </c>
      <c r="F35" s="20">
        <v>3414</v>
      </c>
      <c r="G35" s="17">
        <v>6221</v>
      </c>
      <c r="H35" s="20">
        <v>5850</v>
      </c>
      <c r="I35" s="20">
        <v>218</v>
      </c>
      <c r="J35" s="20">
        <v>153</v>
      </c>
      <c r="K35" s="20">
        <v>2914</v>
      </c>
      <c r="L35" s="20">
        <v>2304</v>
      </c>
      <c r="M35" s="20">
        <v>2354</v>
      </c>
      <c r="N35">
        <v>128</v>
      </c>
      <c r="O35">
        <v>26</v>
      </c>
      <c r="P35" s="18">
        <v>2710</v>
      </c>
      <c r="Q35">
        <v>8952</v>
      </c>
      <c r="R35" s="20">
        <v>9183</v>
      </c>
      <c r="S35">
        <v>8</v>
      </c>
      <c r="T35" s="17">
        <v>17906</v>
      </c>
      <c r="U35" s="17">
        <v>5515</v>
      </c>
      <c r="V35" s="17">
        <v>4155000</v>
      </c>
      <c r="W35">
        <v>1137</v>
      </c>
      <c r="X35" s="17">
        <v>1170</v>
      </c>
      <c r="Y35" s="17">
        <v>0</v>
      </c>
      <c r="Z35">
        <v>1089</v>
      </c>
      <c r="AA35">
        <v>0</v>
      </c>
      <c r="AB35">
        <v>943404790</v>
      </c>
      <c r="AC35">
        <v>329532095</v>
      </c>
      <c r="AD35">
        <v>2404666</v>
      </c>
      <c r="AF35">
        <v>564044457</v>
      </c>
      <c r="AG35">
        <v>4046860964</v>
      </c>
      <c r="AH35">
        <v>648869350</v>
      </c>
      <c r="AI35">
        <v>68983694</v>
      </c>
      <c r="AJ35">
        <v>234</v>
      </c>
      <c r="AK35">
        <v>42</v>
      </c>
      <c r="AL35">
        <v>382047236</v>
      </c>
      <c r="AM35">
        <v>8</v>
      </c>
      <c r="AN35">
        <v>8</v>
      </c>
      <c r="AO35">
        <v>2726320</v>
      </c>
      <c r="AP35">
        <v>38</v>
      </c>
      <c r="AQ35">
        <v>1521</v>
      </c>
      <c r="AR35">
        <v>3215601</v>
      </c>
      <c r="AS35" s="17" t="s">
        <v>59</v>
      </c>
      <c r="AT35" s="17">
        <v>3.01</v>
      </c>
      <c r="AU35" s="22">
        <v>438</v>
      </c>
      <c r="AV35" s="4">
        <v>1916</v>
      </c>
      <c r="AW35" s="5" t="s">
        <v>207</v>
      </c>
      <c r="AX35" s="13" t="s">
        <v>213</v>
      </c>
      <c r="AY35" s="17">
        <v>21.36</v>
      </c>
      <c r="AZ35" s="10">
        <f t="shared" si="1"/>
        <v>5218</v>
      </c>
      <c r="BA35">
        <v>150</v>
      </c>
      <c r="BB35">
        <v>2</v>
      </c>
      <c r="BE35" s="25"/>
    </row>
    <row r="36" spans="1:57" x14ac:dyDescent="0.35">
      <c r="A36" s="18">
        <v>34</v>
      </c>
      <c r="B36" s="18" t="s">
        <v>95</v>
      </c>
      <c r="C36">
        <v>7150</v>
      </c>
      <c r="D36">
        <f t="shared" si="0"/>
        <v>0.26734397677793903</v>
      </c>
      <c r="E36" s="20">
        <v>3008</v>
      </c>
      <c r="F36" s="20">
        <v>4150</v>
      </c>
      <c r="G36" s="18">
        <v>7158</v>
      </c>
      <c r="H36" s="20">
        <v>2867</v>
      </c>
      <c r="I36" s="20">
        <v>3896</v>
      </c>
      <c r="J36" s="20">
        <v>395</v>
      </c>
      <c r="K36" s="20">
        <v>1297</v>
      </c>
      <c r="L36" s="20">
        <v>2799</v>
      </c>
      <c r="M36" s="20">
        <v>1133</v>
      </c>
      <c r="N36">
        <v>582</v>
      </c>
      <c r="O36">
        <v>677</v>
      </c>
      <c r="P36" s="18">
        <v>1704</v>
      </c>
      <c r="Q36">
        <v>4780</v>
      </c>
      <c r="R36" s="20">
        <v>4558</v>
      </c>
      <c r="S36">
        <v>38</v>
      </c>
      <c r="T36" s="18">
        <v>6890</v>
      </c>
      <c r="U36" s="18">
        <v>2864</v>
      </c>
      <c r="V36" s="18">
        <v>14147214</v>
      </c>
      <c r="W36">
        <v>1842</v>
      </c>
      <c r="X36" s="18">
        <v>305</v>
      </c>
      <c r="Y36" s="18">
        <v>197</v>
      </c>
      <c r="Z36">
        <v>148</v>
      </c>
      <c r="AA36">
        <v>58</v>
      </c>
      <c r="AB36">
        <v>242975845</v>
      </c>
      <c r="AC36">
        <v>427526173</v>
      </c>
      <c r="AD36">
        <v>57595760</v>
      </c>
      <c r="AF36">
        <v>479683119</v>
      </c>
      <c r="AG36">
        <v>4846996284</v>
      </c>
      <c r="AH36">
        <v>4085277859</v>
      </c>
      <c r="AI36">
        <v>100014677</v>
      </c>
      <c r="AJ36">
        <v>305</v>
      </c>
      <c r="AK36">
        <v>135</v>
      </c>
      <c r="AL36">
        <v>244958565</v>
      </c>
      <c r="AM36">
        <v>594</v>
      </c>
      <c r="AN36">
        <v>443</v>
      </c>
      <c r="AO36">
        <v>177479308</v>
      </c>
      <c r="AP36">
        <v>232</v>
      </c>
      <c r="AQ36">
        <v>8159</v>
      </c>
      <c r="AR36">
        <v>83356584</v>
      </c>
      <c r="AS36" s="18" t="s">
        <v>59</v>
      </c>
      <c r="AT36" s="18">
        <v>3.48</v>
      </c>
      <c r="AU36" s="23">
        <v>874</v>
      </c>
      <c r="AV36" s="4">
        <v>2008</v>
      </c>
      <c r="AW36" s="5" t="s">
        <v>217</v>
      </c>
      <c r="AX36" s="13" t="s">
        <v>213</v>
      </c>
      <c r="AY36" s="18">
        <v>35.880000000000003</v>
      </c>
      <c r="AZ36" s="10">
        <f t="shared" si="1"/>
        <v>4096</v>
      </c>
      <c r="BA36">
        <v>5</v>
      </c>
      <c r="BB36">
        <v>2</v>
      </c>
      <c r="BE36" s="25"/>
    </row>
    <row r="37" spans="1:57" x14ac:dyDescent="0.35">
      <c r="A37" s="17">
        <v>35</v>
      </c>
      <c r="B37" s="17" t="s">
        <v>90</v>
      </c>
      <c r="C37">
        <v>7815</v>
      </c>
      <c r="D37">
        <f t="shared" si="0"/>
        <v>5.7790896380301382E-2</v>
      </c>
      <c r="E37" s="20">
        <v>3298</v>
      </c>
      <c r="F37" s="20">
        <v>4067</v>
      </c>
      <c r="G37" s="17">
        <v>7365</v>
      </c>
      <c r="H37" s="20">
        <v>2225</v>
      </c>
      <c r="I37" s="20">
        <v>4915</v>
      </c>
      <c r="J37" s="20">
        <v>223</v>
      </c>
      <c r="K37" s="20">
        <v>1553</v>
      </c>
      <c r="L37" s="20">
        <v>4823</v>
      </c>
      <c r="M37" s="20">
        <v>333</v>
      </c>
      <c r="N37">
        <v>2565</v>
      </c>
      <c r="O37">
        <v>615</v>
      </c>
      <c r="P37" s="18">
        <v>2863</v>
      </c>
      <c r="Q37">
        <v>6620</v>
      </c>
      <c r="R37" s="20">
        <v>4708</v>
      </c>
      <c r="S37">
        <v>96</v>
      </c>
      <c r="T37" s="17">
        <v>6437</v>
      </c>
      <c r="U37" s="17">
        <v>5029</v>
      </c>
      <c r="V37" s="17">
        <v>5656000</v>
      </c>
      <c r="W37">
        <v>372</v>
      </c>
      <c r="X37" s="17">
        <v>401</v>
      </c>
      <c r="Y37" s="17">
        <v>154</v>
      </c>
      <c r="Z37">
        <v>197</v>
      </c>
      <c r="AA37">
        <v>51</v>
      </c>
      <c r="AB37">
        <v>212497211</v>
      </c>
      <c r="AC37">
        <v>227394257</v>
      </c>
      <c r="AD37">
        <v>58754451</v>
      </c>
      <c r="AF37">
        <v>336136505</v>
      </c>
      <c r="AG37">
        <v>2212802300</v>
      </c>
      <c r="AH37">
        <v>1458062770</v>
      </c>
      <c r="AI37">
        <v>153221330</v>
      </c>
      <c r="AJ37">
        <v>606</v>
      </c>
      <c r="AK37">
        <v>404</v>
      </c>
      <c r="AL37">
        <v>381777477</v>
      </c>
      <c r="AM37">
        <v>338</v>
      </c>
      <c r="AN37">
        <v>238</v>
      </c>
      <c r="AO37">
        <v>199521917</v>
      </c>
      <c r="AP37">
        <v>11</v>
      </c>
      <c r="AQ37">
        <v>3042</v>
      </c>
      <c r="AR37">
        <v>83767467</v>
      </c>
      <c r="AS37" s="17" t="s">
        <v>59</v>
      </c>
      <c r="AT37" s="17">
        <v>3.11</v>
      </c>
      <c r="AU37" s="22">
        <v>546</v>
      </c>
      <c r="AV37" s="4">
        <v>1984</v>
      </c>
      <c r="AW37" s="5" t="s">
        <v>217</v>
      </c>
      <c r="AX37" s="13" t="s">
        <v>219</v>
      </c>
      <c r="AY37" s="17">
        <v>34.049999999999997</v>
      </c>
      <c r="AZ37" s="10">
        <f t="shared" si="1"/>
        <v>6376</v>
      </c>
      <c r="BA37">
        <v>70</v>
      </c>
      <c r="BB37">
        <v>1</v>
      </c>
      <c r="BE37" s="25"/>
    </row>
    <row r="38" spans="1:57" x14ac:dyDescent="0.35">
      <c r="A38" s="18">
        <v>36</v>
      </c>
      <c r="B38" s="18" t="s">
        <v>104</v>
      </c>
      <c r="C38">
        <v>9338</v>
      </c>
      <c r="D38">
        <f t="shared" si="0"/>
        <v>0.11360427591770875</v>
      </c>
      <c r="E38" s="20">
        <v>5042</v>
      </c>
      <c r="F38" s="20">
        <v>4296</v>
      </c>
      <c r="G38" s="18">
        <v>9338</v>
      </c>
      <c r="H38" s="20">
        <v>8920</v>
      </c>
      <c r="I38" s="20">
        <v>175</v>
      </c>
      <c r="J38" s="20">
        <v>243</v>
      </c>
      <c r="K38" s="20">
        <v>1422</v>
      </c>
      <c r="L38" s="20">
        <v>5220</v>
      </c>
      <c r="M38" s="20">
        <v>5136</v>
      </c>
      <c r="N38">
        <v>33</v>
      </c>
      <c r="O38">
        <v>48</v>
      </c>
      <c r="P38" s="18">
        <v>1425</v>
      </c>
      <c r="Q38">
        <v>11036</v>
      </c>
      <c r="R38" s="20">
        <v>10521</v>
      </c>
      <c r="S38">
        <v>12</v>
      </c>
      <c r="T38" s="18">
        <v>19832</v>
      </c>
      <c r="U38" s="18">
        <v>6142</v>
      </c>
      <c r="V38" s="18">
        <v>5566000</v>
      </c>
      <c r="W38">
        <v>2253</v>
      </c>
      <c r="X38" s="18">
        <v>889</v>
      </c>
      <c r="Y38" s="18">
        <v>645</v>
      </c>
      <c r="Z38">
        <v>755</v>
      </c>
      <c r="AA38">
        <v>682</v>
      </c>
      <c r="AB38">
        <v>122377713</v>
      </c>
      <c r="AC38">
        <v>2352290296</v>
      </c>
      <c r="AD38">
        <v>505199930</v>
      </c>
      <c r="AF38">
        <v>761267157</v>
      </c>
      <c r="AG38">
        <v>12069398920</v>
      </c>
      <c r="AH38">
        <v>1622566681</v>
      </c>
      <c r="AI38">
        <v>173005287</v>
      </c>
      <c r="AJ38">
        <v>160</v>
      </c>
      <c r="AK38">
        <v>129</v>
      </c>
      <c r="AL38">
        <v>893848023</v>
      </c>
      <c r="AM38">
        <v>533</v>
      </c>
      <c r="AN38">
        <v>388</v>
      </c>
      <c r="AO38">
        <v>276803801</v>
      </c>
      <c r="AP38">
        <v>139</v>
      </c>
      <c r="AQ38">
        <v>3120</v>
      </c>
      <c r="AR38">
        <v>236864060</v>
      </c>
      <c r="AS38" s="18" t="s">
        <v>59</v>
      </c>
      <c r="AT38" s="18">
        <v>3.6</v>
      </c>
      <c r="AU38" s="23">
        <v>687</v>
      </c>
      <c r="AV38" s="4">
        <v>1926</v>
      </c>
      <c r="AW38" s="5" t="s">
        <v>207</v>
      </c>
      <c r="AX38" s="13" t="s">
        <v>213</v>
      </c>
      <c r="AY38" s="18">
        <v>40.53</v>
      </c>
      <c r="AZ38" s="10">
        <f t="shared" si="1"/>
        <v>6642</v>
      </c>
      <c r="BA38">
        <v>4</v>
      </c>
      <c r="BB38">
        <v>1</v>
      </c>
      <c r="BE38" s="25"/>
    </row>
    <row r="39" spans="1:57" x14ac:dyDescent="0.35">
      <c r="A39" s="17">
        <v>36</v>
      </c>
      <c r="B39" s="17" t="s">
        <v>149</v>
      </c>
      <c r="C39">
        <v>5590</v>
      </c>
      <c r="D39">
        <f t="shared" si="0"/>
        <v>0.21545380212591986</v>
      </c>
      <c r="E39" s="20">
        <v>2013</v>
      </c>
      <c r="F39" s="20">
        <v>3577</v>
      </c>
      <c r="G39" s="17">
        <v>5590</v>
      </c>
      <c r="H39" s="20">
        <v>4600</v>
      </c>
      <c r="I39" s="20">
        <v>984</v>
      </c>
      <c r="J39" s="20">
        <v>6</v>
      </c>
      <c r="K39" s="20">
        <v>3041</v>
      </c>
      <c r="L39" s="20">
        <v>1904</v>
      </c>
      <c r="M39" s="20">
        <v>3648</v>
      </c>
      <c r="N39">
        <v>155</v>
      </c>
      <c r="O39">
        <v>0</v>
      </c>
      <c r="P39" s="18">
        <v>1142</v>
      </c>
      <c r="Q39">
        <v>7121</v>
      </c>
      <c r="R39" s="20">
        <v>6909</v>
      </c>
      <c r="S39">
        <v>32</v>
      </c>
      <c r="T39" s="17">
        <v>12230</v>
      </c>
      <c r="U39" s="17">
        <v>1497</v>
      </c>
      <c r="V39" s="17">
        <v>8247500</v>
      </c>
      <c r="W39">
        <v>2635</v>
      </c>
      <c r="X39" s="17">
        <v>1923</v>
      </c>
      <c r="Y39" s="17">
        <v>1131</v>
      </c>
      <c r="Z39">
        <v>1024</v>
      </c>
      <c r="AA39">
        <v>438</v>
      </c>
      <c r="AB39">
        <v>159882396</v>
      </c>
      <c r="AC39">
        <v>553516744</v>
      </c>
      <c r="AD39">
        <v>89485282</v>
      </c>
      <c r="AF39">
        <v>823684971</v>
      </c>
      <c r="AG39">
        <v>6190740684</v>
      </c>
      <c r="AH39">
        <v>1407675391</v>
      </c>
      <c r="AI39">
        <v>23876242</v>
      </c>
      <c r="AJ39">
        <v>280</v>
      </c>
      <c r="AK39">
        <v>82</v>
      </c>
      <c r="AL39">
        <v>660864367</v>
      </c>
      <c r="AM39">
        <v>186</v>
      </c>
      <c r="AN39">
        <v>186</v>
      </c>
      <c r="AO39">
        <v>80333286</v>
      </c>
      <c r="AP39">
        <v>6</v>
      </c>
      <c r="AQ39">
        <v>269</v>
      </c>
      <c r="AR39">
        <v>1178000</v>
      </c>
      <c r="AS39" s="17" t="s">
        <v>59</v>
      </c>
      <c r="AT39" s="17">
        <v>3.04</v>
      </c>
      <c r="AU39" s="22">
        <v>425</v>
      </c>
      <c r="AV39" s="4">
        <v>1948</v>
      </c>
      <c r="AW39" s="5" t="s">
        <v>207</v>
      </c>
      <c r="AX39" s="13" t="s">
        <v>213</v>
      </c>
      <c r="AY39" s="17">
        <v>24.06</v>
      </c>
      <c r="AZ39" s="10">
        <f t="shared" si="1"/>
        <v>4945</v>
      </c>
      <c r="BA39">
        <v>11</v>
      </c>
      <c r="BB39">
        <v>1</v>
      </c>
      <c r="BE39" s="25"/>
    </row>
    <row r="40" spans="1:57" x14ac:dyDescent="0.35">
      <c r="A40" s="18">
        <v>38</v>
      </c>
      <c r="B40" s="18" t="s">
        <v>101</v>
      </c>
      <c r="C40">
        <v>11465</v>
      </c>
      <c r="D40">
        <f t="shared" si="0"/>
        <v>0.13891965054755753</v>
      </c>
      <c r="E40" s="20">
        <v>8647</v>
      </c>
      <c r="F40" s="20">
        <v>2168</v>
      </c>
      <c r="G40" s="18">
        <v>10815</v>
      </c>
      <c r="H40" s="20">
        <v>4470</v>
      </c>
      <c r="I40" s="20">
        <v>5705</v>
      </c>
      <c r="J40" s="20">
        <v>640</v>
      </c>
      <c r="K40" s="20">
        <v>153</v>
      </c>
      <c r="L40" s="20">
        <v>4476</v>
      </c>
      <c r="M40" s="20">
        <v>1259</v>
      </c>
      <c r="N40">
        <v>699</v>
      </c>
      <c r="O40">
        <v>58</v>
      </c>
      <c r="P40" s="18">
        <v>2613</v>
      </c>
      <c r="Q40">
        <v>8177</v>
      </c>
      <c r="R40" s="20">
        <v>5574</v>
      </c>
      <c r="S40">
        <v>106</v>
      </c>
      <c r="T40" s="18">
        <v>8127</v>
      </c>
      <c r="U40" s="18">
        <v>5761</v>
      </c>
      <c r="V40" s="18">
        <v>7300000</v>
      </c>
      <c r="W40">
        <v>1129</v>
      </c>
      <c r="X40" s="18">
        <v>731</v>
      </c>
      <c r="Y40" s="18">
        <v>664</v>
      </c>
      <c r="Z40">
        <v>99</v>
      </c>
      <c r="AA40">
        <v>94</v>
      </c>
      <c r="AB40">
        <v>198293598</v>
      </c>
      <c r="AC40">
        <v>376257960</v>
      </c>
      <c r="AD40">
        <v>182935586</v>
      </c>
      <c r="AF40">
        <v>186416187</v>
      </c>
      <c r="AG40">
        <v>3366872791</v>
      </c>
      <c r="AH40">
        <v>1890424701</v>
      </c>
      <c r="AI40">
        <v>544006365</v>
      </c>
      <c r="AJ40">
        <v>531</v>
      </c>
      <c r="AK40">
        <v>45</v>
      </c>
      <c r="AL40">
        <v>245104350</v>
      </c>
      <c r="AM40">
        <v>69</v>
      </c>
      <c r="AN40">
        <v>27</v>
      </c>
      <c r="AO40">
        <v>311565157</v>
      </c>
      <c r="AP40">
        <v>3</v>
      </c>
      <c r="AQ40">
        <v>115</v>
      </c>
      <c r="AR40">
        <v>29625000</v>
      </c>
      <c r="AS40" s="18" t="s">
        <v>59</v>
      </c>
      <c r="AT40" s="18">
        <v>3.22</v>
      </c>
      <c r="AU40" s="23">
        <v>901</v>
      </c>
      <c r="AV40" s="4">
        <v>1941</v>
      </c>
      <c r="AW40" s="5" t="s">
        <v>207</v>
      </c>
      <c r="AX40" s="13" t="s">
        <v>196</v>
      </c>
      <c r="AY40" s="18">
        <v>38.1</v>
      </c>
      <c r="AZ40" s="10">
        <f t="shared" si="1"/>
        <v>4629</v>
      </c>
      <c r="BA40">
        <v>20</v>
      </c>
      <c r="BB40">
        <v>2</v>
      </c>
      <c r="BE40" s="25"/>
    </row>
    <row r="41" spans="1:57" x14ac:dyDescent="0.35">
      <c r="A41" s="17">
        <v>39</v>
      </c>
      <c r="B41" s="17" t="s">
        <v>111</v>
      </c>
      <c r="C41">
        <v>4023</v>
      </c>
      <c r="D41">
        <f t="shared" si="0"/>
        <v>4.7035309793471022E-2</v>
      </c>
      <c r="E41" s="20">
        <v>1305</v>
      </c>
      <c r="F41" s="20">
        <v>1895</v>
      </c>
      <c r="G41" s="17">
        <v>3200</v>
      </c>
      <c r="H41" s="20">
        <v>2704</v>
      </c>
      <c r="I41" s="20">
        <v>470</v>
      </c>
      <c r="J41" s="20">
        <v>26</v>
      </c>
      <c r="K41" s="20">
        <v>368</v>
      </c>
      <c r="L41" s="20">
        <v>2493</v>
      </c>
      <c r="M41" s="20">
        <v>714</v>
      </c>
      <c r="N41">
        <v>30</v>
      </c>
      <c r="O41">
        <v>12</v>
      </c>
      <c r="P41" s="18">
        <v>2105</v>
      </c>
      <c r="Q41">
        <v>5173</v>
      </c>
      <c r="R41" s="20">
        <v>4320</v>
      </c>
      <c r="S41">
        <v>0</v>
      </c>
      <c r="T41" s="17">
        <v>7505</v>
      </c>
      <c r="U41" s="17">
        <v>630</v>
      </c>
      <c r="V41" s="17">
        <v>1430992</v>
      </c>
      <c r="W41">
        <v>353</v>
      </c>
      <c r="X41" s="17">
        <v>549</v>
      </c>
      <c r="Y41" s="17">
        <v>140</v>
      </c>
      <c r="Z41">
        <v>343</v>
      </c>
      <c r="AA41">
        <v>134</v>
      </c>
      <c r="AB41">
        <v>168781305</v>
      </c>
      <c r="AC41">
        <v>263273644</v>
      </c>
      <c r="AD41">
        <v>4048874</v>
      </c>
      <c r="AF41">
        <v>96560910</v>
      </c>
      <c r="AG41">
        <v>2627936200</v>
      </c>
      <c r="AH41">
        <v>247416593</v>
      </c>
      <c r="AI41">
        <v>26537122</v>
      </c>
      <c r="AJ41">
        <v>458</v>
      </c>
      <c r="AK41">
        <v>82</v>
      </c>
      <c r="AL41">
        <v>838143378</v>
      </c>
      <c r="AM41">
        <v>124</v>
      </c>
      <c r="AN41">
        <v>92</v>
      </c>
      <c r="AO41">
        <v>7454690</v>
      </c>
      <c r="AP41">
        <v>81</v>
      </c>
      <c r="AQ41">
        <v>2388</v>
      </c>
      <c r="AR41">
        <v>13596360</v>
      </c>
      <c r="AS41" s="17" t="s">
        <v>59</v>
      </c>
      <c r="AT41" s="17">
        <v>3.32</v>
      </c>
      <c r="AU41" s="22">
        <v>282</v>
      </c>
      <c r="AV41" s="4">
        <v>1857</v>
      </c>
      <c r="AW41" s="5" t="s">
        <v>207</v>
      </c>
      <c r="AX41" s="13" t="s">
        <v>196</v>
      </c>
      <c r="AY41" s="17">
        <v>36.909999999999997</v>
      </c>
      <c r="AZ41" s="10">
        <f t="shared" si="1"/>
        <v>2861</v>
      </c>
      <c r="BA41">
        <v>4</v>
      </c>
      <c r="BB41">
        <v>1</v>
      </c>
      <c r="BE41" s="25"/>
    </row>
    <row r="42" spans="1:57" x14ac:dyDescent="0.35">
      <c r="A42" s="18">
        <v>40</v>
      </c>
      <c r="B42" s="18" t="s">
        <v>85</v>
      </c>
      <c r="C42">
        <v>2752</v>
      </c>
      <c r="D42">
        <f t="shared" si="0"/>
        <v>0.27290477620907178</v>
      </c>
      <c r="E42" s="20">
        <v>527</v>
      </c>
      <c r="F42" s="20">
        <v>1851</v>
      </c>
      <c r="G42" s="18">
        <v>2378</v>
      </c>
      <c r="H42" s="20">
        <v>2267</v>
      </c>
      <c r="I42" s="20">
        <v>83</v>
      </c>
      <c r="J42" s="20">
        <v>28</v>
      </c>
      <c r="K42" s="20">
        <v>648</v>
      </c>
      <c r="L42" s="20">
        <v>1306</v>
      </c>
      <c r="M42" s="20">
        <v>1543</v>
      </c>
      <c r="N42">
        <v>342</v>
      </c>
      <c r="O42">
        <v>0</v>
      </c>
      <c r="P42" s="18">
        <v>69</v>
      </c>
      <c r="Q42">
        <v>3547</v>
      </c>
      <c r="R42" s="20">
        <v>3491</v>
      </c>
      <c r="S42">
        <v>0</v>
      </c>
      <c r="T42" s="18">
        <v>6658</v>
      </c>
      <c r="U42" s="18">
        <v>760</v>
      </c>
      <c r="V42" s="18">
        <v>876000</v>
      </c>
      <c r="W42">
        <v>1817</v>
      </c>
      <c r="X42" s="18">
        <v>1567</v>
      </c>
      <c r="Y42" s="18">
        <v>491</v>
      </c>
      <c r="Z42">
        <v>1412</v>
      </c>
      <c r="AA42">
        <v>385</v>
      </c>
      <c r="AB42">
        <v>299413154</v>
      </c>
      <c r="AC42">
        <v>599148280</v>
      </c>
      <c r="AD42">
        <v>457722443</v>
      </c>
      <c r="AF42">
        <v>847290063</v>
      </c>
      <c r="AG42">
        <v>3287066032</v>
      </c>
      <c r="AH42">
        <v>867924418</v>
      </c>
      <c r="AI42">
        <v>123141984</v>
      </c>
      <c r="AJ42">
        <v>234</v>
      </c>
      <c r="AK42">
        <v>74</v>
      </c>
      <c r="AL42">
        <v>303021260</v>
      </c>
      <c r="AM42">
        <v>5638</v>
      </c>
      <c r="AN42">
        <v>306</v>
      </c>
      <c r="AO42">
        <v>61447608</v>
      </c>
      <c r="AP42">
        <v>22</v>
      </c>
      <c r="AQ42">
        <v>4121</v>
      </c>
      <c r="AR42">
        <v>8773210</v>
      </c>
      <c r="AS42" s="18" t="s">
        <v>59</v>
      </c>
      <c r="AT42" s="18">
        <v>3.03</v>
      </c>
      <c r="AU42" s="23">
        <v>303</v>
      </c>
      <c r="AV42" s="4">
        <v>1937</v>
      </c>
      <c r="AW42" s="5" t="s">
        <v>207</v>
      </c>
      <c r="AX42" s="13" t="s">
        <v>213</v>
      </c>
      <c r="AY42" s="18">
        <v>1.54</v>
      </c>
      <c r="AZ42" s="10">
        <f t="shared" si="1"/>
        <v>1954</v>
      </c>
      <c r="BA42">
        <v>4</v>
      </c>
      <c r="BB42">
        <v>1</v>
      </c>
      <c r="BE42" s="25"/>
    </row>
    <row r="43" spans="1:57" x14ac:dyDescent="0.35">
      <c r="A43" s="17">
        <v>41</v>
      </c>
      <c r="B43" s="17" t="s">
        <v>98</v>
      </c>
      <c r="C43">
        <v>3105</v>
      </c>
      <c r="D43">
        <f t="shared" si="0"/>
        <v>6.4952130655152998E-2</v>
      </c>
      <c r="E43" s="20">
        <v>1374</v>
      </c>
      <c r="F43" s="20">
        <v>1739</v>
      </c>
      <c r="G43" s="17">
        <v>3113</v>
      </c>
      <c r="H43" s="20">
        <v>3011</v>
      </c>
      <c r="I43" s="20">
        <v>88</v>
      </c>
      <c r="J43" s="20">
        <v>14</v>
      </c>
      <c r="K43" s="20">
        <v>63</v>
      </c>
      <c r="L43" s="20">
        <v>1765</v>
      </c>
      <c r="M43" s="20">
        <v>420</v>
      </c>
      <c r="N43">
        <v>0</v>
      </c>
      <c r="O43">
        <v>0</v>
      </c>
      <c r="P43" s="18">
        <v>1408</v>
      </c>
      <c r="Q43">
        <v>3398</v>
      </c>
      <c r="R43" s="20">
        <v>3071</v>
      </c>
      <c r="S43">
        <v>49</v>
      </c>
      <c r="T43" s="17">
        <v>5327</v>
      </c>
      <c r="U43" s="17">
        <v>839</v>
      </c>
      <c r="V43" s="17">
        <v>5483000</v>
      </c>
      <c r="W43">
        <v>346</v>
      </c>
      <c r="X43" s="17">
        <v>585</v>
      </c>
      <c r="Y43" s="17">
        <v>301</v>
      </c>
      <c r="Z43">
        <v>253</v>
      </c>
      <c r="AA43">
        <v>286</v>
      </c>
      <c r="AB43">
        <v>338208004</v>
      </c>
      <c r="AC43">
        <v>100644360</v>
      </c>
      <c r="AD43">
        <v>50575314</v>
      </c>
      <c r="AF43">
        <v>61872808</v>
      </c>
      <c r="AG43">
        <v>3189826889</v>
      </c>
      <c r="AH43">
        <v>299595712</v>
      </c>
      <c r="AI43">
        <v>9427238</v>
      </c>
      <c r="AJ43">
        <v>402</v>
      </c>
      <c r="AK43">
        <v>81</v>
      </c>
      <c r="AL43">
        <v>527695395</v>
      </c>
      <c r="AM43">
        <v>1427</v>
      </c>
      <c r="AN43">
        <v>1766</v>
      </c>
      <c r="AO43">
        <v>68929913</v>
      </c>
      <c r="AP43">
        <v>8</v>
      </c>
      <c r="AQ43">
        <v>891</v>
      </c>
      <c r="AR43">
        <v>25540305</v>
      </c>
      <c r="AS43" s="17" t="s">
        <v>59</v>
      </c>
      <c r="AT43" s="17">
        <v>3.09</v>
      </c>
      <c r="AU43" s="22">
        <v>242</v>
      </c>
      <c r="AV43" s="4">
        <v>1971</v>
      </c>
      <c r="AW43" s="5" t="s">
        <v>207</v>
      </c>
      <c r="AX43" s="13" t="s">
        <v>213</v>
      </c>
      <c r="AY43" s="17">
        <v>27.11</v>
      </c>
      <c r="AZ43" s="10">
        <f t="shared" si="1"/>
        <v>1828</v>
      </c>
      <c r="BA43">
        <v>9</v>
      </c>
      <c r="BB43">
        <v>1</v>
      </c>
      <c r="BE43" s="25"/>
    </row>
    <row r="44" spans="1:57" x14ac:dyDescent="0.35">
      <c r="A44" s="18">
        <v>41</v>
      </c>
      <c r="B44" s="18" t="s">
        <v>107</v>
      </c>
      <c r="C44">
        <v>5117</v>
      </c>
      <c r="D44">
        <f t="shared" si="0"/>
        <v>0.1111111111111111</v>
      </c>
      <c r="E44" s="20">
        <v>1802</v>
      </c>
      <c r="F44" s="20">
        <v>2909</v>
      </c>
      <c r="G44" s="18">
        <v>4711</v>
      </c>
      <c r="H44" s="20">
        <v>2543</v>
      </c>
      <c r="I44" s="20">
        <v>2140</v>
      </c>
      <c r="J44" s="20">
        <v>28</v>
      </c>
      <c r="K44" s="20">
        <v>10</v>
      </c>
      <c r="L44" s="20">
        <v>1151</v>
      </c>
      <c r="M44" s="20">
        <v>9</v>
      </c>
      <c r="N44">
        <v>5</v>
      </c>
      <c r="O44">
        <v>0</v>
      </c>
      <c r="P44" s="18">
        <v>1147</v>
      </c>
      <c r="Q44">
        <v>3687</v>
      </c>
      <c r="R44" s="20">
        <v>3196</v>
      </c>
      <c r="S44">
        <v>9</v>
      </c>
      <c r="T44" s="18">
        <v>4815</v>
      </c>
      <c r="U44" s="18">
        <v>2511</v>
      </c>
      <c r="V44" s="18">
        <v>7368000</v>
      </c>
      <c r="W44">
        <v>535</v>
      </c>
      <c r="X44" s="18">
        <v>200</v>
      </c>
      <c r="Y44" s="18">
        <v>0</v>
      </c>
      <c r="Z44">
        <v>60</v>
      </c>
      <c r="AA44">
        <v>0</v>
      </c>
      <c r="AB44">
        <v>180053608</v>
      </c>
      <c r="AC44">
        <v>946404935</v>
      </c>
      <c r="AD44">
        <v>0</v>
      </c>
      <c r="AF44">
        <v>514776304</v>
      </c>
      <c r="AG44">
        <v>6640008512</v>
      </c>
      <c r="AH44">
        <v>4484085464</v>
      </c>
      <c r="AI44">
        <v>31456355</v>
      </c>
      <c r="AJ44">
        <v>220</v>
      </c>
      <c r="AK44">
        <v>67</v>
      </c>
      <c r="AL44">
        <v>110331144</v>
      </c>
      <c r="AM44">
        <v>57</v>
      </c>
      <c r="AN44">
        <v>39</v>
      </c>
      <c r="AO44">
        <v>421181183</v>
      </c>
      <c r="AP44">
        <v>49</v>
      </c>
      <c r="AQ44">
        <v>272</v>
      </c>
      <c r="AR44">
        <v>21670000</v>
      </c>
      <c r="AS44" s="18" t="s">
        <v>59</v>
      </c>
      <c r="AT44" s="18">
        <v>3.64</v>
      </c>
      <c r="AU44" s="23">
        <v>583</v>
      </c>
      <c r="AV44" s="4">
        <v>2003</v>
      </c>
      <c r="AW44" s="5" t="s">
        <v>217</v>
      </c>
      <c r="AX44" s="13" t="s">
        <v>196</v>
      </c>
      <c r="AY44" s="18">
        <v>37.630000000000003</v>
      </c>
      <c r="AZ44" s="10">
        <f t="shared" si="1"/>
        <v>1161</v>
      </c>
      <c r="BA44">
        <v>15</v>
      </c>
      <c r="BB44">
        <v>0</v>
      </c>
      <c r="BE44" s="25"/>
    </row>
    <row r="45" spans="1:57" x14ac:dyDescent="0.35">
      <c r="A45" s="17">
        <v>43</v>
      </c>
      <c r="B45" s="17" t="s">
        <v>112</v>
      </c>
      <c r="C45">
        <v>15167</v>
      </c>
      <c r="D45">
        <f t="shared" si="0"/>
        <v>0.11364215894602635</v>
      </c>
      <c r="E45" s="20">
        <v>6885</v>
      </c>
      <c r="F45" s="20">
        <v>5595</v>
      </c>
      <c r="G45" s="17">
        <v>12480</v>
      </c>
      <c r="H45" s="20">
        <v>3062</v>
      </c>
      <c r="I45" s="20">
        <v>9307</v>
      </c>
      <c r="J45" s="20">
        <v>111</v>
      </c>
      <c r="K45" s="20">
        <v>2263</v>
      </c>
      <c r="L45" s="20">
        <v>7016</v>
      </c>
      <c r="M45" s="20">
        <v>1194</v>
      </c>
      <c r="N45">
        <v>1610</v>
      </c>
      <c r="O45">
        <v>157</v>
      </c>
      <c r="P45" s="18">
        <v>6318</v>
      </c>
      <c r="Q45">
        <v>11575</v>
      </c>
      <c r="R45" s="20">
        <v>7877</v>
      </c>
      <c r="S45">
        <v>173</v>
      </c>
      <c r="T45" s="17">
        <v>11765</v>
      </c>
      <c r="U45" s="17">
        <v>8205</v>
      </c>
      <c r="V45" s="17">
        <v>6560000</v>
      </c>
      <c r="W45">
        <v>1337</v>
      </c>
      <c r="X45" s="17">
        <v>323</v>
      </c>
      <c r="Y45" s="17">
        <v>693</v>
      </c>
      <c r="Z45">
        <v>86</v>
      </c>
      <c r="AA45">
        <v>294</v>
      </c>
      <c r="AB45">
        <v>393079793</v>
      </c>
      <c r="AC45">
        <v>896450178</v>
      </c>
      <c r="AD45">
        <v>140848607</v>
      </c>
      <c r="AF45">
        <v>430546827</v>
      </c>
      <c r="AG45">
        <v>4054947875</v>
      </c>
      <c r="AH45">
        <v>636461434</v>
      </c>
      <c r="AI45">
        <v>68410076</v>
      </c>
      <c r="AJ45">
        <v>386</v>
      </c>
      <c r="AK45">
        <v>183</v>
      </c>
      <c r="AL45">
        <v>544103810</v>
      </c>
      <c r="AM45">
        <v>250</v>
      </c>
      <c r="AN45">
        <v>144</v>
      </c>
      <c r="AO45">
        <v>80704000</v>
      </c>
      <c r="AP45">
        <v>74</v>
      </c>
      <c r="AQ45">
        <v>823</v>
      </c>
      <c r="AR45">
        <v>16796500</v>
      </c>
      <c r="AS45" s="17" t="s">
        <v>59</v>
      </c>
      <c r="AT45" s="17">
        <v>3.09</v>
      </c>
      <c r="AU45" s="22">
        <v>1260</v>
      </c>
      <c r="AV45" s="4">
        <v>1987</v>
      </c>
      <c r="AW45" s="5" t="s">
        <v>217</v>
      </c>
      <c r="AX45" s="13" t="s">
        <v>196</v>
      </c>
      <c r="AY45" s="17">
        <v>34.5</v>
      </c>
      <c r="AZ45" s="10">
        <f t="shared" si="1"/>
        <v>9279</v>
      </c>
      <c r="BA45">
        <v>30</v>
      </c>
      <c r="BB45">
        <v>1</v>
      </c>
      <c r="BE45" s="25"/>
    </row>
    <row r="46" spans="1:57" x14ac:dyDescent="0.35">
      <c r="A46" s="18">
        <v>44</v>
      </c>
      <c r="B46" s="18" t="s">
        <v>109</v>
      </c>
      <c r="C46">
        <v>11989</v>
      </c>
      <c r="D46">
        <f t="shared" si="0"/>
        <v>0.16446028513238289</v>
      </c>
      <c r="E46" s="20">
        <v>4666</v>
      </c>
      <c r="F46" s="20">
        <v>5896</v>
      </c>
      <c r="G46" s="18">
        <v>10562</v>
      </c>
      <c r="H46" s="20">
        <v>8761</v>
      </c>
      <c r="I46" s="20">
        <v>1770</v>
      </c>
      <c r="J46" s="20">
        <v>31</v>
      </c>
      <c r="K46" s="20">
        <v>1308</v>
      </c>
      <c r="L46" s="20">
        <v>2651</v>
      </c>
      <c r="M46" s="20">
        <v>1656</v>
      </c>
      <c r="N46">
        <v>1258</v>
      </c>
      <c r="O46">
        <v>55</v>
      </c>
      <c r="P46" s="18">
        <v>990</v>
      </c>
      <c r="Q46">
        <v>11393</v>
      </c>
      <c r="R46" s="20">
        <v>9759</v>
      </c>
      <c r="S46">
        <v>4</v>
      </c>
      <c r="T46" s="18">
        <v>15712</v>
      </c>
      <c r="U46" s="18">
        <v>7382</v>
      </c>
      <c r="V46" s="18">
        <v>21036000</v>
      </c>
      <c r="W46">
        <v>2584</v>
      </c>
      <c r="X46" s="18">
        <v>620</v>
      </c>
      <c r="Y46" s="18">
        <v>416</v>
      </c>
      <c r="Z46">
        <v>419</v>
      </c>
      <c r="AA46">
        <v>132</v>
      </c>
      <c r="AB46">
        <v>420929875</v>
      </c>
      <c r="AC46">
        <v>331087450</v>
      </c>
      <c r="AD46">
        <v>23142663</v>
      </c>
      <c r="AF46">
        <v>343103340</v>
      </c>
      <c r="AG46">
        <v>4272915238</v>
      </c>
      <c r="AH46">
        <v>4905909002</v>
      </c>
      <c r="AI46">
        <v>16612663</v>
      </c>
      <c r="AJ46">
        <v>186</v>
      </c>
      <c r="AK46">
        <v>44</v>
      </c>
      <c r="AL46">
        <v>314997990</v>
      </c>
      <c r="AM46">
        <v>27</v>
      </c>
      <c r="AN46">
        <v>30</v>
      </c>
      <c r="AO46">
        <v>51955956</v>
      </c>
      <c r="AP46">
        <v>40</v>
      </c>
      <c r="AQ46">
        <v>3380</v>
      </c>
      <c r="AR46">
        <v>360452370</v>
      </c>
      <c r="AS46" s="18"/>
      <c r="AT46" s="18">
        <v>3.51</v>
      </c>
      <c r="AU46" s="23">
        <v>633</v>
      </c>
      <c r="AV46" s="4">
        <v>1969</v>
      </c>
      <c r="AW46" s="5" t="s">
        <v>207</v>
      </c>
      <c r="AX46" s="13" t="s">
        <v>213</v>
      </c>
      <c r="AY46" s="18">
        <v>37.01</v>
      </c>
      <c r="AZ46" s="10">
        <f t="shared" si="1"/>
        <v>3959</v>
      </c>
      <c r="BA46">
        <v>5</v>
      </c>
      <c r="BB46">
        <v>1</v>
      </c>
      <c r="BE46" s="25"/>
    </row>
    <row r="47" spans="1:57" x14ac:dyDescent="0.35">
      <c r="A47" s="17">
        <v>45</v>
      </c>
      <c r="B47" s="17" t="s">
        <v>117</v>
      </c>
      <c r="C47">
        <v>7707</v>
      </c>
      <c r="D47">
        <f t="shared" si="0"/>
        <v>0.10659307271622442</v>
      </c>
      <c r="E47" s="20">
        <v>3945</v>
      </c>
      <c r="F47" s="20">
        <v>3579</v>
      </c>
      <c r="G47" s="17">
        <v>7524</v>
      </c>
      <c r="H47" s="20">
        <v>6697</v>
      </c>
      <c r="I47" s="20">
        <v>714</v>
      </c>
      <c r="J47" s="20">
        <v>113</v>
      </c>
      <c r="K47" s="20">
        <v>1764</v>
      </c>
      <c r="L47" s="20">
        <v>4313</v>
      </c>
      <c r="M47" s="20">
        <v>4246</v>
      </c>
      <c r="N47">
        <v>739</v>
      </c>
      <c r="O47">
        <v>148</v>
      </c>
      <c r="P47" s="18">
        <v>944</v>
      </c>
      <c r="Q47">
        <v>11099</v>
      </c>
      <c r="R47" s="20">
        <v>10329</v>
      </c>
      <c r="S47">
        <v>0</v>
      </c>
      <c r="T47" s="17">
        <v>19748</v>
      </c>
      <c r="U47" s="17">
        <v>6180</v>
      </c>
      <c r="V47" s="17">
        <v>7079000</v>
      </c>
      <c r="W47">
        <v>2105</v>
      </c>
      <c r="X47" s="17">
        <v>1147</v>
      </c>
      <c r="Y47" s="17">
        <v>0</v>
      </c>
      <c r="Z47">
        <v>589</v>
      </c>
      <c r="AA47">
        <v>0</v>
      </c>
      <c r="AB47">
        <v>530767260</v>
      </c>
      <c r="AC47">
        <v>398482590</v>
      </c>
      <c r="AD47">
        <v>30250570</v>
      </c>
      <c r="AF47">
        <v>1039220095</v>
      </c>
      <c r="AG47">
        <v>4540067426</v>
      </c>
      <c r="AH47">
        <v>6186574522</v>
      </c>
      <c r="AI47">
        <v>140695728</v>
      </c>
      <c r="AJ47">
        <v>92</v>
      </c>
      <c r="AK47">
        <v>66</v>
      </c>
      <c r="AL47">
        <v>628582342</v>
      </c>
      <c r="AM47">
        <v>19</v>
      </c>
      <c r="AN47">
        <v>18</v>
      </c>
      <c r="AO47">
        <v>20900548</v>
      </c>
      <c r="AP47">
        <v>48</v>
      </c>
      <c r="AQ47">
        <v>2573</v>
      </c>
      <c r="AR47">
        <v>79079320</v>
      </c>
      <c r="AS47" s="17" t="s">
        <v>59</v>
      </c>
      <c r="AT47" s="17">
        <v>3.65</v>
      </c>
      <c r="AU47" s="22">
        <v>445</v>
      </c>
      <c r="AV47" s="4">
        <v>1857</v>
      </c>
      <c r="AW47" s="5" t="s">
        <v>207</v>
      </c>
      <c r="AX47" s="13" t="s">
        <v>196</v>
      </c>
      <c r="AY47" s="17">
        <v>35.08</v>
      </c>
      <c r="AZ47" s="10">
        <f t="shared" si="1"/>
        <v>6077</v>
      </c>
      <c r="BA47">
        <v>15</v>
      </c>
      <c r="BB47">
        <v>0</v>
      </c>
      <c r="BE47" s="25"/>
    </row>
    <row r="48" spans="1:57" x14ac:dyDescent="0.35">
      <c r="A48" s="18">
        <v>45</v>
      </c>
      <c r="B48" s="18" t="s">
        <v>110</v>
      </c>
      <c r="C48">
        <v>6756</v>
      </c>
      <c r="D48">
        <f t="shared" si="0"/>
        <v>0.10155455469998548</v>
      </c>
      <c r="E48" s="20">
        <v>3408</v>
      </c>
      <c r="F48" s="20">
        <v>3005</v>
      </c>
      <c r="G48" s="18">
        <v>6413</v>
      </c>
      <c r="H48" s="20">
        <v>2847</v>
      </c>
      <c r="I48" s="20">
        <v>3370</v>
      </c>
      <c r="J48" s="20">
        <v>196</v>
      </c>
      <c r="K48" s="20">
        <v>503</v>
      </c>
      <c r="L48" s="20">
        <v>988</v>
      </c>
      <c r="M48" s="20">
        <v>336</v>
      </c>
      <c r="N48">
        <v>86</v>
      </c>
      <c r="O48">
        <v>3</v>
      </c>
      <c r="P48" s="18">
        <v>1339</v>
      </c>
      <c r="Q48">
        <v>5127</v>
      </c>
      <c r="R48" s="20">
        <v>4276</v>
      </c>
      <c r="S48">
        <v>139</v>
      </c>
      <c r="T48" s="18">
        <v>6883</v>
      </c>
      <c r="U48" s="18">
        <v>1554</v>
      </c>
      <c r="V48" s="18">
        <v>7595000</v>
      </c>
      <c r="W48">
        <v>699</v>
      </c>
      <c r="X48" s="18">
        <v>591</v>
      </c>
      <c r="Y48" s="18">
        <v>0</v>
      </c>
      <c r="Z48">
        <v>177</v>
      </c>
      <c r="AA48">
        <v>0</v>
      </c>
      <c r="AB48">
        <v>421423004</v>
      </c>
      <c r="AC48">
        <v>99079169</v>
      </c>
      <c r="AD48">
        <v>1765122</v>
      </c>
      <c r="AF48">
        <v>130218795</v>
      </c>
      <c r="AG48">
        <v>4038102706</v>
      </c>
      <c r="AH48">
        <v>1651751530</v>
      </c>
      <c r="AI48">
        <v>18147446</v>
      </c>
      <c r="AJ48">
        <v>286</v>
      </c>
      <c r="AK48">
        <v>78</v>
      </c>
      <c r="AL48">
        <v>1040176694</v>
      </c>
      <c r="AM48">
        <v>45</v>
      </c>
      <c r="AN48">
        <v>37</v>
      </c>
      <c r="AO48">
        <v>186129520</v>
      </c>
      <c r="AP48">
        <v>18</v>
      </c>
      <c r="AQ48">
        <v>480</v>
      </c>
      <c r="AR48">
        <v>16704570</v>
      </c>
      <c r="AS48" s="18" t="s">
        <v>59</v>
      </c>
      <c r="AT48" s="18">
        <v>3.15</v>
      </c>
      <c r="AU48" s="23">
        <v>482</v>
      </c>
      <c r="AV48" s="4">
        <v>1989</v>
      </c>
      <c r="AW48" s="5" t="s">
        <v>217</v>
      </c>
      <c r="AX48" s="13" t="s">
        <v>196</v>
      </c>
      <c r="AY48" s="18">
        <v>26.53</v>
      </c>
      <c r="AZ48" s="10">
        <f t="shared" si="1"/>
        <v>1764</v>
      </c>
      <c r="BA48">
        <v>20</v>
      </c>
      <c r="BB48">
        <v>2</v>
      </c>
      <c r="BE48" s="25"/>
    </row>
    <row r="49" spans="1:57" x14ac:dyDescent="0.35">
      <c r="A49" s="17">
        <v>47</v>
      </c>
      <c r="B49" s="17" t="s">
        <v>99</v>
      </c>
      <c r="C49">
        <v>33161</v>
      </c>
      <c r="D49">
        <f t="shared" si="0"/>
        <v>7.5322693035139526E-2</v>
      </c>
      <c r="E49" s="20">
        <v>25072</v>
      </c>
      <c r="F49" s="20">
        <v>7761</v>
      </c>
      <c r="G49" s="17">
        <v>32833</v>
      </c>
      <c r="H49" s="20">
        <v>3170</v>
      </c>
      <c r="I49" s="20">
        <v>27927</v>
      </c>
      <c r="J49" s="20">
        <v>1736</v>
      </c>
      <c r="K49" s="20">
        <v>4996</v>
      </c>
      <c r="L49" s="20">
        <v>7546</v>
      </c>
      <c r="M49" s="20">
        <v>660</v>
      </c>
      <c r="N49">
        <v>6891</v>
      </c>
      <c r="O49">
        <v>10</v>
      </c>
      <c r="P49" s="18">
        <v>4981</v>
      </c>
      <c r="Q49">
        <v>27796</v>
      </c>
      <c r="R49" s="20">
        <v>22212</v>
      </c>
      <c r="S49">
        <v>690</v>
      </c>
      <c r="T49" s="17">
        <v>30137</v>
      </c>
      <c r="U49" s="17">
        <v>12305</v>
      </c>
      <c r="V49" s="17">
        <v>7190550</v>
      </c>
      <c r="W49">
        <v>2270</v>
      </c>
      <c r="X49" s="17">
        <v>620</v>
      </c>
      <c r="Y49" s="17">
        <v>1543</v>
      </c>
      <c r="Z49">
        <v>91</v>
      </c>
      <c r="AA49">
        <v>199</v>
      </c>
      <c r="AB49">
        <v>179067033</v>
      </c>
      <c r="AC49">
        <v>268413331</v>
      </c>
      <c r="AD49">
        <v>2319354</v>
      </c>
      <c r="AF49">
        <v>1057312267</v>
      </c>
      <c r="AG49">
        <v>4776156308</v>
      </c>
      <c r="AH49">
        <v>5117596565</v>
      </c>
      <c r="AI49">
        <v>52100065</v>
      </c>
      <c r="AJ49">
        <v>306</v>
      </c>
      <c r="AK49">
        <v>231</v>
      </c>
      <c r="AL49">
        <v>191122263</v>
      </c>
      <c r="AM49">
        <v>627</v>
      </c>
      <c r="AN49">
        <v>432</v>
      </c>
      <c r="AO49">
        <v>181663322</v>
      </c>
      <c r="AP49">
        <v>10</v>
      </c>
      <c r="AQ49">
        <v>987</v>
      </c>
      <c r="AR49">
        <v>165795000</v>
      </c>
      <c r="AS49" s="17" t="s">
        <v>74</v>
      </c>
      <c r="AT49" s="17" t="s">
        <v>495</v>
      </c>
      <c r="AU49" s="22">
        <v>2371</v>
      </c>
      <c r="AV49" s="4">
        <v>2005</v>
      </c>
      <c r="AW49" s="5" t="s">
        <v>217</v>
      </c>
      <c r="AX49" s="13" t="s">
        <v>219</v>
      </c>
      <c r="AY49" s="17">
        <v>14.4</v>
      </c>
      <c r="AZ49" s="10">
        <f t="shared" si="1"/>
        <v>12542</v>
      </c>
      <c r="BA49">
        <v>15</v>
      </c>
      <c r="BB49">
        <v>1</v>
      </c>
      <c r="BE49" s="25"/>
    </row>
    <row r="50" spans="1:57" x14ac:dyDescent="0.35">
      <c r="A50" s="18">
        <v>48</v>
      </c>
      <c r="B50" s="18" t="s">
        <v>118</v>
      </c>
      <c r="C50">
        <v>7794</v>
      </c>
      <c r="D50">
        <f t="shared" si="0"/>
        <v>0.21600531296695999</v>
      </c>
      <c r="E50" s="20">
        <v>2686</v>
      </c>
      <c r="F50" s="20">
        <v>4878</v>
      </c>
      <c r="G50" s="18">
        <v>7564</v>
      </c>
      <c r="H50" s="20">
        <v>4277</v>
      </c>
      <c r="I50" s="20">
        <v>3061</v>
      </c>
      <c r="J50" s="20">
        <v>226</v>
      </c>
      <c r="K50" s="20">
        <v>380</v>
      </c>
      <c r="L50" s="20">
        <v>2339</v>
      </c>
      <c r="M50" s="20">
        <v>322</v>
      </c>
      <c r="N50">
        <v>1074</v>
      </c>
      <c r="O50">
        <v>612</v>
      </c>
      <c r="P50" s="18">
        <v>711</v>
      </c>
      <c r="Q50">
        <v>5012</v>
      </c>
      <c r="R50" s="20">
        <v>4109</v>
      </c>
      <c r="S50">
        <v>69</v>
      </c>
      <c r="T50" s="18">
        <v>6023</v>
      </c>
      <c r="U50" s="18">
        <v>2424</v>
      </c>
      <c r="V50" s="18">
        <v>12911000</v>
      </c>
      <c r="W50">
        <v>1301</v>
      </c>
      <c r="X50" s="18">
        <v>153</v>
      </c>
      <c r="Y50" s="18">
        <v>117</v>
      </c>
      <c r="Z50">
        <v>61</v>
      </c>
      <c r="AA50">
        <v>49</v>
      </c>
      <c r="AB50">
        <v>271292589</v>
      </c>
      <c r="AC50">
        <v>707221739</v>
      </c>
      <c r="AD50">
        <v>94048615</v>
      </c>
      <c r="AF50">
        <v>219988510</v>
      </c>
      <c r="AG50">
        <v>7239778186</v>
      </c>
      <c r="AH50">
        <v>10308422199</v>
      </c>
      <c r="AI50">
        <v>72562548</v>
      </c>
      <c r="AJ50">
        <v>356</v>
      </c>
      <c r="AK50">
        <v>84</v>
      </c>
      <c r="AL50">
        <v>499303172</v>
      </c>
      <c r="AM50">
        <v>460</v>
      </c>
      <c r="AN50">
        <v>373</v>
      </c>
      <c r="AO50">
        <v>277123867</v>
      </c>
      <c r="AP50">
        <v>76</v>
      </c>
      <c r="AQ50">
        <v>9662</v>
      </c>
      <c r="AR50">
        <v>25606897</v>
      </c>
      <c r="AS50" s="18" t="s">
        <v>59</v>
      </c>
      <c r="AT50" s="18">
        <v>3.53</v>
      </c>
      <c r="AU50" s="23">
        <v>750</v>
      </c>
      <c r="AV50" s="4">
        <v>1985</v>
      </c>
      <c r="AW50" s="5" t="s">
        <v>217</v>
      </c>
      <c r="AX50" s="13" t="s">
        <v>196</v>
      </c>
      <c r="AY50" s="18">
        <v>34.74</v>
      </c>
      <c r="AZ50" s="10">
        <f t="shared" si="1"/>
        <v>2719</v>
      </c>
      <c r="BA50">
        <v>20</v>
      </c>
      <c r="BB50">
        <v>1</v>
      </c>
      <c r="BE50" s="25"/>
    </row>
    <row r="51" spans="1:57" x14ac:dyDescent="0.35">
      <c r="A51" s="17">
        <v>49</v>
      </c>
      <c r="B51" s="17" t="s">
        <v>119</v>
      </c>
      <c r="C51">
        <v>11303</v>
      </c>
      <c r="D51">
        <f t="shared" si="0"/>
        <v>0.21420063525674959</v>
      </c>
      <c r="E51" s="20">
        <v>0</v>
      </c>
      <c r="F51" s="20">
        <v>11688</v>
      </c>
      <c r="G51" s="17">
        <v>11688</v>
      </c>
      <c r="H51" s="20">
        <v>1134</v>
      </c>
      <c r="I51" s="20">
        <v>10257</v>
      </c>
      <c r="J51" s="20">
        <v>297</v>
      </c>
      <c r="K51" s="20">
        <v>1330</v>
      </c>
      <c r="L51" s="20">
        <v>1085</v>
      </c>
      <c r="M51" s="20">
        <v>47</v>
      </c>
      <c r="N51">
        <v>1539</v>
      </c>
      <c r="O51">
        <v>102</v>
      </c>
      <c r="P51" s="18">
        <v>727</v>
      </c>
      <c r="Q51">
        <v>11135</v>
      </c>
      <c r="R51" s="20">
        <v>10295</v>
      </c>
      <c r="S51">
        <v>41</v>
      </c>
      <c r="T51" s="17">
        <v>15112</v>
      </c>
      <c r="U51" s="17">
        <v>3775</v>
      </c>
      <c r="V51" s="17">
        <v>4982000</v>
      </c>
      <c r="W51">
        <v>3237</v>
      </c>
      <c r="X51" s="17">
        <v>911</v>
      </c>
      <c r="Y51" s="17">
        <v>0</v>
      </c>
      <c r="Z51">
        <v>713</v>
      </c>
      <c r="AA51">
        <v>0</v>
      </c>
      <c r="AB51">
        <v>219711814</v>
      </c>
      <c r="AC51">
        <v>675850445</v>
      </c>
      <c r="AD51">
        <v>34385669</v>
      </c>
      <c r="AF51">
        <v>127619133</v>
      </c>
      <c r="AG51">
        <v>2900758373</v>
      </c>
      <c r="AH51">
        <v>2018856873</v>
      </c>
      <c r="AI51">
        <v>11182631</v>
      </c>
      <c r="AJ51">
        <v>117</v>
      </c>
      <c r="AK51">
        <v>55</v>
      </c>
      <c r="AL51">
        <v>510761793</v>
      </c>
      <c r="AM51">
        <v>30</v>
      </c>
      <c r="AN51">
        <v>24</v>
      </c>
      <c r="AO51">
        <v>261767053</v>
      </c>
      <c r="AP51">
        <v>50</v>
      </c>
      <c r="AQ51">
        <v>335</v>
      </c>
      <c r="AR51">
        <v>3618900</v>
      </c>
      <c r="AS51" s="17" t="s">
        <v>59</v>
      </c>
      <c r="AT51" s="17">
        <v>3.63</v>
      </c>
      <c r="AU51" s="22">
        <v>621</v>
      </c>
      <c r="AV51" s="4">
        <v>1935</v>
      </c>
      <c r="AW51" s="5" t="s">
        <v>217</v>
      </c>
      <c r="AX51" s="13" t="s">
        <v>219</v>
      </c>
      <c r="AY51" s="17">
        <v>33.71</v>
      </c>
      <c r="AZ51" s="10">
        <f t="shared" si="1"/>
        <v>2415</v>
      </c>
      <c r="BA51">
        <v>80</v>
      </c>
      <c r="BB51">
        <v>0</v>
      </c>
      <c r="BE51" s="25"/>
    </row>
    <row r="52" spans="1:57" x14ac:dyDescent="0.35">
      <c r="A52" s="18">
        <v>50</v>
      </c>
      <c r="B52" s="18" t="s">
        <v>106</v>
      </c>
      <c r="C52">
        <v>2749</v>
      </c>
      <c r="D52">
        <f t="shared" si="0"/>
        <v>8.4886128364389232E-2</v>
      </c>
      <c r="E52" s="20">
        <v>1231</v>
      </c>
      <c r="F52" s="20">
        <v>1042</v>
      </c>
      <c r="G52" s="18">
        <v>2273</v>
      </c>
      <c r="H52" s="20">
        <v>1602</v>
      </c>
      <c r="I52" s="20">
        <v>671</v>
      </c>
      <c r="J52" s="20">
        <v>0</v>
      </c>
      <c r="K52" s="20">
        <v>0</v>
      </c>
      <c r="L52" s="20">
        <v>1325</v>
      </c>
      <c r="M52" s="20">
        <v>649</v>
      </c>
      <c r="N52">
        <v>0</v>
      </c>
      <c r="O52">
        <v>0</v>
      </c>
      <c r="P52" s="18">
        <v>676</v>
      </c>
      <c r="Q52">
        <v>1738</v>
      </c>
      <c r="R52" s="20">
        <v>1722</v>
      </c>
      <c r="S52">
        <v>0</v>
      </c>
      <c r="T52" s="18">
        <v>2415</v>
      </c>
      <c r="U52" s="18">
        <v>716</v>
      </c>
      <c r="V52" s="18">
        <v>29600000</v>
      </c>
      <c r="W52">
        <v>205</v>
      </c>
      <c r="X52" s="18">
        <v>167</v>
      </c>
      <c r="Y52" s="18">
        <v>0</v>
      </c>
      <c r="Z52">
        <v>46</v>
      </c>
      <c r="AA52">
        <v>0</v>
      </c>
      <c r="AB52">
        <v>207867934</v>
      </c>
      <c r="AC52">
        <v>1305699448</v>
      </c>
      <c r="AD52">
        <v>0</v>
      </c>
      <c r="AF52">
        <v>0</v>
      </c>
      <c r="AG52">
        <v>33237773049</v>
      </c>
      <c r="AH52">
        <v>989176866</v>
      </c>
      <c r="AI52">
        <v>96094858</v>
      </c>
      <c r="AJ52">
        <v>697</v>
      </c>
      <c r="AK52">
        <v>166</v>
      </c>
      <c r="AL52">
        <v>819692807</v>
      </c>
      <c r="AM52">
        <v>154</v>
      </c>
      <c r="AN52">
        <v>55</v>
      </c>
      <c r="AO52">
        <v>103865125</v>
      </c>
      <c r="AP52">
        <v>35</v>
      </c>
      <c r="AQ52">
        <v>167</v>
      </c>
      <c r="AR52">
        <v>0</v>
      </c>
      <c r="AS52" s="18" t="s">
        <v>59</v>
      </c>
      <c r="AT52" s="18">
        <v>3.14</v>
      </c>
      <c r="AU52" s="23">
        <v>435</v>
      </c>
      <c r="AV52" s="4">
        <v>1911</v>
      </c>
      <c r="AW52" s="5" t="s">
        <v>207</v>
      </c>
      <c r="AX52" s="13" t="s">
        <v>213</v>
      </c>
      <c r="AY52" s="18">
        <v>24.7</v>
      </c>
      <c r="AZ52" s="10">
        <f t="shared" si="1"/>
        <v>1325</v>
      </c>
      <c r="BA52">
        <v>5</v>
      </c>
      <c r="BB52">
        <v>0</v>
      </c>
      <c r="BE52" s="25"/>
    </row>
    <row r="53" spans="1:57" x14ac:dyDescent="0.35">
      <c r="A53" s="17">
        <v>51</v>
      </c>
      <c r="B53" s="17" t="s">
        <v>481</v>
      </c>
      <c r="C53">
        <v>7019</v>
      </c>
      <c r="D53">
        <f t="shared" si="0"/>
        <v>0.1096758166687368</v>
      </c>
      <c r="E53" s="20">
        <v>3805</v>
      </c>
      <c r="F53" s="20">
        <v>3078</v>
      </c>
      <c r="G53" s="17">
        <v>6883</v>
      </c>
      <c r="H53" s="20">
        <v>3184</v>
      </c>
      <c r="I53" s="20">
        <v>3692</v>
      </c>
      <c r="J53" s="20">
        <v>7</v>
      </c>
      <c r="K53" s="20">
        <v>483</v>
      </c>
      <c r="L53" s="20">
        <v>1037</v>
      </c>
      <c r="M53" s="20">
        <v>11</v>
      </c>
      <c r="N53">
        <v>11</v>
      </c>
      <c r="O53">
        <v>57</v>
      </c>
      <c r="P53" s="18">
        <v>1441</v>
      </c>
      <c r="Q53">
        <v>6416</v>
      </c>
      <c r="R53" s="20">
        <v>5505</v>
      </c>
      <c r="S53">
        <v>122</v>
      </c>
      <c r="T53" s="17">
        <v>8051</v>
      </c>
      <c r="U53" s="17">
        <v>4068</v>
      </c>
      <c r="V53" s="17">
        <v>11337508</v>
      </c>
      <c r="W53">
        <v>883</v>
      </c>
      <c r="X53" s="17">
        <v>252</v>
      </c>
      <c r="Y53" s="17">
        <v>0</v>
      </c>
      <c r="Z53">
        <v>64</v>
      </c>
      <c r="AA53">
        <v>0</v>
      </c>
      <c r="AB53">
        <v>156128699</v>
      </c>
      <c r="AC53">
        <v>15061526</v>
      </c>
      <c r="AD53">
        <v>10924489</v>
      </c>
      <c r="AF53">
        <v>1314176783</v>
      </c>
      <c r="AG53">
        <v>5273728964</v>
      </c>
      <c r="AH53">
        <v>6742994401</v>
      </c>
      <c r="AI53">
        <v>38740241</v>
      </c>
      <c r="AJ53">
        <v>113</v>
      </c>
      <c r="AK53">
        <v>73</v>
      </c>
      <c r="AL53">
        <v>58798052</v>
      </c>
      <c r="AM53">
        <v>161</v>
      </c>
      <c r="AN53">
        <v>83</v>
      </c>
      <c r="AO53">
        <v>253607155</v>
      </c>
      <c r="AP53">
        <v>15</v>
      </c>
      <c r="AQ53">
        <v>502</v>
      </c>
      <c r="AR53">
        <v>225896500</v>
      </c>
      <c r="AS53" s="17" t="s">
        <v>59</v>
      </c>
      <c r="AT53" s="17">
        <v>3.59</v>
      </c>
      <c r="AU53" s="22">
        <v>554</v>
      </c>
      <c r="AV53" s="4">
        <v>1981</v>
      </c>
      <c r="AW53" s="5" t="s">
        <v>217</v>
      </c>
      <c r="AX53" s="13" t="s">
        <v>196</v>
      </c>
      <c r="AY53" s="17">
        <v>35.08</v>
      </c>
      <c r="AZ53" s="10">
        <f t="shared" si="1"/>
        <v>1520</v>
      </c>
      <c r="BA53">
        <v>20</v>
      </c>
      <c r="BB53">
        <v>0</v>
      </c>
      <c r="BE53" s="25"/>
    </row>
    <row r="54" spans="1:57" x14ac:dyDescent="0.35">
      <c r="A54" s="18">
        <v>52</v>
      </c>
      <c r="B54" s="18" t="s">
        <v>114</v>
      </c>
      <c r="C54">
        <v>1841</v>
      </c>
      <c r="D54">
        <f t="shared" si="0"/>
        <v>7.7694954128440366E-2</v>
      </c>
      <c r="E54" s="20">
        <v>886</v>
      </c>
      <c r="F54" s="20">
        <v>868</v>
      </c>
      <c r="G54" s="18">
        <v>1754</v>
      </c>
      <c r="H54" s="20">
        <v>1524</v>
      </c>
      <c r="I54" s="20">
        <v>230</v>
      </c>
      <c r="J54" s="20">
        <v>0</v>
      </c>
      <c r="K54" s="20">
        <v>221</v>
      </c>
      <c r="L54" s="20">
        <v>638</v>
      </c>
      <c r="M54" s="20">
        <v>325</v>
      </c>
      <c r="N54">
        <v>67</v>
      </c>
      <c r="O54">
        <v>0</v>
      </c>
      <c r="P54" s="18">
        <v>467</v>
      </c>
      <c r="Q54">
        <v>2540</v>
      </c>
      <c r="R54" s="20">
        <v>2143</v>
      </c>
      <c r="S54">
        <v>0</v>
      </c>
      <c r="T54" s="18">
        <v>3488</v>
      </c>
      <c r="U54" s="18">
        <v>425</v>
      </c>
      <c r="V54" s="18">
        <v>1916000</v>
      </c>
      <c r="W54">
        <v>271</v>
      </c>
      <c r="X54" s="18">
        <v>329</v>
      </c>
      <c r="Y54" s="18">
        <v>1040</v>
      </c>
      <c r="Z54">
        <v>197</v>
      </c>
      <c r="AA54">
        <v>338</v>
      </c>
      <c r="AB54">
        <v>55575897</v>
      </c>
      <c r="AC54">
        <v>90002341</v>
      </c>
      <c r="AD54">
        <v>0</v>
      </c>
      <c r="AF54">
        <v>89769659</v>
      </c>
      <c r="AG54">
        <v>1589460161</v>
      </c>
      <c r="AH54">
        <v>549079937</v>
      </c>
      <c r="AI54">
        <v>12928325</v>
      </c>
      <c r="AJ54">
        <v>269</v>
      </c>
      <c r="AK54">
        <v>39</v>
      </c>
      <c r="AL54">
        <v>338643655</v>
      </c>
      <c r="AM54">
        <v>8</v>
      </c>
      <c r="AN54">
        <v>89</v>
      </c>
      <c r="AO54">
        <v>6791734</v>
      </c>
      <c r="AP54">
        <v>47</v>
      </c>
      <c r="AQ54">
        <v>4378</v>
      </c>
      <c r="AR54">
        <v>2406383</v>
      </c>
      <c r="AS54" s="18" t="s">
        <v>59</v>
      </c>
      <c r="AT54" s="18">
        <v>3.54</v>
      </c>
      <c r="AU54" s="23">
        <v>247</v>
      </c>
      <c r="AV54" s="4">
        <v>1966</v>
      </c>
      <c r="AW54" s="5" t="s">
        <v>207</v>
      </c>
      <c r="AX54" s="13" t="s">
        <v>213</v>
      </c>
      <c r="AY54" s="18">
        <v>38.82</v>
      </c>
      <c r="AZ54" s="10">
        <f t="shared" si="1"/>
        <v>859</v>
      </c>
      <c r="BA54">
        <v>13</v>
      </c>
      <c r="BB54">
        <v>1</v>
      </c>
      <c r="BE54" s="25"/>
    </row>
    <row r="55" spans="1:57" x14ac:dyDescent="0.35">
      <c r="A55" s="17">
        <v>53</v>
      </c>
      <c r="B55" s="17" t="s">
        <v>94</v>
      </c>
      <c r="C55">
        <v>8835</v>
      </c>
      <c r="D55">
        <f t="shared" si="0"/>
        <v>8.2371577279927582E-2</v>
      </c>
      <c r="E55" s="20">
        <v>4523</v>
      </c>
      <c r="F55" s="20">
        <v>4253</v>
      </c>
      <c r="G55" s="17">
        <v>8776</v>
      </c>
      <c r="H55" s="20">
        <v>8776</v>
      </c>
      <c r="I55" s="20">
        <v>0</v>
      </c>
      <c r="J55" s="20">
        <v>0</v>
      </c>
      <c r="K55" s="20">
        <v>5901</v>
      </c>
      <c r="L55" s="20">
        <v>2875</v>
      </c>
      <c r="M55" s="20">
        <v>2837</v>
      </c>
      <c r="N55">
        <v>525</v>
      </c>
      <c r="O55">
        <v>11</v>
      </c>
      <c r="P55" s="18">
        <v>5403</v>
      </c>
      <c r="Q55">
        <v>10424</v>
      </c>
      <c r="R55" s="20">
        <v>9972</v>
      </c>
      <c r="S55">
        <v>0</v>
      </c>
      <c r="T55" s="17">
        <v>17676</v>
      </c>
      <c r="U55" s="17">
        <v>1453</v>
      </c>
      <c r="V55" s="17">
        <v>10340000</v>
      </c>
      <c r="W55">
        <v>1456</v>
      </c>
      <c r="X55" s="17">
        <v>1183</v>
      </c>
      <c r="Y55" s="17">
        <v>18</v>
      </c>
      <c r="Z55">
        <v>459</v>
      </c>
      <c r="AA55">
        <v>23</v>
      </c>
      <c r="AB55">
        <v>104371761</v>
      </c>
      <c r="AC55">
        <v>495794096</v>
      </c>
      <c r="AD55">
        <v>52697934</v>
      </c>
      <c r="AF55">
        <v>254146819</v>
      </c>
      <c r="AG55">
        <v>6522744440</v>
      </c>
      <c r="AH55">
        <v>201941095</v>
      </c>
      <c r="AI55">
        <v>5772481</v>
      </c>
      <c r="AJ55">
        <v>261</v>
      </c>
      <c r="AK55">
        <v>70</v>
      </c>
      <c r="AL55">
        <v>955907297</v>
      </c>
      <c r="AM55">
        <v>45</v>
      </c>
      <c r="AN55">
        <v>20</v>
      </c>
      <c r="AO55">
        <v>119492918</v>
      </c>
      <c r="AP55">
        <v>5</v>
      </c>
      <c r="AQ55">
        <v>213</v>
      </c>
      <c r="AR55">
        <v>22600000</v>
      </c>
      <c r="AS55" s="17" t="s">
        <v>59</v>
      </c>
      <c r="AT55" s="17">
        <v>3.31</v>
      </c>
      <c r="AU55" s="22">
        <v>568</v>
      </c>
      <c r="AV55" s="4">
        <v>1948</v>
      </c>
      <c r="AW55" s="5" t="s">
        <v>207</v>
      </c>
      <c r="AX55" s="13" t="s">
        <v>213</v>
      </c>
      <c r="AY55" s="17">
        <v>26.65</v>
      </c>
      <c r="AZ55" s="10">
        <f t="shared" si="1"/>
        <v>8776</v>
      </c>
      <c r="BA55">
        <v>20</v>
      </c>
      <c r="BB55">
        <v>0</v>
      </c>
      <c r="BE55" s="25"/>
    </row>
    <row r="56" spans="1:57" x14ac:dyDescent="0.35">
      <c r="A56" s="18">
        <v>54</v>
      </c>
      <c r="B56" s="18" t="s">
        <v>482</v>
      </c>
      <c r="C56">
        <v>4873</v>
      </c>
      <c r="D56">
        <f t="shared" si="0"/>
        <v>0.13282904689863842</v>
      </c>
      <c r="E56" s="20">
        <v>1585</v>
      </c>
      <c r="F56" s="20">
        <v>2736</v>
      </c>
      <c r="G56" s="18">
        <v>4321</v>
      </c>
      <c r="H56" s="20">
        <v>2078</v>
      </c>
      <c r="I56" s="20">
        <v>2195</v>
      </c>
      <c r="J56" s="20">
        <v>48</v>
      </c>
      <c r="K56" s="20">
        <v>96</v>
      </c>
      <c r="L56" s="20">
        <v>2232</v>
      </c>
      <c r="M56" s="20">
        <v>0</v>
      </c>
      <c r="N56">
        <v>886</v>
      </c>
      <c r="O56">
        <v>31</v>
      </c>
      <c r="P56" s="18">
        <v>1411</v>
      </c>
      <c r="Q56">
        <v>2792</v>
      </c>
      <c r="R56" s="20">
        <v>2236</v>
      </c>
      <c r="S56">
        <v>116</v>
      </c>
      <c r="T56" s="18">
        <v>3305</v>
      </c>
      <c r="U56" s="18">
        <v>1695</v>
      </c>
      <c r="V56" s="18">
        <v>12998000</v>
      </c>
      <c r="W56">
        <v>439</v>
      </c>
      <c r="X56" s="18">
        <v>421</v>
      </c>
      <c r="Y56" s="18">
        <v>185</v>
      </c>
      <c r="Z56">
        <v>63</v>
      </c>
      <c r="AA56">
        <v>41</v>
      </c>
      <c r="AB56">
        <v>265984248</v>
      </c>
      <c r="AC56">
        <v>525896063</v>
      </c>
      <c r="AD56">
        <v>7440810</v>
      </c>
      <c r="AF56">
        <v>97642358</v>
      </c>
      <c r="AG56">
        <v>4809283354</v>
      </c>
      <c r="AH56">
        <v>947502387</v>
      </c>
      <c r="AI56">
        <v>16874375</v>
      </c>
      <c r="AJ56">
        <v>247</v>
      </c>
      <c r="AK56">
        <v>104</v>
      </c>
      <c r="AL56">
        <v>364339507</v>
      </c>
      <c r="AM56">
        <v>201</v>
      </c>
      <c r="AN56">
        <v>86</v>
      </c>
      <c r="AO56">
        <v>71279043</v>
      </c>
      <c r="AP56">
        <v>145</v>
      </c>
      <c r="AQ56">
        <v>209</v>
      </c>
      <c r="AR56">
        <v>47020000</v>
      </c>
      <c r="AS56" s="18" t="s">
        <v>59</v>
      </c>
      <c r="AT56" s="18">
        <v>3.53</v>
      </c>
      <c r="AU56" s="23">
        <v>543</v>
      </c>
      <c r="AV56" s="4">
        <v>1990</v>
      </c>
      <c r="AW56" s="5" t="s">
        <v>217</v>
      </c>
      <c r="AX56" s="13" t="s">
        <v>219</v>
      </c>
      <c r="AY56" s="18">
        <v>30.78</v>
      </c>
      <c r="AZ56" s="10">
        <f t="shared" si="1"/>
        <v>2328</v>
      </c>
      <c r="BA56">
        <v>5</v>
      </c>
      <c r="BB56">
        <v>1</v>
      </c>
      <c r="BE56" s="25"/>
    </row>
    <row r="57" spans="1:57" x14ac:dyDescent="0.35">
      <c r="A57" s="17">
        <v>55</v>
      </c>
      <c r="B57" s="17" t="s">
        <v>103</v>
      </c>
      <c r="C57">
        <v>4044</v>
      </c>
      <c r="D57">
        <f t="shared" si="0"/>
        <v>0.15619335347432023</v>
      </c>
      <c r="E57" s="20">
        <v>1904</v>
      </c>
      <c r="F57" s="20">
        <v>2035</v>
      </c>
      <c r="G57" s="17">
        <v>3939</v>
      </c>
      <c r="H57" s="20">
        <v>1380</v>
      </c>
      <c r="I57" s="20">
        <v>2558</v>
      </c>
      <c r="J57" s="20">
        <v>1</v>
      </c>
      <c r="K57" s="20">
        <v>404</v>
      </c>
      <c r="L57" s="20">
        <v>2727</v>
      </c>
      <c r="M57" s="20">
        <v>1081</v>
      </c>
      <c r="N57">
        <v>1869</v>
      </c>
      <c r="O57">
        <v>0</v>
      </c>
      <c r="P57" s="18">
        <v>186</v>
      </c>
      <c r="Q57">
        <v>6409</v>
      </c>
      <c r="R57" s="20">
        <v>6149</v>
      </c>
      <c r="S57">
        <v>9</v>
      </c>
      <c r="T57" s="17">
        <v>9930</v>
      </c>
      <c r="U57" s="17">
        <v>3857</v>
      </c>
      <c r="V57" s="17">
        <v>6880000</v>
      </c>
      <c r="W57">
        <v>1551</v>
      </c>
      <c r="X57" s="17">
        <v>652</v>
      </c>
      <c r="Y57" s="17">
        <v>0</v>
      </c>
      <c r="Z57">
        <v>585</v>
      </c>
      <c r="AA57">
        <v>0</v>
      </c>
      <c r="AB57">
        <v>219531610</v>
      </c>
      <c r="AC57">
        <v>63195043</v>
      </c>
      <c r="AD57">
        <v>22388074</v>
      </c>
      <c r="AF57">
        <v>0</v>
      </c>
      <c r="AG57">
        <v>1627514063</v>
      </c>
      <c r="AH57">
        <v>709923629</v>
      </c>
      <c r="AI57">
        <v>2341811</v>
      </c>
      <c r="AJ57">
        <v>124</v>
      </c>
      <c r="AK57">
        <v>26</v>
      </c>
      <c r="AL57">
        <v>232550000</v>
      </c>
      <c r="AM57">
        <v>69</v>
      </c>
      <c r="AN57">
        <v>62</v>
      </c>
      <c r="AO57">
        <v>3470500</v>
      </c>
      <c r="AP57">
        <v>18</v>
      </c>
      <c r="AQ57">
        <v>680</v>
      </c>
      <c r="AR57">
        <v>3500000</v>
      </c>
      <c r="AS57" s="17" t="s">
        <v>59</v>
      </c>
      <c r="AT57" s="17">
        <v>3.01</v>
      </c>
      <c r="AU57" s="22">
        <v>325</v>
      </c>
      <c r="AV57" s="4">
        <v>1996</v>
      </c>
      <c r="AW57" s="5" t="s">
        <v>194</v>
      </c>
      <c r="AX57" s="13" t="s">
        <v>213</v>
      </c>
      <c r="AY57" s="17">
        <v>21.36</v>
      </c>
      <c r="AZ57" s="10">
        <f t="shared" si="1"/>
        <v>3136</v>
      </c>
      <c r="BA57">
        <v>11</v>
      </c>
      <c r="BB57">
        <v>0</v>
      </c>
      <c r="BE57" s="25"/>
    </row>
    <row r="58" spans="1:57" x14ac:dyDescent="0.35">
      <c r="A58" s="18">
        <v>56</v>
      </c>
      <c r="B58" s="18" t="s">
        <v>124</v>
      </c>
      <c r="C58">
        <v>4555</v>
      </c>
      <c r="D58">
        <f t="shared" si="0"/>
        <v>5.9321159599711133E-2</v>
      </c>
      <c r="E58" s="20">
        <v>1690</v>
      </c>
      <c r="F58" s="20">
        <v>2706</v>
      </c>
      <c r="G58" s="18">
        <v>4375</v>
      </c>
      <c r="H58" s="20">
        <v>4375</v>
      </c>
      <c r="I58" s="20">
        <v>20</v>
      </c>
      <c r="J58" s="20">
        <v>1</v>
      </c>
      <c r="K58" s="20">
        <v>166</v>
      </c>
      <c r="L58" s="20">
        <v>519</v>
      </c>
      <c r="M58" s="20">
        <v>383</v>
      </c>
      <c r="N58">
        <v>0</v>
      </c>
      <c r="O58">
        <v>0</v>
      </c>
      <c r="P58" s="18">
        <v>302</v>
      </c>
      <c r="Q58">
        <v>6153</v>
      </c>
      <c r="R58" s="20">
        <v>5760</v>
      </c>
      <c r="S58">
        <v>0</v>
      </c>
      <c r="T58" s="18">
        <v>9693</v>
      </c>
      <c r="U58" s="18">
        <v>965</v>
      </c>
      <c r="V58" s="18">
        <v>3828000</v>
      </c>
      <c r="W58">
        <v>575</v>
      </c>
      <c r="X58" s="18">
        <v>646</v>
      </c>
      <c r="Y58" s="18">
        <v>130</v>
      </c>
      <c r="Z58">
        <v>295</v>
      </c>
      <c r="AA58">
        <v>142</v>
      </c>
      <c r="AB58">
        <v>107410261</v>
      </c>
      <c r="AC58">
        <v>105053942</v>
      </c>
      <c r="AD58">
        <v>0</v>
      </c>
      <c r="AF58">
        <v>64075147</v>
      </c>
      <c r="AG58">
        <v>6143766000</v>
      </c>
      <c r="AH58">
        <v>535377319</v>
      </c>
      <c r="AI58">
        <v>18637153</v>
      </c>
      <c r="AJ58">
        <v>104</v>
      </c>
      <c r="AK58">
        <v>32</v>
      </c>
      <c r="AL58">
        <v>809027513</v>
      </c>
      <c r="AM58">
        <v>6</v>
      </c>
      <c r="AN58">
        <v>5</v>
      </c>
      <c r="AO58">
        <v>3379200</v>
      </c>
      <c r="AP58">
        <v>5</v>
      </c>
      <c r="AQ58">
        <v>190</v>
      </c>
      <c r="AR58">
        <v>224000</v>
      </c>
      <c r="AS58" s="18" t="s">
        <v>59</v>
      </c>
      <c r="AT58" s="18">
        <v>3.51</v>
      </c>
      <c r="AU58" s="23">
        <v>398</v>
      </c>
      <c r="AV58" s="4">
        <v>1969</v>
      </c>
      <c r="AW58" s="5" t="s">
        <v>207</v>
      </c>
      <c r="AX58" s="13" t="s">
        <v>213</v>
      </c>
      <c r="AY58" s="18">
        <v>31.92</v>
      </c>
      <c r="AZ58" s="10">
        <f t="shared" si="1"/>
        <v>685</v>
      </c>
      <c r="BA58">
        <v>3</v>
      </c>
      <c r="BB58">
        <v>2</v>
      </c>
      <c r="BE58" s="25"/>
    </row>
    <row r="59" spans="1:57" x14ac:dyDescent="0.35">
      <c r="A59" s="17">
        <v>57</v>
      </c>
      <c r="B59" s="17" t="s">
        <v>102</v>
      </c>
      <c r="C59">
        <v>3720</v>
      </c>
      <c r="D59">
        <f t="shared" si="0"/>
        <v>5.6569812291077395E-2</v>
      </c>
      <c r="E59" s="20">
        <v>1114</v>
      </c>
      <c r="F59" s="20">
        <v>1392</v>
      </c>
      <c r="G59" s="17">
        <v>2506</v>
      </c>
      <c r="H59" s="20">
        <v>2365</v>
      </c>
      <c r="I59" s="20">
        <v>141</v>
      </c>
      <c r="J59" s="20">
        <v>0</v>
      </c>
      <c r="K59" s="20">
        <v>32</v>
      </c>
      <c r="L59" s="20">
        <v>2392</v>
      </c>
      <c r="M59" s="20">
        <v>563</v>
      </c>
      <c r="N59">
        <v>0</v>
      </c>
      <c r="O59">
        <v>0</v>
      </c>
      <c r="P59" s="18">
        <v>1861</v>
      </c>
      <c r="Q59">
        <v>3495</v>
      </c>
      <c r="R59" s="20">
        <v>2237</v>
      </c>
      <c r="S59">
        <v>93</v>
      </c>
      <c r="T59" s="17">
        <v>3889</v>
      </c>
      <c r="U59" s="17">
        <v>500</v>
      </c>
      <c r="V59" s="17">
        <v>2644800</v>
      </c>
      <c r="W59">
        <v>220</v>
      </c>
      <c r="X59" s="17">
        <v>376</v>
      </c>
      <c r="Y59" s="17">
        <v>191</v>
      </c>
      <c r="Z59">
        <v>251</v>
      </c>
      <c r="AA59">
        <v>138</v>
      </c>
      <c r="AB59">
        <v>61477985</v>
      </c>
      <c r="AC59">
        <v>106517173</v>
      </c>
      <c r="AD59">
        <v>0</v>
      </c>
      <c r="AF59">
        <v>180501148</v>
      </c>
      <c r="AG59">
        <v>3260955193</v>
      </c>
      <c r="AH59">
        <v>1032018978</v>
      </c>
      <c r="AI59">
        <v>11311552</v>
      </c>
      <c r="AJ59">
        <v>161</v>
      </c>
      <c r="AK59">
        <v>61</v>
      </c>
      <c r="AL59">
        <v>572653942</v>
      </c>
      <c r="AM59">
        <v>44</v>
      </c>
      <c r="AN59">
        <v>33</v>
      </c>
      <c r="AO59">
        <v>5024333</v>
      </c>
      <c r="AP59">
        <v>7</v>
      </c>
      <c r="AQ59">
        <v>459</v>
      </c>
      <c r="AR59">
        <v>239000</v>
      </c>
      <c r="AS59" s="17" t="s">
        <v>59</v>
      </c>
      <c r="AT59" s="17">
        <v>3.32</v>
      </c>
      <c r="AU59" s="22">
        <v>256</v>
      </c>
      <c r="AV59" s="4">
        <v>1982</v>
      </c>
      <c r="AW59" s="5" t="s">
        <v>207</v>
      </c>
      <c r="AX59" s="13" t="s">
        <v>213</v>
      </c>
      <c r="AY59" s="17">
        <v>37.17</v>
      </c>
      <c r="AZ59" s="10">
        <f t="shared" si="1"/>
        <v>2424</v>
      </c>
      <c r="BA59">
        <v>17</v>
      </c>
      <c r="BB59">
        <v>0</v>
      </c>
      <c r="BE59" s="25"/>
    </row>
    <row r="60" spans="1:57" x14ac:dyDescent="0.35">
      <c r="A60" s="18">
        <v>58</v>
      </c>
      <c r="B60" s="18" t="s">
        <v>122</v>
      </c>
      <c r="C60">
        <v>3540</v>
      </c>
      <c r="D60">
        <f t="shared" si="0"/>
        <v>0.15290825504697181</v>
      </c>
      <c r="E60" s="20">
        <v>1588</v>
      </c>
      <c r="F60" s="20">
        <v>1928</v>
      </c>
      <c r="G60" s="18">
        <v>3516</v>
      </c>
      <c r="H60" s="20">
        <v>2531</v>
      </c>
      <c r="I60" s="20">
        <v>858</v>
      </c>
      <c r="J60" s="20">
        <v>127</v>
      </c>
      <c r="K60" s="20">
        <v>360</v>
      </c>
      <c r="L60" s="20">
        <v>1855</v>
      </c>
      <c r="M60" s="20">
        <v>2215</v>
      </c>
      <c r="N60">
        <v>0</v>
      </c>
      <c r="O60">
        <v>0</v>
      </c>
      <c r="P60" s="18">
        <v>0</v>
      </c>
      <c r="Q60">
        <v>5310</v>
      </c>
      <c r="R60" s="20">
        <v>5118</v>
      </c>
      <c r="S60">
        <v>0</v>
      </c>
      <c r="T60" s="18">
        <v>10006</v>
      </c>
      <c r="U60" s="18">
        <v>2693</v>
      </c>
      <c r="V60" s="18">
        <v>2187000</v>
      </c>
      <c r="W60">
        <v>1530</v>
      </c>
      <c r="X60" s="18">
        <v>1284</v>
      </c>
      <c r="Y60" s="18">
        <v>39</v>
      </c>
      <c r="Z60">
        <v>626</v>
      </c>
      <c r="AA60">
        <v>13</v>
      </c>
      <c r="AB60">
        <v>48266782</v>
      </c>
      <c r="AC60">
        <v>128901290</v>
      </c>
      <c r="AD60">
        <v>418090803</v>
      </c>
      <c r="AF60">
        <v>456994283</v>
      </c>
      <c r="AG60">
        <v>1581697241</v>
      </c>
      <c r="AH60">
        <v>2020752864</v>
      </c>
      <c r="AI60">
        <v>178991497</v>
      </c>
      <c r="AJ60">
        <v>155</v>
      </c>
      <c r="AK60">
        <v>58</v>
      </c>
      <c r="AL60">
        <v>4021766076</v>
      </c>
      <c r="AM60">
        <v>88</v>
      </c>
      <c r="AN60">
        <v>64</v>
      </c>
      <c r="AO60">
        <v>454900623</v>
      </c>
      <c r="AP60">
        <v>222</v>
      </c>
      <c r="AQ60">
        <v>12055</v>
      </c>
      <c r="AR60">
        <v>42831942</v>
      </c>
      <c r="AS60" s="18" t="s">
        <v>59</v>
      </c>
      <c r="AT60" s="18">
        <v>2.85</v>
      </c>
      <c r="AU60" s="23">
        <v>379</v>
      </c>
      <c r="AV60" s="4">
        <v>1949</v>
      </c>
      <c r="AW60" s="5" t="s">
        <v>207</v>
      </c>
      <c r="AX60" s="13" t="s">
        <v>196</v>
      </c>
      <c r="AY60" s="18">
        <v>2.65</v>
      </c>
      <c r="AZ60" s="10">
        <f t="shared" si="1"/>
        <v>2215</v>
      </c>
      <c r="BA60">
        <v>8</v>
      </c>
      <c r="BB60">
        <v>0</v>
      </c>
      <c r="BE60" s="25"/>
    </row>
    <row r="61" spans="1:57" x14ac:dyDescent="0.35">
      <c r="A61" s="17">
        <v>59</v>
      </c>
      <c r="B61" s="17" t="s">
        <v>130</v>
      </c>
      <c r="C61">
        <v>4054</v>
      </c>
      <c r="D61">
        <f t="shared" si="0"/>
        <v>0.10523025630339654</v>
      </c>
      <c r="E61" s="20">
        <v>2051</v>
      </c>
      <c r="F61" s="20">
        <v>1443</v>
      </c>
      <c r="G61" s="17">
        <v>3494</v>
      </c>
      <c r="H61" s="20">
        <v>2877</v>
      </c>
      <c r="I61" s="20">
        <v>597</v>
      </c>
      <c r="J61" s="20">
        <v>20</v>
      </c>
      <c r="K61" s="20">
        <v>587</v>
      </c>
      <c r="L61" s="20">
        <v>1601</v>
      </c>
      <c r="M61" s="20">
        <v>340</v>
      </c>
      <c r="N61">
        <v>22</v>
      </c>
      <c r="O61">
        <v>27</v>
      </c>
      <c r="P61" s="18">
        <v>1799</v>
      </c>
      <c r="Q61">
        <v>4133</v>
      </c>
      <c r="R61" s="20">
        <v>3137</v>
      </c>
      <c r="S61">
        <v>0</v>
      </c>
      <c r="T61" s="17">
        <v>4799</v>
      </c>
      <c r="U61" s="17">
        <v>716</v>
      </c>
      <c r="V61" s="17">
        <v>4520000</v>
      </c>
      <c r="W61">
        <v>505</v>
      </c>
      <c r="X61" s="17">
        <v>709</v>
      </c>
      <c r="Y61" s="17">
        <v>103</v>
      </c>
      <c r="Z61">
        <v>146</v>
      </c>
      <c r="AA61">
        <v>76</v>
      </c>
      <c r="AB61">
        <v>84254901</v>
      </c>
      <c r="AC61">
        <v>120410313</v>
      </c>
      <c r="AD61">
        <v>12671052</v>
      </c>
      <c r="AF61">
        <v>81817663</v>
      </c>
      <c r="AG61">
        <v>2219105051</v>
      </c>
      <c r="AH61">
        <v>1250027972</v>
      </c>
      <c r="AI61">
        <v>8751295</v>
      </c>
      <c r="AJ61">
        <v>942</v>
      </c>
      <c r="AK61">
        <v>103</v>
      </c>
      <c r="AL61">
        <v>642705609</v>
      </c>
      <c r="AM61">
        <v>104</v>
      </c>
      <c r="AN61">
        <v>59</v>
      </c>
      <c r="AO61">
        <v>49460790</v>
      </c>
      <c r="AP61">
        <v>6</v>
      </c>
      <c r="AQ61">
        <v>81</v>
      </c>
      <c r="AR61">
        <v>1580612</v>
      </c>
      <c r="AS61" s="17" t="s">
        <v>59</v>
      </c>
      <c r="AT61" s="17">
        <v>3.25</v>
      </c>
      <c r="AU61" s="22">
        <v>275</v>
      </c>
      <c r="AV61" s="4">
        <v>1994</v>
      </c>
      <c r="AW61" s="5" t="s">
        <v>194</v>
      </c>
      <c r="AX61" s="13" t="s">
        <v>219</v>
      </c>
      <c r="AY61" s="17">
        <v>35.880000000000003</v>
      </c>
      <c r="AZ61" s="10">
        <f t="shared" si="1"/>
        <v>2188</v>
      </c>
      <c r="BA61">
        <v>186</v>
      </c>
      <c r="BB61">
        <v>0</v>
      </c>
      <c r="BE61" s="25"/>
    </row>
    <row r="62" spans="1:57" x14ac:dyDescent="0.35">
      <c r="A62" s="18">
        <v>60</v>
      </c>
      <c r="B62" s="18" t="s">
        <v>159</v>
      </c>
      <c r="C62">
        <v>5109</v>
      </c>
      <c r="D62">
        <f t="shared" si="0"/>
        <v>5.0552922590837282E-2</v>
      </c>
      <c r="E62" s="20">
        <v>2242</v>
      </c>
      <c r="F62" s="20">
        <v>2324</v>
      </c>
      <c r="G62" s="18">
        <v>4566</v>
      </c>
      <c r="H62" s="20">
        <v>1358</v>
      </c>
      <c r="I62" s="20">
        <v>3136</v>
      </c>
      <c r="J62" s="20">
        <v>72</v>
      </c>
      <c r="K62" s="20">
        <v>765</v>
      </c>
      <c r="L62" s="20">
        <v>2126</v>
      </c>
      <c r="M62" s="20">
        <v>647</v>
      </c>
      <c r="N62">
        <v>140</v>
      </c>
      <c r="O62">
        <v>1274</v>
      </c>
      <c r="P62" s="18">
        <v>830</v>
      </c>
      <c r="Q62">
        <v>4796</v>
      </c>
      <c r="R62" s="20">
        <v>4566</v>
      </c>
      <c r="S62">
        <v>0</v>
      </c>
      <c r="T62" s="18">
        <v>8229</v>
      </c>
      <c r="U62" s="18">
        <v>2210</v>
      </c>
      <c r="V62" s="18">
        <v>1880000</v>
      </c>
      <c r="W62">
        <v>416</v>
      </c>
      <c r="X62" s="18">
        <v>440</v>
      </c>
      <c r="Y62" s="18">
        <v>386</v>
      </c>
      <c r="Z62">
        <v>413</v>
      </c>
      <c r="AA62">
        <v>71</v>
      </c>
      <c r="AB62">
        <v>68378941</v>
      </c>
      <c r="AC62">
        <v>110688615</v>
      </c>
      <c r="AD62">
        <v>0</v>
      </c>
      <c r="AF62">
        <v>24019802</v>
      </c>
      <c r="AG62">
        <v>3389622768</v>
      </c>
      <c r="AH62">
        <v>1011468843</v>
      </c>
      <c r="AI62">
        <v>92125664</v>
      </c>
      <c r="AJ62">
        <v>1278</v>
      </c>
      <c r="AK62">
        <v>691</v>
      </c>
      <c r="AL62">
        <v>1289538747</v>
      </c>
      <c r="AM62">
        <v>481</v>
      </c>
      <c r="AN62">
        <v>243</v>
      </c>
      <c r="AO62">
        <v>144212539</v>
      </c>
      <c r="AP62">
        <v>52</v>
      </c>
      <c r="AQ62">
        <v>1125</v>
      </c>
      <c r="AR62">
        <v>129666114</v>
      </c>
      <c r="AS62" s="18" t="s">
        <v>59</v>
      </c>
      <c r="AT62" s="18">
        <v>3.89</v>
      </c>
      <c r="AU62" s="23">
        <v>434</v>
      </c>
      <c r="AV62" s="4">
        <v>1936</v>
      </c>
      <c r="AW62" s="5" t="s">
        <v>194</v>
      </c>
      <c r="AX62" s="13" t="s">
        <v>196</v>
      </c>
      <c r="AY62" s="18">
        <v>38.229999999999997</v>
      </c>
      <c r="AZ62" s="10">
        <f t="shared" si="1"/>
        <v>2891</v>
      </c>
      <c r="BA62">
        <v>18</v>
      </c>
      <c r="BB62">
        <v>0</v>
      </c>
      <c r="BE62" s="25"/>
    </row>
    <row r="63" spans="1:57" x14ac:dyDescent="0.35">
      <c r="A63" s="17">
        <v>61</v>
      </c>
      <c r="B63" s="17" t="s">
        <v>123</v>
      </c>
      <c r="C63">
        <v>2635</v>
      </c>
      <c r="D63">
        <f t="shared" si="0"/>
        <v>0.20581778265642151</v>
      </c>
      <c r="E63" s="20">
        <v>1334</v>
      </c>
      <c r="F63" s="20">
        <v>874</v>
      </c>
      <c r="G63" s="17">
        <v>2208</v>
      </c>
      <c r="H63" s="20">
        <v>663</v>
      </c>
      <c r="I63" s="20">
        <v>1502</v>
      </c>
      <c r="J63" s="20">
        <v>43</v>
      </c>
      <c r="K63" s="20">
        <v>49</v>
      </c>
      <c r="L63" s="20">
        <v>251</v>
      </c>
      <c r="M63" s="20">
        <v>0</v>
      </c>
      <c r="N63">
        <v>104</v>
      </c>
      <c r="O63">
        <v>18</v>
      </c>
      <c r="P63" s="18">
        <v>178</v>
      </c>
      <c r="Q63">
        <v>1846</v>
      </c>
      <c r="R63" s="20">
        <v>1244</v>
      </c>
      <c r="S63">
        <v>0</v>
      </c>
      <c r="T63" s="17">
        <v>1822</v>
      </c>
      <c r="U63" s="17">
        <v>938</v>
      </c>
      <c r="V63" s="17">
        <v>4251000</v>
      </c>
      <c r="W63">
        <v>375</v>
      </c>
      <c r="X63" s="17">
        <v>283</v>
      </c>
      <c r="Y63" s="17">
        <v>3</v>
      </c>
      <c r="Z63">
        <v>67</v>
      </c>
      <c r="AA63">
        <v>0</v>
      </c>
      <c r="AB63">
        <v>34984595</v>
      </c>
      <c r="AC63">
        <v>190705322</v>
      </c>
      <c r="AD63">
        <v>30496744</v>
      </c>
      <c r="AF63">
        <v>148938253</v>
      </c>
      <c r="AG63">
        <v>2346749615</v>
      </c>
      <c r="AH63">
        <v>1523807827</v>
      </c>
      <c r="AI63">
        <v>30976427</v>
      </c>
      <c r="AJ63">
        <v>150</v>
      </c>
      <c r="AK63">
        <v>29</v>
      </c>
      <c r="AL63">
        <v>149618309</v>
      </c>
      <c r="AM63">
        <v>14</v>
      </c>
      <c r="AN63">
        <v>10</v>
      </c>
      <c r="AO63">
        <v>45166000</v>
      </c>
      <c r="AP63">
        <v>4</v>
      </c>
      <c r="AQ63">
        <v>164</v>
      </c>
      <c r="AR63">
        <v>55903880</v>
      </c>
      <c r="AS63" s="17" t="s">
        <v>59</v>
      </c>
      <c r="AT63" s="17">
        <v>3.06</v>
      </c>
      <c r="AU63" s="22">
        <v>246</v>
      </c>
      <c r="AV63" s="4">
        <v>2011</v>
      </c>
      <c r="AW63" s="5" t="s">
        <v>217</v>
      </c>
      <c r="AX63" s="13" t="s">
        <v>219</v>
      </c>
      <c r="AY63" s="17">
        <v>22.06</v>
      </c>
      <c r="AZ63" s="10">
        <f t="shared" si="1"/>
        <v>300</v>
      </c>
      <c r="BA63">
        <v>48</v>
      </c>
      <c r="BB63">
        <v>2</v>
      </c>
      <c r="BE63" s="25"/>
    </row>
    <row r="64" spans="1:57" x14ac:dyDescent="0.35">
      <c r="A64" s="18">
        <v>62</v>
      </c>
      <c r="B64" s="18" t="s">
        <v>127</v>
      </c>
      <c r="C64">
        <v>22047</v>
      </c>
      <c r="D64">
        <f t="shared" si="0"/>
        <v>0.17249379950396032</v>
      </c>
      <c r="E64" s="20">
        <v>7678</v>
      </c>
      <c r="F64" s="20">
        <v>9836</v>
      </c>
      <c r="G64" s="18">
        <v>17514</v>
      </c>
      <c r="H64" s="20">
        <v>5981</v>
      </c>
      <c r="I64" s="20">
        <v>11450</v>
      </c>
      <c r="J64" s="20">
        <v>83</v>
      </c>
      <c r="K64" s="20">
        <v>374</v>
      </c>
      <c r="L64" s="20">
        <v>12129</v>
      </c>
      <c r="M64" s="20">
        <v>471</v>
      </c>
      <c r="N64">
        <v>2330</v>
      </c>
      <c r="O64">
        <v>91</v>
      </c>
      <c r="P64" s="18">
        <v>9611</v>
      </c>
      <c r="Q64">
        <v>11185</v>
      </c>
      <c r="R64" s="20">
        <v>8505</v>
      </c>
      <c r="S64">
        <v>228</v>
      </c>
      <c r="T64" s="18">
        <v>12499</v>
      </c>
      <c r="U64" s="18">
        <v>7689</v>
      </c>
      <c r="V64" s="18">
        <v>11615000</v>
      </c>
      <c r="W64">
        <v>2156</v>
      </c>
      <c r="X64" s="18">
        <v>132</v>
      </c>
      <c r="Y64" s="18">
        <v>873</v>
      </c>
      <c r="Z64">
        <v>176</v>
      </c>
      <c r="AA64">
        <v>396</v>
      </c>
      <c r="AB64">
        <v>360180471</v>
      </c>
      <c r="AC64">
        <v>2152445461</v>
      </c>
      <c r="AD64">
        <v>294794899</v>
      </c>
      <c r="AF64">
        <v>491279705</v>
      </c>
      <c r="AG64">
        <v>6618725010</v>
      </c>
      <c r="AH64">
        <v>1420647510</v>
      </c>
      <c r="AI64">
        <v>205597450</v>
      </c>
      <c r="AJ64">
        <v>150</v>
      </c>
      <c r="AK64">
        <v>34</v>
      </c>
      <c r="AL64">
        <v>22259691</v>
      </c>
      <c r="AM64">
        <v>996</v>
      </c>
      <c r="AN64">
        <v>363</v>
      </c>
      <c r="AO64">
        <v>81984900</v>
      </c>
      <c r="AP64">
        <v>13</v>
      </c>
      <c r="AQ64">
        <v>852</v>
      </c>
      <c r="AR64">
        <v>75371700</v>
      </c>
      <c r="AS64" s="18" t="s">
        <v>59</v>
      </c>
      <c r="AT64" s="18">
        <v>3.2</v>
      </c>
      <c r="AU64" s="23">
        <v>1896</v>
      </c>
      <c r="AV64" s="4">
        <v>1984</v>
      </c>
      <c r="AW64" s="5" t="s">
        <v>217</v>
      </c>
      <c r="AX64" s="13" t="s">
        <v>196</v>
      </c>
      <c r="AY64" s="18">
        <v>21.01</v>
      </c>
      <c r="AZ64" s="10">
        <f t="shared" si="1"/>
        <v>12503</v>
      </c>
      <c r="BA64">
        <v>31</v>
      </c>
      <c r="BB64">
        <v>1</v>
      </c>
      <c r="BE64" s="25"/>
    </row>
    <row r="65" spans="1:57" x14ac:dyDescent="0.35">
      <c r="A65" s="17">
        <v>63</v>
      </c>
      <c r="B65" s="17" t="s">
        <v>120</v>
      </c>
      <c r="C65">
        <v>2290</v>
      </c>
      <c r="D65">
        <f t="shared" si="0"/>
        <v>0.12653425574648516</v>
      </c>
      <c r="E65" s="20">
        <v>702</v>
      </c>
      <c r="F65" s="20">
        <v>1255</v>
      </c>
      <c r="G65" s="17">
        <v>1957</v>
      </c>
      <c r="H65" s="20">
        <v>1887</v>
      </c>
      <c r="I65" s="20">
        <v>67</v>
      </c>
      <c r="J65" s="20">
        <v>3</v>
      </c>
      <c r="K65" s="20">
        <v>281</v>
      </c>
      <c r="L65" s="20">
        <v>1584</v>
      </c>
      <c r="M65" s="20">
        <v>1272</v>
      </c>
      <c r="N65">
        <v>68</v>
      </c>
      <c r="O65">
        <v>1</v>
      </c>
      <c r="P65" s="18">
        <v>524</v>
      </c>
      <c r="Q65">
        <v>3423</v>
      </c>
      <c r="R65" s="20">
        <v>2807</v>
      </c>
      <c r="S65">
        <v>72</v>
      </c>
      <c r="T65" s="17">
        <v>4481</v>
      </c>
      <c r="U65" s="17">
        <v>696</v>
      </c>
      <c r="V65" s="17">
        <v>2810456</v>
      </c>
      <c r="W65">
        <v>567</v>
      </c>
      <c r="X65" s="17">
        <v>377</v>
      </c>
      <c r="Y65" s="17">
        <v>199</v>
      </c>
      <c r="Z65">
        <v>306</v>
      </c>
      <c r="AA65">
        <v>158</v>
      </c>
      <c r="AB65">
        <v>366982634</v>
      </c>
      <c r="AC65">
        <v>71477633</v>
      </c>
      <c r="AD65">
        <v>18279355</v>
      </c>
      <c r="AF65">
        <v>27660023</v>
      </c>
      <c r="AG65">
        <v>950233142</v>
      </c>
      <c r="AH65">
        <v>269553814</v>
      </c>
      <c r="AI65">
        <v>18632339</v>
      </c>
      <c r="AJ65">
        <v>47</v>
      </c>
      <c r="AK65">
        <v>26</v>
      </c>
      <c r="AL65">
        <v>120736453</v>
      </c>
      <c r="AM65">
        <v>65</v>
      </c>
      <c r="AN65">
        <v>46</v>
      </c>
      <c r="AO65">
        <v>41264271</v>
      </c>
      <c r="AP65">
        <v>69</v>
      </c>
      <c r="AQ65">
        <v>1978</v>
      </c>
      <c r="AR65">
        <v>986104</v>
      </c>
      <c r="AS65" s="17" t="s">
        <v>59</v>
      </c>
      <c r="AT65" s="17">
        <v>3.61</v>
      </c>
      <c r="AU65" s="22">
        <v>157</v>
      </c>
      <c r="AV65" s="4">
        <v>1997</v>
      </c>
      <c r="AW65" s="5" t="s">
        <v>207</v>
      </c>
      <c r="AX65" s="13" t="s">
        <v>213</v>
      </c>
      <c r="AY65" s="17">
        <v>32.65</v>
      </c>
      <c r="AZ65" s="10">
        <f t="shared" si="1"/>
        <v>1865</v>
      </c>
      <c r="BA65">
        <v>10</v>
      </c>
      <c r="BB65">
        <v>1</v>
      </c>
      <c r="BE65" s="25"/>
    </row>
    <row r="66" spans="1:57" x14ac:dyDescent="0.35">
      <c r="A66" s="18">
        <v>64</v>
      </c>
      <c r="B66" s="18" t="s">
        <v>483</v>
      </c>
      <c r="C66">
        <v>4741</v>
      </c>
      <c r="D66">
        <f t="shared" si="0"/>
        <v>0.14648352603668607</v>
      </c>
      <c r="E66" s="20">
        <v>2337</v>
      </c>
      <c r="F66" s="20">
        <v>2231</v>
      </c>
      <c r="G66" s="18">
        <v>4568</v>
      </c>
      <c r="H66" s="20">
        <v>4368</v>
      </c>
      <c r="I66" s="20">
        <v>83</v>
      </c>
      <c r="J66" s="20">
        <v>117</v>
      </c>
      <c r="K66" s="20">
        <v>165</v>
      </c>
      <c r="L66" s="20">
        <v>3807</v>
      </c>
      <c r="M66" s="20">
        <v>3793</v>
      </c>
      <c r="N66">
        <v>20</v>
      </c>
      <c r="O66">
        <v>39</v>
      </c>
      <c r="P66" s="18">
        <v>120</v>
      </c>
      <c r="Q66">
        <v>6539</v>
      </c>
      <c r="R66" s="20">
        <v>6300</v>
      </c>
      <c r="S66">
        <v>31</v>
      </c>
      <c r="T66" s="18">
        <v>11503</v>
      </c>
      <c r="U66" s="18">
        <v>1325</v>
      </c>
      <c r="V66" s="18">
        <v>6450000</v>
      </c>
      <c r="W66">
        <v>1685</v>
      </c>
      <c r="X66" s="18">
        <v>1234</v>
      </c>
      <c r="Y66" s="18">
        <v>750</v>
      </c>
      <c r="Z66">
        <v>292</v>
      </c>
      <c r="AA66">
        <v>210</v>
      </c>
      <c r="AB66">
        <v>138124251</v>
      </c>
      <c r="AC66">
        <v>27988000</v>
      </c>
      <c r="AD66">
        <v>29309942</v>
      </c>
      <c r="AF66">
        <v>16302000</v>
      </c>
      <c r="AG66">
        <v>9263679000</v>
      </c>
      <c r="AH66">
        <v>25830000</v>
      </c>
      <c r="AI66">
        <v>82880000</v>
      </c>
      <c r="AJ66">
        <v>123</v>
      </c>
      <c r="AK66">
        <v>59</v>
      </c>
      <c r="AL66">
        <v>85854700</v>
      </c>
      <c r="AM66">
        <v>3</v>
      </c>
      <c r="AN66">
        <v>3</v>
      </c>
      <c r="AO66">
        <v>18957791</v>
      </c>
      <c r="AP66">
        <v>9</v>
      </c>
      <c r="AQ66">
        <v>180</v>
      </c>
      <c r="AR66">
        <v>120000</v>
      </c>
      <c r="AS66" s="18" t="s">
        <v>59</v>
      </c>
      <c r="AT66" s="18">
        <v>3.16</v>
      </c>
      <c r="AU66" s="23">
        <v>528</v>
      </c>
      <c r="AV66" s="4">
        <v>1964</v>
      </c>
      <c r="AW66" s="5" t="s">
        <v>207</v>
      </c>
      <c r="AX66" s="13" t="s">
        <v>196</v>
      </c>
      <c r="AY66" s="18">
        <v>25.32</v>
      </c>
      <c r="AZ66" s="10">
        <f t="shared" si="1"/>
        <v>3972</v>
      </c>
      <c r="BA66">
        <v>10</v>
      </c>
      <c r="BB66">
        <v>1</v>
      </c>
      <c r="BE66" s="25"/>
    </row>
    <row r="67" spans="1:57" x14ac:dyDescent="0.35">
      <c r="A67" s="17">
        <v>65</v>
      </c>
      <c r="B67" s="17" t="s">
        <v>484</v>
      </c>
      <c r="C67">
        <v>12420</v>
      </c>
      <c r="D67">
        <f t="shared" si="0"/>
        <v>2.5551394090719933E-2</v>
      </c>
      <c r="E67" s="20">
        <v>8216</v>
      </c>
      <c r="F67" s="20">
        <v>3530</v>
      </c>
      <c r="G67" s="17">
        <v>11878</v>
      </c>
      <c r="H67" s="20">
        <v>1878</v>
      </c>
      <c r="I67" s="20">
        <v>9839</v>
      </c>
      <c r="J67" s="20">
        <v>29</v>
      </c>
      <c r="K67" s="20">
        <v>379</v>
      </c>
      <c r="L67" s="20">
        <v>997</v>
      </c>
      <c r="M67" s="20">
        <v>0</v>
      </c>
      <c r="N67">
        <v>0</v>
      </c>
      <c r="O67">
        <v>9</v>
      </c>
      <c r="P67" s="18">
        <v>1367</v>
      </c>
      <c r="Q67">
        <v>11730</v>
      </c>
      <c r="R67" s="20">
        <v>8451</v>
      </c>
      <c r="S67">
        <v>0</v>
      </c>
      <c r="T67" s="17">
        <v>12015</v>
      </c>
      <c r="U67" s="17">
        <v>6754</v>
      </c>
      <c r="V67" s="17">
        <v>8836000</v>
      </c>
      <c r="W67">
        <v>307</v>
      </c>
      <c r="X67" s="17">
        <v>34</v>
      </c>
      <c r="Y67" s="17">
        <v>493</v>
      </c>
      <c r="Z67">
        <v>6</v>
      </c>
      <c r="AA67">
        <v>109</v>
      </c>
      <c r="AB67">
        <v>276800782</v>
      </c>
      <c r="AC67">
        <v>127394380</v>
      </c>
      <c r="AD67">
        <v>12718804</v>
      </c>
      <c r="AF67">
        <v>181917943</v>
      </c>
      <c r="AG67">
        <v>4781290178</v>
      </c>
      <c r="AH67">
        <v>7045993333</v>
      </c>
      <c r="AI67">
        <v>90596562</v>
      </c>
      <c r="AJ67">
        <v>45</v>
      </c>
      <c r="AK67">
        <v>19</v>
      </c>
      <c r="AL67">
        <v>49346884</v>
      </c>
      <c r="AM67">
        <v>232</v>
      </c>
      <c r="AN67">
        <v>160</v>
      </c>
      <c r="AO67">
        <v>55968014</v>
      </c>
      <c r="AP67">
        <v>18</v>
      </c>
      <c r="AQ67">
        <v>734</v>
      </c>
      <c r="AR67">
        <v>23500539</v>
      </c>
      <c r="AS67" s="17" t="s">
        <v>59</v>
      </c>
      <c r="AT67" s="17">
        <v>3.02</v>
      </c>
      <c r="AU67" s="22">
        <v>847</v>
      </c>
      <c r="AV67" s="4">
        <v>2003</v>
      </c>
      <c r="AW67" s="5" t="s">
        <v>217</v>
      </c>
      <c r="AX67" s="13" t="s">
        <v>213</v>
      </c>
      <c r="AY67" s="17">
        <v>40.39</v>
      </c>
      <c r="AZ67" s="10">
        <f t="shared" si="1"/>
        <v>1376</v>
      </c>
      <c r="BA67">
        <v>17</v>
      </c>
      <c r="BB67">
        <v>3</v>
      </c>
      <c r="BE67" s="25"/>
    </row>
    <row r="68" spans="1:57" x14ac:dyDescent="0.35">
      <c r="A68" s="18">
        <v>66</v>
      </c>
      <c r="B68" s="18" t="s">
        <v>141</v>
      </c>
      <c r="C68">
        <v>4632</v>
      </c>
      <c r="D68">
        <f t="shared" ref="D68:D102" si="2">W68/T68</f>
        <v>2.8284671532846715E-2</v>
      </c>
      <c r="E68" s="20">
        <v>1496</v>
      </c>
      <c r="F68" s="20">
        <v>2132</v>
      </c>
      <c r="G68" s="18">
        <v>3628</v>
      </c>
      <c r="H68" s="20">
        <v>2718</v>
      </c>
      <c r="I68" s="20">
        <v>904</v>
      </c>
      <c r="J68" s="20">
        <v>6</v>
      </c>
      <c r="K68" s="20">
        <v>118</v>
      </c>
      <c r="L68" s="20">
        <v>2846</v>
      </c>
      <c r="M68" s="20">
        <v>2690</v>
      </c>
      <c r="N68">
        <v>0</v>
      </c>
      <c r="O68">
        <v>0</v>
      </c>
      <c r="P68" s="18">
        <v>274</v>
      </c>
      <c r="Q68">
        <v>5171</v>
      </c>
      <c r="R68" s="20">
        <v>4570</v>
      </c>
      <c r="S68">
        <v>55</v>
      </c>
      <c r="T68" s="18">
        <v>7672</v>
      </c>
      <c r="U68" s="18">
        <v>97</v>
      </c>
      <c r="V68" s="18">
        <v>2171100</v>
      </c>
      <c r="W68">
        <v>217</v>
      </c>
      <c r="X68" s="18">
        <v>588</v>
      </c>
      <c r="Y68" s="18">
        <v>0</v>
      </c>
      <c r="Z68">
        <v>487</v>
      </c>
      <c r="AA68">
        <v>0</v>
      </c>
      <c r="AB68">
        <v>213157239</v>
      </c>
      <c r="AC68">
        <v>12915979</v>
      </c>
      <c r="AD68">
        <v>0</v>
      </c>
      <c r="AF68">
        <v>257689855</v>
      </c>
      <c r="AG68">
        <v>5658370982</v>
      </c>
      <c r="AH68">
        <v>319770611</v>
      </c>
      <c r="AI68">
        <v>14776395</v>
      </c>
      <c r="AJ68">
        <v>150</v>
      </c>
      <c r="AK68">
        <v>85</v>
      </c>
      <c r="AL68">
        <v>430764042</v>
      </c>
      <c r="AM68">
        <v>4</v>
      </c>
      <c r="AN68">
        <v>4</v>
      </c>
      <c r="AO68">
        <v>2533980</v>
      </c>
      <c r="AP68">
        <v>0</v>
      </c>
      <c r="AQ68">
        <v>0</v>
      </c>
      <c r="AR68">
        <v>0</v>
      </c>
      <c r="AS68" s="18" t="s">
        <v>59</v>
      </c>
      <c r="AT68" s="18">
        <v>3.2</v>
      </c>
      <c r="AU68" s="23">
        <v>292</v>
      </c>
      <c r="AV68" s="4">
        <v>1973</v>
      </c>
      <c r="AW68" s="5" t="s">
        <v>194</v>
      </c>
      <c r="AX68" s="13" t="s">
        <v>219</v>
      </c>
      <c r="AY68" s="18">
        <v>23.41</v>
      </c>
      <c r="AZ68" s="10">
        <f t="shared" ref="AZ68:AZ102" si="3">SUM(M68:P68)</f>
        <v>2964</v>
      </c>
      <c r="BA68">
        <v>10</v>
      </c>
      <c r="BB68">
        <v>1</v>
      </c>
      <c r="BE68" s="25"/>
    </row>
    <row r="69" spans="1:57" x14ac:dyDescent="0.35">
      <c r="A69" s="17">
        <v>67</v>
      </c>
      <c r="B69" s="17" t="s">
        <v>121</v>
      </c>
      <c r="C69">
        <v>8113</v>
      </c>
      <c r="D69">
        <f t="shared" si="2"/>
        <v>6.6116295764536967E-2</v>
      </c>
      <c r="E69" s="20">
        <v>3765</v>
      </c>
      <c r="F69" s="20">
        <v>3216</v>
      </c>
      <c r="G69" s="17">
        <v>6435</v>
      </c>
      <c r="H69" s="20">
        <v>6435</v>
      </c>
      <c r="I69" s="20">
        <v>537</v>
      </c>
      <c r="J69" s="20">
        <v>9</v>
      </c>
      <c r="K69" s="20">
        <v>1334</v>
      </c>
      <c r="L69" s="20">
        <v>5118</v>
      </c>
      <c r="M69" s="20">
        <v>4422</v>
      </c>
      <c r="N69">
        <v>0</v>
      </c>
      <c r="O69">
        <v>46</v>
      </c>
      <c r="P69" s="18">
        <v>1984</v>
      </c>
      <c r="Q69">
        <v>9639</v>
      </c>
      <c r="R69" s="20">
        <v>8225</v>
      </c>
      <c r="S69">
        <v>148</v>
      </c>
      <c r="T69" s="17">
        <v>13930</v>
      </c>
      <c r="U69" s="17">
        <v>1864</v>
      </c>
      <c r="V69" s="17">
        <v>7530000</v>
      </c>
      <c r="W69">
        <v>921</v>
      </c>
      <c r="X69" s="17">
        <v>243</v>
      </c>
      <c r="Y69" s="17">
        <v>209</v>
      </c>
      <c r="Z69">
        <v>471</v>
      </c>
      <c r="AA69">
        <v>289</v>
      </c>
      <c r="AB69">
        <v>82954413</v>
      </c>
      <c r="AC69">
        <v>438652770</v>
      </c>
      <c r="AD69">
        <v>16622260</v>
      </c>
      <c r="AF69">
        <v>171704153</v>
      </c>
      <c r="AG69">
        <v>3237502880</v>
      </c>
      <c r="AH69">
        <v>189876704</v>
      </c>
      <c r="AI69">
        <v>11126909</v>
      </c>
      <c r="AJ69">
        <v>84</v>
      </c>
      <c r="AK69">
        <v>41</v>
      </c>
      <c r="AL69">
        <v>1087495231</v>
      </c>
      <c r="AM69">
        <v>1672</v>
      </c>
      <c r="AN69">
        <v>330</v>
      </c>
      <c r="AO69">
        <v>20883127</v>
      </c>
      <c r="AP69">
        <v>23</v>
      </c>
      <c r="AQ69">
        <v>4100</v>
      </c>
      <c r="AR69">
        <v>550000</v>
      </c>
      <c r="AS69" s="17" t="s">
        <v>59</v>
      </c>
      <c r="AT69" s="17">
        <v>3.52</v>
      </c>
      <c r="AU69" s="22">
        <v>437</v>
      </c>
      <c r="AV69" s="4">
        <v>1954</v>
      </c>
      <c r="AW69" s="5" t="s">
        <v>207</v>
      </c>
      <c r="AX69" s="13" t="s">
        <v>219</v>
      </c>
      <c r="AY69" s="17">
        <v>36.380000000000003</v>
      </c>
      <c r="AZ69" s="10">
        <f t="shared" si="3"/>
        <v>6452</v>
      </c>
      <c r="BA69">
        <v>3</v>
      </c>
      <c r="BB69">
        <v>1</v>
      </c>
      <c r="BE69" s="25"/>
    </row>
    <row r="70" spans="1:57" x14ac:dyDescent="0.35">
      <c r="A70" s="18">
        <v>68</v>
      </c>
      <c r="B70" s="18" t="s">
        <v>485</v>
      </c>
      <c r="C70">
        <v>8761</v>
      </c>
      <c r="D70">
        <f t="shared" si="2"/>
        <v>7.3678987844207386E-2</v>
      </c>
      <c r="E70" s="20">
        <v>3699</v>
      </c>
      <c r="F70" s="20">
        <v>3360</v>
      </c>
      <c r="G70" s="18">
        <v>7059</v>
      </c>
      <c r="H70" s="20">
        <v>2069</v>
      </c>
      <c r="I70" s="20">
        <v>4942</v>
      </c>
      <c r="J70" s="20">
        <v>48</v>
      </c>
      <c r="K70" s="20">
        <v>810</v>
      </c>
      <c r="L70" s="20">
        <v>4830</v>
      </c>
      <c r="M70" s="20">
        <v>1527</v>
      </c>
      <c r="N70">
        <v>404</v>
      </c>
      <c r="O70">
        <v>93</v>
      </c>
      <c r="P70" s="18">
        <v>3616</v>
      </c>
      <c r="Q70">
        <v>9926</v>
      </c>
      <c r="R70" s="20">
        <v>7560</v>
      </c>
      <c r="S70">
        <v>0</v>
      </c>
      <c r="T70" s="18">
        <v>12093</v>
      </c>
      <c r="U70" s="18">
        <v>2103</v>
      </c>
      <c r="V70" s="18">
        <v>2710000</v>
      </c>
      <c r="W70">
        <v>891</v>
      </c>
      <c r="X70" s="18">
        <v>1208</v>
      </c>
      <c r="Y70" s="18">
        <v>142</v>
      </c>
      <c r="Z70">
        <v>627</v>
      </c>
      <c r="AA70">
        <v>113</v>
      </c>
      <c r="AB70">
        <v>134292262</v>
      </c>
      <c r="AC70">
        <v>74347699</v>
      </c>
      <c r="AD70">
        <v>0</v>
      </c>
      <c r="AF70">
        <v>33912185</v>
      </c>
      <c r="AG70">
        <v>3795956025</v>
      </c>
      <c r="AH70">
        <v>1179704342</v>
      </c>
      <c r="AI70">
        <v>8107816</v>
      </c>
      <c r="AJ70">
        <v>143</v>
      </c>
      <c r="AK70">
        <v>39</v>
      </c>
      <c r="AL70">
        <v>267016023</v>
      </c>
      <c r="AM70">
        <v>60</v>
      </c>
      <c r="AN70">
        <v>51</v>
      </c>
      <c r="AO70">
        <v>12586542</v>
      </c>
      <c r="AP70">
        <v>16</v>
      </c>
      <c r="AQ70">
        <v>1799</v>
      </c>
      <c r="AR70">
        <v>314900</v>
      </c>
      <c r="AS70" s="18" t="s">
        <v>59</v>
      </c>
      <c r="AT70" s="18">
        <v>3.1</v>
      </c>
      <c r="AU70" s="23">
        <v>377</v>
      </c>
      <c r="AV70" s="4">
        <v>1985</v>
      </c>
      <c r="AW70" s="5" t="s">
        <v>194</v>
      </c>
      <c r="AX70" s="13" t="s">
        <v>213</v>
      </c>
      <c r="AY70" s="18">
        <v>28.53</v>
      </c>
      <c r="AZ70" s="10">
        <f t="shared" si="3"/>
        <v>5640</v>
      </c>
      <c r="BA70">
        <v>145</v>
      </c>
      <c r="BB70">
        <v>0</v>
      </c>
      <c r="BE70" s="25"/>
    </row>
    <row r="71" spans="1:57" x14ac:dyDescent="0.35">
      <c r="A71" s="17">
        <v>69</v>
      </c>
      <c r="B71" s="17" t="s">
        <v>486</v>
      </c>
      <c r="C71">
        <v>2369</v>
      </c>
      <c r="D71">
        <f t="shared" si="2"/>
        <v>0.39174575148973734</v>
      </c>
      <c r="E71" s="20">
        <v>539</v>
      </c>
      <c r="F71" s="20">
        <v>1679</v>
      </c>
      <c r="G71" s="17">
        <v>2218</v>
      </c>
      <c r="H71" s="20">
        <v>2190</v>
      </c>
      <c r="I71" s="20">
        <v>19</v>
      </c>
      <c r="J71" s="20">
        <v>9</v>
      </c>
      <c r="K71" s="20">
        <v>253</v>
      </c>
      <c r="L71" s="20">
        <v>1437</v>
      </c>
      <c r="M71" s="20">
        <v>1488</v>
      </c>
      <c r="N71">
        <v>91</v>
      </c>
      <c r="O71">
        <v>0</v>
      </c>
      <c r="P71" s="18">
        <v>111</v>
      </c>
      <c r="Q71">
        <v>3784</v>
      </c>
      <c r="R71" s="20">
        <v>3342</v>
      </c>
      <c r="S71">
        <v>0</v>
      </c>
      <c r="T71" s="17">
        <v>4531</v>
      </c>
      <c r="U71" s="17">
        <v>251</v>
      </c>
      <c r="V71" s="17">
        <v>2572000</v>
      </c>
      <c r="W71">
        <v>1775</v>
      </c>
      <c r="X71" s="17">
        <v>428</v>
      </c>
      <c r="Y71" s="17">
        <v>90</v>
      </c>
      <c r="Z71">
        <v>294</v>
      </c>
      <c r="AA71">
        <v>195</v>
      </c>
      <c r="AB71">
        <v>139051765</v>
      </c>
      <c r="AC71">
        <v>33028651</v>
      </c>
      <c r="AD71">
        <v>645698</v>
      </c>
      <c r="AF71">
        <v>130574639</v>
      </c>
      <c r="AG71">
        <v>4402719564</v>
      </c>
      <c r="AH71">
        <v>963137095</v>
      </c>
      <c r="AI71">
        <v>11531787</v>
      </c>
      <c r="AJ71">
        <v>62</v>
      </c>
      <c r="AK71">
        <v>19</v>
      </c>
      <c r="AL71">
        <v>19222942</v>
      </c>
      <c r="AM71">
        <v>3</v>
      </c>
      <c r="AN71">
        <v>3</v>
      </c>
      <c r="AO71">
        <v>1591700</v>
      </c>
      <c r="AP71">
        <v>0</v>
      </c>
      <c r="AQ71">
        <v>0</v>
      </c>
      <c r="AR71">
        <v>0</v>
      </c>
      <c r="AS71" s="17" t="s">
        <v>59</v>
      </c>
      <c r="AT71" s="17">
        <v>3.13</v>
      </c>
      <c r="AU71" s="22">
        <v>278</v>
      </c>
      <c r="AV71" s="4">
        <v>1968</v>
      </c>
      <c r="AW71" s="5" t="s">
        <v>207</v>
      </c>
      <c r="AX71" s="13" t="s">
        <v>213</v>
      </c>
      <c r="AY71" s="17">
        <v>21.71</v>
      </c>
      <c r="AZ71" s="10">
        <f t="shared" si="3"/>
        <v>1690</v>
      </c>
      <c r="BA71">
        <v>20</v>
      </c>
      <c r="BB71">
        <v>2</v>
      </c>
      <c r="BE71" s="25"/>
    </row>
    <row r="72" spans="1:57" x14ac:dyDescent="0.35">
      <c r="A72" s="18">
        <v>70</v>
      </c>
      <c r="B72" s="18" t="s">
        <v>138</v>
      </c>
      <c r="C72">
        <v>4448</v>
      </c>
      <c r="D72">
        <f t="shared" si="2"/>
        <v>0.11246652781910146</v>
      </c>
      <c r="E72" s="20">
        <v>1548</v>
      </c>
      <c r="F72" s="20">
        <v>2419</v>
      </c>
      <c r="G72" s="18">
        <v>3967</v>
      </c>
      <c r="H72" s="20">
        <v>660</v>
      </c>
      <c r="I72" s="20">
        <v>3294</v>
      </c>
      <c r="J72" s="20">
        <v>13</v>
      </c>
      <c r="K72" s="20">
        <v>218</v>
      </c>
      <c r="L72" s="20">
        <v>2868</v>
      </c>
      <c r="M72" s="20">
        <v>312</v>
      </c>
      <c r="N72">
        <v>626</v>
      </c>
      <c r="O72">
        <v>1263</v>
      </c>
      <c r="P72" s="18">
        <v>885</v>
      </c>
      <c r="Q72">
        <v>2805</v>
      </c>
      <c r="R72" s="20">
        <v>2403</v>
      </c>
      <c r="S72">
        <v>0</v>
      </c>
      <c r="T72" s="18">
        <v>3361</v>
      </c>
      <c r="U72" s="18">
        <v>1708</v>
      </c>
      <c r="V72" s="18">
        <v>15362500</v>
      </c>
      <c r="W72">
        <v>378</v>
      </c>
      <c r="X72" s="18">
        <v>223</v>
      </c>
      <c r="Y72" s="18">
        <v>193</v>
      </c>
      <c r="Z72">
        <v>5</v>
      </c>
      <c r="AA72">
        <v>5</v>
      </c>
      <c r="AB72">
        <v>144770196</v>
      </c>
      <c r="AC72">
        <v>307352696</v>
      </c>
      <c r="AD72">
        <v>0</v>
      </c>
      <c r="AF72">
        <v>207037762</v>
      </c>
      <c r="AG72">
        <v>3755712974</v>
      </c>
      <c r="AH72">
        <v>4259682002</v>
      </c>
      <c r="AI72">
        <v>83479989</v>
      </c>
      <c r="AJ72">
        <v>131</v>
      </c>
      <c r="AK72">
        <v>65</v>
      </c>
      <c r="AL72">
        <v>222801565</v>
      </c>
      <c r="AM72">
        <v>53</v>
      </c>
      <c r="AN72">
        <v>90</v>
      </c>
      <c r="AO72">
        <v>164853100</v>
      </c>
      <c r="AP72">
        <v>48</v>
      </c>
      <c r="AQ72">
        <v>199</v>
      </c>
      <c r="AR72">
        <v>39530000</v>
      </c>
      <c r="AS72" s="18" t="s">
        <v>59</v>
      </c>
      <c r="AT72" s="18">
        <v>3.58</v>
      </c>
      <c r="AU72" s="23">
        <v>568</v>
      </c>
      <c r="AV72" s="4">
        <v>2001</v>
      </c>
      <c r="AW72" s="5" t="s">
        <v>217</v>
      </c>
      <c r="AX72" s="13" t="s">
        <v>213</v>
      </c>
      <c r="AY72" s="18">
        <v>30</v>
      </c>
      <c r="AZ72" s="10">
        <f t="shared" si="3"/>
        <v>3086</v>
      </c>
      <c r="BA72">
        <v>167</v>
      </c>
      <c r="BB72">
        <v>1</v>
      </c>
      <c r="BE72" s="25"/>
    </row>
    <row r="73" spans="1:57" x14ac:dyDescent="0.35">
      <c r="A73" s="17">
        <v>71</v>
      </c>
      <c r="B73" s="17" t="s">
        <v>128</v>
      </c>
      <c r="C73">
        <v>23630</v>
      </c>
      <c r="D73">
        <f t="shared" si="2"/>
        <v>0.21951741098478098</v>
      </c>
      <c r="E73" s="20">
        <v>12292</v>
      </c>
      <c r="F73" s="20">
        <v>11345</v>
      </c>
      <c r="G73" s="17">
        <v>23442</v>
      </c>
      <c r="H73" s="20">
        <v>6919</v>
      </c>
      <c r="I73" s="20">
        <v>16399</v>
      </c>
      <c r="J73" s="20">
        <v>319</v>
      </c>
      <c r="K73" s="20">
        <v>6</v>
      </c>
      <c r="L73" s="20">
        <v>636</v>
      </c>
      <c r="M73" s="20">
        <v>0</v>
      </c>
      <c r="N73">
        <v>642</v>
      </c>
      <c r="O73">
        <v>0</v>
      </c>
      <c r="P73" s="18">
        <v>0</v>
      </c>
      <c r="Q73">
        <v>24100</v>
      </c>
      <c r="R73" s="20">
        <v>21744</v>
      </c>
      <c r="S73">
        <v>0</v>
      </c>
      <c r="T73" s="17">
        <v>28057</v>
      </c>
      <c r="U73" s="17">
        <v>9109</v>
      </c>
      <c r="V73" s="17">
        <v>6759000</v>
      </c>
      <c r="W73">
        <v>6159</v>
      </c>
      <c r="X73" s="17">
        <v>556</v>
      </c>
      <c r="Y73" s="17">
        <v>529</v>
      </c>
      <c r="Z73">
        <v>108</v>
      </c>
      <c r="AA73">
        <v>0</v>
      </c>
      <c r="AB73">
        <v>317514727</v>
      </c>
      <c r="AC73">
        <v>165240704</v>
      </c>
      <c r="AD73">
        <v>9401462</v>
      </c>
      <c r="AF73">
        <v>593546222</v>
      </c>
      <c r="AG73">
        <v>3927882716</v>
      </c>
      <c r="AH73">
        <v>512950921</v>
      </c>
      <c r="AI73">
        <v>37725661</v>
      </c>
      <c r="AJ73">
        <v>63</v>
      </c>
      <c r="AK73">
        <v>42</v>
      </c>
      <c r="AL73">
        <v>44982291</v>
      </c>
      <c r="AM73">
        <v>267</v>
      </c>
      <c r="AN73">
        <v>189</v>
      </c>
      <c r="AO73">
        <v>100544961</v>
      </c>
      <c r="AP73">
        <v>3</v>
      </c>
      <c r="AQ73">
        <v>263</v>
      </c>
      <c r="AR73">
        <v>38937746</v>
      </c>
      <c r="AS73" s="17" t="s">
        <v>59</v>
      </c>
      <c r="AT73" s="17">
        <v>3.25</v>
      </c>
      <c r="AU73" s="22">
        <v>1317</v>
      </c>
      <c r="AV73" s="4">
        <v>1969</v>
      </c>
      <c r="AW73" s="5" t="s">
        <v>217</v>
      </c>
      <c r="AX73" s="13" t="s">
        <v>196</v>
      </c>
      <c r="AY73" s="17">
        <v>52.36</v>
      </c>
      <c r="AZ73" s="10">
        <f t="shared" si="3"/>
        <v>642</v>
      </c>
      <c r="BA73">
        <v>10</v>
      </c>
      <c r="BB73">
        <v>2</v>
      </c>
      <c r="BE73" s="25"/>
    </row>
    <row r="74" spans="1:57" x14ac:dyDescent="0.35">
      <c r="A74" s="18">
        <v>72</v>
      </c>
      <c r="B74" s="18" t="s">
        <v>125</v>
      </c>
      <c r="C74">
        <v>2566</v>
      </c>
      <c r="D74">
        <f t="shared" si="2"/>
        <v>0.16290291449527119</v>
      </c>
      <c r="E74" s="20">
        <v>1086</v>
      </c>
      <c r="F74" s="20">
        <v>1145</v>
      </c>
      <c r="G74" s="18">
        <v>2231</v>
      </c>
      <c r="H74" s="20">
        <v>2059</v>
      </c>
      <c r="I74" s="20">
        <v>172</v>
      </c>
      <c r="J74" s="20">
        <v>0</v>
      </c>
      <c r="K74" s="20">
        <v>1400</v>
      </c>
      <c r="L74" s="20">
        <v>641</v>
      </c>
      <c r="M74" s="20">
        <v>1494</v>
      </c>
      <c r="N74">
        <v>537</v>
      </c>
      <c r="O74">
        <v>0</v>
      </c>
      <c r="P74" s="18">
        <v>10</v>
      </c>
      <c r="Q74">
        <v>3405</v>
      </c>
      <c r="R74" s="20">
        <v>2996</v>
      </c>
      <c r="S74">
        <v>150</v>
      </c>
      <c r="T74" s="18">
        <v>5181</v>
      </c>
      <c r="U74" s="18">
        <v>1395</v>
      </c>
      <c r="V74" s="18">
        <v>1787500</v>
      </c>
      <c r="W74">
        <v>844</v>
      </c>
      <c r="X74" s="18">
        <v>99</v>
      </c>
      <c r="Y74" s="18">
        <v>350</v>
      </c>
      <c r="Z74">
        <v>14</v>
      </c>
      <c r="AA74">
        <v>347</v>
      </c>
      <c r="AB74">
        <v>583789754</v>
      </c>
      <c r="AC74">
        <v>107789144</v>
      </c>
      <c r="AD74">
        <v>172465971</v>
      </c>
      <c r="AF74">
        <v>319403317</v>
      </c>
      <c r="AG74">
        <v>1240105860</v>
      </c>
      <c r="AH74">
        <v>2405254627</v>
      </c>
      <c r="AI74">
        <v>11007474</v>
      </c>
      <c r="AJ74">
        <v>24</v>
      </c>
      <c r="AK74">
        <v>20</v>
      </c>
      <c r="AL74">
        <v>20650429</v>
      </c>
      <c r="AM74">
        <v>19</v>
      </c>
      <c r="AN74">
        <v>17</v>
      </c>
      <c r="AO74">
        <v>22282000</v>
      </c>
      <c r="AP74">
        <v>15</v>
      </c>
      <c r="AQ74">
        <v>300</v>
      </c>
      <c r="AR74">
        <v>300000</v>
      </c>
      <c r="AS74" s="18" t="s">
        <v>74</v>
      </c>
      <c r="AT74" s="18" t="s">
        <v>495</v>
      </c>
      <c r="AU74" s="23">
        <v>175</v>
      </c>
      <c r="AV74" s="4">
        <v>1998</v>
      </c>
      <c r="AW74" s="5" t="s">
        <v>207</v>
      </c>
      <c r="AX74" s="13" t="s">
        <v>213</v>
      </c>
      <c r="AY74" s="18">
        <v>3.01</v>
      </c>
      <c r="AZ74" s="10">
        <f t="shared" si="3"/>
        <v>2041</v>
      </c>
      <c r="BA74">
        <v>11</v>
      </c>
      <c r="BB74">
        <v>2</v>
      </c>
      <c r="BE74" s="25"/>
    </row>
    <row r="75" spans="1:57" ht="14.5" customHeight="1" x14ac:dyDescent="0.35">
      <c r="A75" s="17">
        <v>73</v>
      </c>
      <c r="B75" s="17" t="s">
        <v>487</v>
      </c>
      <c r="C75">
        <v>2662</v>
      </c>
      <c r="D75">
        <f t="shared" si="2"/>
        <v>0.15613382899628253</v>
      </c>
      <c r="E75" s="20">
        <v>949</v>
      </c>
      <c r="F75" s="20">
        <v>1638</v>
      </c>
      <c r="G75" s="17">
        <v>2587</v>
      </c>
      <c r="H75" s="20">
        <v>1736</v>
      </c>
      <c r="I75" s="20">
        <v>848</v>
      </c>
      <c r="J75" s="20">
        <v>3</v>
      </c>
      <c r="K75" s="20">
        <v>144</v>
      </c>
      <c r="L75" s="20">
        <v>620</v>
      </c>
      <c r="M75" s="20">
        <v>0</v>
      </c>
      <c r="N75">
        <v>0</v>
      </c>
      <c r="O75">
        <v>0</v>
      </c>
      <c r="P75" s="18">
        <v>764</v>
      </c>
      <c r="Q75">
        <v>2039</v>
      </c>
      <c r="R75" s="20">
        <v>1668</v>
      </c>
      <c r="S75">
        <v>0</v>
      </c>
      <c r="T75" s="17">
        <v>2421</v>
      </c>
      <c r="U75" s="17">
        <v>916</v>
      </c>
      <c r="V75" s="17">
        <v>9987000</v>
      </c>
      <c r="W75">
        <v>378</v>
      </c>
      <c r="X75" s="17">
        <v>110</v>
      </c>
      <c r="Y75" s="17">
        <v>18</v>
      </c>
      <c r="Z75">
        <v>33</v>
      </c>
      <c r="AA75">
        <v>0</v>
      </c>
      <c r="AB75">
        <v>443291097</v>
      </c>
      <c r="AC75">
        <v>130778892</v>
      </c>
      <c r="AD75">
        <v>470517</v>
      </c>
      <c r="AF75">
        <v>136780163</v>
      </c>
      <c r="AG75">
        <v>4584367435</v>
      </c>
      <c r="AH75">
        <v>1737974974</v>
      </c>
      <c r="AI75">
        <v>14083093</v>
      </c>
      <c r="AJ75">
        <v>144</v>
      </c>
      <c r="AK75">
        <v>19</v>
      </c>
      <c r="AL75">
        <v>35556500</v>
      </c>
      <c r="AM75">
        <v>12</v>
      </c>
      <c r="AN75">
        <v>12</v>
      </c>
      <c r="AO75">
        <v>3316000</v>
      </c>
      <c r="AP75">
        <v>119</v>
      </c>
      <c r="AQ75">
        <v>178</v>
      </c>
      <c r="AR75">
        <v>7798667</v>
      </c>
      <c r="AS75" s="17" t="s">
        <v>59</v>
      </c>
      <c r="AT75" s="17">
        <v>3.39</v>
      </c>
      <c r="AU75" s="22">
        <v>303</v>
      </c>
      <c r="AV75" s="4">
        <v>1984</v>
      </c>
      <c r="AW75" s="5" t="s">
        <v>217</v>
      </c>
      <c r="AX75" s="13" t="s">
        <v>219</v>
      </c>
      <c r="AY75" s="17">
        <v>24.39</v>
      </c>
      <c r="AZ75" s="10">
        <f t="shared" si="3"/>
        <v>764</v>
      </c>
      <c r="BA75">
        <v>178</v>
      </c>
      <c r="BB75">
        <v>1</v>
      </c>
      <c r="BE75" s="25"/>
    </row>
    <row r="76" spans="1:57" x14ac:dyDescent="0.35">
      <c r="A76" s="18">
        <v>74</v>
      </c>
      <c r="B76" s="18" t="s">
        <v>116</v>
      </c>
      <c r="C76">
        <v>7845</v>
      </c>
      <c r="D76">
        <f t="shared" si="2"/>
        <v>0.1562050790608529</v>
      </c>
      <c r="E76" s="20">
        <v>3935</v>
      </c>
      <c r="F76" s="20">
        <v>2773</v>
      </c>
      <c r="G76" s="18">
        <v>7823</v>
      </c>
      <c r="H76" s="20">
        <v>1744</v>
      </c>
      <c r="I76" s="20">
        <v>4918</v>
      </c>
      <c r="J76" s="20">
        <v>46</v>
      </c>
      <c r="K76" s="20">
        <v>190</v>
      </c>
      <c r="L76" s="20">
        <v>685</v>
      </c>
      <c r="M76" s="20">
        <v>84</v>
      </c>
      <c r="N76">
        <v>726</v>
      </c>
      <c r="O76">
        <v>44</v>
      </c>
      <c r="P76" s="18">
        <v>21</v>
      </c>
      <c r="Q76">
        <v>5936</v>
      </c>
      <c r="R76" s="20">
        <v>4685</v>
      </c>
      <c r="S76">
        <v>10</v>
      </c>
      <c r="T76" s="18">
        <v>6261</v>
      </c>
      <c r="U76" s="18">
        <v>3223</v>
      </c>
      <c r="V76" s="18">
        <v>3859000</v>
      </c>
      <c r="W76">
        <v>978</v>
      </c>
      <c r="X76" s="18">
        <v>109</v>
      </c>
      <c r="Y76" s="18">
        <v>239</v>
      </c>
      <c r="Z76">
        <v>26</v>
      </c>
      <c r="AA76">
        <v>76</v>
      </c>
      <c r="AB76">
        <v>127202616</v>
      </c>
      <c r="AC76">
        <v>798682978</v>
      </c>
      <c r="AD76">
        <v>18272000</v>
      </c>
      <c r="AF76">
        <v>150947000</v>
      </c>
      <c r="AG76">
        <v>1281904000</v>
      </c>
      <c r="AH76">
        <v>3052603000</v>
      </c>
      <c r="AI76">
        <v>24642000</v>
      </c>
      <c r="AJ76">
        <v>142</v>
      </c>
      <c r="AK76">
        <v>61</v>
      </c>
      <c r="AL76">
        <v>282991480</v>
      </c>
      <c r="AM76">
        <v>45</v>
      </c>
      <c r="AN76">
        <v>21</v>
      </c>
      <c r="AO76">
        <v>38155000</v>
      </c>
      <c r="AP76">
        <v>10</v>
      </c>
      <c r="AQ76">
        <v>201</v>
      </c>
      <c r="AR76">
        <v>31265700</v>
      </c>
      <c r="AS76" s="18" t="s">
        <v>59</v>
      </c>
      <c r="AT76" s="18">
        <v>3.23</v>
      </c>
      <c r="AU76" s="23">
        <v>547</v>
      </c>
      <c r="AV76" s="4">
        <v>1993</v>
      </c>
      <c r="AW76" s="5" t="s">
        <v>217</v>
      </c>
      <c r="AX76" s="13" t="s">
        <v>213</v>
      </c>
      <c r="AY76" s="18">
        <v>37.700000000000003</v>
      </c>
      <c r="AZ76" s="10">
        <f t="shared" si="3"/>
        <v>875</v>
      </c>
      <c r="BA76">
        <v>8.9</v>
      </c>
      <c r="BB76">
        <v>3</v>
      </c>
      <c r="BE76" s="25"/>
    </row>
    <row r="77" spans="1:57" x14ac:dyDescent="0.35">
      <c r="A77" s="17">
        <v>75</v>
      </c>
      <c r="B77" s="17" t="s">
        <v>126</v>
      </c>
      <c r="C77">
        <v>4388</v>
      </c>
      <c r="D77">
        <f t="shared" si="2"/>
        <v>0.10620728929384966</v>
      </c>
      <c r="E77" s="20">
        <v>1060</v>
      </c>
      <c r="F77" s="20">
        <v>2342</v>
      </c>
      <c r="G77" s="17">
        <v>4279</v>
      </c>
      <c r="H77" s="20">
        <v>1275</v>
      </c>
      <c r="I77" s="20">
        <v>2081</v>
      </c>
      <c r="J77" s="20">
        <v>46</v>
      </c>
      <c r="K77" s="20">
        <v>99</v>
      </c>
      <c r="L77" s="20">
        <v>365</v>
      </c>
      <c r="M77" s="20">
        <v>18</v>
      </c>
      <c r="N77">
        <v>79</v>
      </c>
      <c r="O77">
        <v>0</v>
      </c>
      <c r="P77" s="18">
        <v>367</v>
      </c>
      <c r="Q77">
        <v>3243</v>
      </c>
      <c r="R77" s="20">
        <v>2504</v>
      </c>
      <c r="S77">
        <v>8</v>
      </c>
      <c r="T77" s="17">
        <v>3512</v>
      </c>
      <c r="U77" s="17">
        <v>1321</v>
      </c>
      <c r="V77" s="17">
        <v>4840000</v>
      </c>
      <c r="W77">
        <v>373</v>
      </c>
      <c r="X77" s="17">
        <v>111</v>
      </c>
      <c r="Y77" s="17">
        <v>73</v>
      </c>
      <c r="Z77">
        <v>19</v>
      </c>
      <c r="AA77">
        <v>43</v>
      </c>
      <c r="AB77">
        <v>128838369</v>
      </c>
      <c r="AC77">
        <v>376371793</v>
      </c>
      <c r="AD77">
        <v>0</v>
      </c>
      <c r="AF77">
        <v>201559423</v>
      </c>
      <c r="AG77">
        <v>2717433747</v>
      </c>
      <c r="AH77">
        <v>2589101955</v>
      </c>
      <c r="AI77">
        <v>19242943</v>
      </c>
      <c r="AJ77">
        <v>88</v>
      </c>
      <c r="AK77">
        <v>51</v>
      </c>
      <c r="AL77">
        <v>72177959</v>
      </c>
      <c r="AM77">
        <v>95</v>
      </c>
      <c r="AN77">
        <v>58</v>
      </c>
      <c r="AO77">
        <v>75885578</v>
      </c>
      <c r="AP77">
        <v>4</v>
      </c>
      <c r="AQ77">
        <v>442</v>
      </c>
      <c r="AR77">
        <v>10266500</v>
      </c>
      <c r="AS77" s="17" t="s">
        <v>59</v>
      </c>
      <c r="AT77" s="17">
        <v>3.4</v>
      </c>
      <c r="AU77" s="22">
        <v>564</v>
      </c>
      <c r="AV77" s="4">
        <v>2008</v>
      </c>
      <c r="AW77" s="5" t="s">
        <v>217</v>
      </c>
      <c r="AX77" s="13" t="s">
        <v>213</v>
      </c>
      <c r="AY77" s="17">
        <v>27.01</v>
      </c>
      <c r="AZ77" s="10">
        <f t="shared" si="3"/>
        <v>464</v>
      </c>
      <c r="BA77">
        <v>13</v>
      </c>
      <c r="BB77">
        <v>1</v>
      </c>
      <c r="BE77" s="25"/>
    </row>
    <row r="78" spans="1:57" x14ac:dyDescent="0.35">
      <c r="A78" s="18">
        <v>76</v>
      </c>
      <c r="B78" s="18" t="s">
        <v>152</v>
      </c>
      <c r="C78">
        <v>27734</v>
      </c>
      <c r="D78">
        <f t="shared" si="2"/>
        <v>0.14327296248382923</v>
      </c>
      <c r="E78" s="20">
        <v>13232</v>
      </c>
      <c r="F78" s="20">
        <v>10292</v>
      </c>
      <c r="G78" s="18">
        <v>23524</v>
      </c>
      <c r="H78" s="20">
        <v>14321</v>
      </c>
      <c r="I78" s="20">
        <v>9119</v>
      </c>
      <c r="J78" s="20">
        <v>84</v>
      </c>
      <c r="K78" s="20">
        <v>4782</v>
      </c>
      <c r="L78" s="20">
        <v>3914</v>
      </c>
      <c r="M78" s="20">
        <v>1212</v>
      </c>
      <c r="N78">
        <v>1085</v>
      </c>
      <c r="O78">
        <v>428</v>
      </c>
      <c r="P78" s="18">
        <v>5971</v>
      </c>
      <c r="Q78">
        <v>22754</v>
      </c>
      <c r="R78" s="20">
        <v>18707</v>
      </c>
      <c r="S78">
        <v>710</v>
      </c>
      <c r="T78" s="18">
        <v>24736</v>
      </c>
      <c r="U78" s="18">
        <v>8210</v>
      </c>
      <c r="V78" s="18">
        <v>6850000</v>
      </c>
      <c r="W78">
        <v>3544</v>
      </c>
      <c r="X78" s="18">
        <v>1017</v>
      </c>
      <c r="Y78" s="18">
        <v>0</v>
      </c>
      <c r="Z78">
        <v>210</v>
      </c>
      <c r="AA78">
        <v>0</v>
      </c>
      <c r="AB78">
        <v>195518029</v>
      </c>
      <c r="AC78">
        <v>768105643</v>
      </c>
      <c r="AD78">
        <v>14730025</v>
      </c>
      <c r="AF78">
        <v>764332992</v>
      </c>
      <c r="AG78">
        <v>8683680877</v>
      </c>
      <c r="AH78">
        <v>7834658356</v>
      </c>
      <c r="AI78">
        <v>62065820</v>
      </c>
      <c r="AJ78">
        <v>265</v>
      </c>
      <c r="AK78">
        <v>164</v>
      </c>
      <c r="AL78">
        <v>256169308</v>
      </c>
      <c r="AM78">
        <v>538</v>
      </c>
      <c r="AN78">
        <v>337</v>
      </c>
      <c r="AO78">
        <v>80764757</v>
      </c>
      <c r="AP78">
        <v>77</v>
      </c>
      <c r="AQ78">
        <v>1678</v>
      </c>
      <c r="AR78">
        <v>107440327</v>
      </c>
      <c r="AS78" s="18" t="s">
        <v>59</v>
      </c>
      <c r="AT78" s="18">
        <v>3.53</v>
      </c>
      <c r="AU78" s="23">
        <v>2104</v>
      </c>
      <c r="AV78" s="4">
        <v>1964</v>
      </c>
      <c r="AW78" s="5" t="s">
        <v>217</v>
      </c>
      <c r="AX78" s="13" t="s">
        <v>196</v>
      </c>
      <c r="AY78" s="18">
        <v>37.93</v>
      </c>
      <c r="AZ78" s="10">
        <f t="shared" si="3"/>
        <v>8696</v>
      </c>
      <c r="BA78">
        <v>9</v>
      </c>
      <c r="BB78">
        <v>0</v>
      </c>
      <c r="BE78" s="25"/>
    </row>
    <row r="79" spans="1:57" ht="19" customHeight="1" x14ac:dyDescent="0.35">
      <c r="A79" s="17">
        <v>77</v>
      </c>
      <c r="B79" s="17" t="s">
        <v>135</v>
      </c>
      <c r="C79">
        <v>3802</v>
      </c>
      <c r="D79">
        <f t="shared" si="2"/>
        <v>0.10608552631578948</v>
      </c>
      <c r="E79" s="20">
        <v>1996</v>
      </c>
      <c r="F79" s="20">
        <v>1498</v>
      </c>
      <c r="G79" s="17">
        <v>3494</v>
      </c>
      <c r="H79" s="20">
        <v>2787</v>
      </c>
      <c r="I79" s="20">
        <v>655</v>
      </c>
      <c r="J79" s="20">
        <v>52</v>
      </c>
      <c r="K79" s="20">
        <v>67</v>
      </c>
      <c r="L79" s="20">
        <v>913</v>
      </c>
      <c r="M79" s="20">
        <v>213</v>
      </c>
      <c r="N79">
        <v>47</v>
      </c>
      <c r="O79">
        <v>1</v>
      </c>
      <c r="P79" s="18">
        <v>719</v>
      </c>
      <c r="Q79">
        <v>3600</v>
      </c>
      <c r="R79" s="20">
        <v>2967</v>
      </c>
      <c r="S79">
        <v>0</v>
      </c>
      <c r="T79" s="17">
        <v>4864</v>
      </c>
      <c r="U79" s="17">
        <v>1523</v>
      </c>
      <c r="V79" s="17">
        <v>6262000</v>
      </c>
      <c r="W79">
        <v>516</v>
      </c>
      <c r="X79" s="17">
        <v>459</v>
      </c>
      <c r="Y79" s="17">
        <v>413</v>
      </c>
      <c r="Z79">
        <v>114</v>
      </c>
      <c r="AA79">
        <v>80</v>
      </c>
      <c r="AB79">
        <v>229060708</v>
      </c>
      <c r="AC79">
        <v>23662044</v>
      </c>
      <c r="AD79">
        <v>2808073</v>
      </c>
      <c r="AF79">
        <v>44891598</v>
      </c>
      <c r="AG79">
        <v>2161330168</v>
      </c>
      <c r="AH79">
        <v>2562161848</v>
      </c>
      <c r="AI79">
        <v>24555585</v>
      </c>
      <c r="AJ79">
        <v>119</v>
      </c>
      <c r="AK79">
        <v>58</v>
      </c>
      <c r="AL79">
        <v>85648464</v>
      </c>
      <c r="AM79">
        <v>28</v>
      </c>
      <c r="AN79">
        <v>28</v>
      </c>
      <c r="AO79">
        <v>6390751</v>
      </c>
      <c r="AP79">
        <v>12</v>
      </c>
      <c r="AQ79">
        <v>1165</v>
      </c>
      <c r="AR79">
        <v>88136000</v>
      </c>
      <c r="AS79" s="17" t="s">
        <v>74</v>
      </c>
      <c r="AT79" s="17" t="s">
        <v>495</v>
      </c>
      <c r="AU79" s="22">
        <v>237</v>
      </c>
      <c r="AV79" s="4">
        <v>1998</v>
      </c>
      <c r="AW79" s="5" t="s">
        <v>207</v>
      </c>
      <c r="AX79" s="13" t="s">
        <v>196</v>
      </c>
      <c r="AY79" s="17">
        <v>16.72</v>
      </c>
      <c r="AZ79" s="10">
        <f t="shared" si="3"/>
        <v>980</v>
      </c>
      <c r="BA79">
        <v>27.6</v>
      </c>
      <c r="BB79">
        <v>2</v>
      </c>
      <c r="BE79" s="25"/>
    </row>
    <row r="80" spans="1:57" x14ac:dyDescent="0.35">
      <c r="A80" s="18">
        <v>78</v>
      </c>
      <c r="B80" s="18" t="s">
        <v>137</v>
      </c>
      <c r="C80">
        <v>2927</v>
      </c>
      <c r="D80">
        <f t="shared" si="2"/>
        <v>0.12112336319779463</v>
      </c>
      <c r="E80" s="20">
        <v>1303</v>
      </c>
      <c r="F80" s="20">
        <v>1301</v>
      </c>
      <c r="G80" s="18">
        <v>2604</v>
      </c>
      <c r="H80" s="20">
        <v>2063</v>
      </c>
      <c r="I80" s="20">
        <v>540</v>
      </c>
      <c r="J80" s="20">
        <v>1</v>
      </c>
      <c r="K80" s="20">
        <v>31</v>
      </c>
      <c r="L80" s="20">
        <v>2407</v>
      </c>
      <c r="M80" s="20">
        <v>16</v>
      </c>
      <c r="N80">
        <v>25</v>
      </c>
      <c r="O80">
        <v>17</v>
      </c>
      <c r="P80" s="18">
        <v>2380</v>
      </c>
      <c r="Q80">
        <v>3429</v>
      </c>
      <c r="R80" s="20">
        <v>2996</v>
      </c>
      <c r="S80">
        <v>73</v>
      </c>
      <c r="T80" s="18">
        <v>5804</v>
      </c>
      <c r="U80" s="18">
        <v>281</v>
      </c>
      <c r="V80" s="18">
        <v>2840000</v>
      </c>
      <c r="W80">
        <v>703</v>
      </c>
      <c r="X80" s="18">
        <v>746</v>
      </c>
      <c r="Y80" s="18">
        <v>0</v>
      </c>
      <c r="Z80">
        <v>257</v>
      </c>
      <c r="AA80">
        <v>0</v>
      </c>
      <c r="AB80">
        <v>137781494</v>
      </c>
      <c r="AC80">
        <v>119507285</v>
      </c>
      <c r="AD80">
        <v>402628</v>
      </c>
      <c r="AF80">
        <v>55459604</v>
      </c>
      <c r="AG80">
        <v>2541064699</v>
      </c>
      <c r="AH80">
        <v>63000473</v>
      </c>
      <c r="AI80">
        <v>14008602</v>
      </c>
      <c r="AJ80">
        <v>557</v>
      </c>
      <c r="AK80">
        <v>88</v>
      </c>
      <c r="AL80">
        <v>537052649</v>
      </c>
      <c r="AM80">
        <v>17</v>
      </c>
      <c r="AN80">
        <v>16</v>
      </c>
      <c r="AO80">
        <v>13845580</v>
      </c>
      <c r="AP80">
        <v>4</v>
      </c>
      <c r="AQ80">
        <v>154</v>
      </c>
      <c r="AR80">
        <v>2105000</v>
      </c>
      <c r="AS80" s="18" t="s">
        <v>59</v>
      </c>
      <c r="AT80" s="18">
        <v>3.16</v>
      </c>
      <c r="AU80" s="23">
        <v>236</v>
      </c>
      <c r="AV80" s="4">
        <v>2001</v>
      </c>
      <c r="AW80" s="5" t="s">
        <v>194</v>
      </c>
      <c r="AX80" s="13" t="s">
        <v>219</v>
      </c>
      <c r="AY80" s="18">
        <v>20.28</v>
      </c>
      <c r="AZ80" s="10">
        <f t="shared" si="3"/>
        <v>2438</v>
      </c>
      <c r="BA80">
        <v>120</v>
      </c>
      <c r="BB80">
        <v>3</v>
      </c>
      <c r="BE80" s="25"/>
    </row>
    <row r="81" spans="1:57" x14ac:dyDescent="0.35">
      <c r="A81" s="17">
        <v>79</v>
      </c>
      <c r="B81" s="17" t="s">
        <v>488</v>
      </c>
      <c r="C81">
        <v>20799</v>
      </c>
      <c r="D81">
        <f t="shared" si="2"/>
        <v>0.14679982817869416</v>
      </c>
      <c r="E81" s="20">
        <v>10935</v>
      </c>
      <c r="F81" s="20">
        <v>8305</v>
      </c>
      <c r="G81" s="17">
        <v>19240</v>
      </c>
      <c r="H81" s="20">
        <v>8198</v>
      </c>
      <c r="I81" s="20">
        <v>9183</v>
      </c>
      <c r="J81" s="20">
        <v>1859</v>
      </c>
      <c r="K81" s="20">
        <v>587</v>
      </c>
      <c r="L81" s="20">
        <v>6433</v>
      </c>
      <c r="M81" s="20">
        <v>2002</v>
      </c>
      <c r="N81">
        <v>298</v>
      </c>
      <c r="O81">
        <v>22</v>
      </c>
      <c r="P81" s="18">
        <v>4698</v>
      </c>
      <c r="Q81">
        <v>16284</v>
      </c>
      <c r="R81" s="20">
        <v>14543</v>
      </c>
      <c r="S81">
        <v>98</v>
      </c>
      <c r="T81" s="17">
        <v>18624</v>
      </c>
      <c r="U81" s="17">
        <v>9194</v>
      </c>
      <c r="V81" s="17">
        <v>4971000</v>
      </c>
      <c r="W81">
        <v>2734</v>
      </c>
      <c r="X81" s="17">
        <v>604</v>
      </c>
      <c r="Y81" s="17">
        <v>92</v>
      </c>
      <c r="Z81">
        <v>350</v>
      </c>
      <c r="AA81">
        <v>0</v>
      </c>
      <c r="AB81">
        <v>116764615</v>
      </c>
      <c r="AC81">
        <v>122506621</v>
      </c>
      <c r="AD81">
        <v>19500307</v>
      </c>
      <c r="AF81">
        <v>1050834104</v>
      </c>
      <c r="AG81">
        <v>3521383795</v>
      </c>
      <c r="AH81">
        <v>550369163</v>
      </c>
      <c r="AI81">
        <v>43289247</v>
      </c>
      <c r="AJ81">
        <v>67</v>
      </c>
      <c r="AK81">
        <v>38</v>
      </c>
      <c r="AL81">
        <v>94818848</v>
      </c>
      <c r="AM81">
        <v>376</v>
      </c>
      <c r="AN81">
        <v>193</v>
      </c>
      <c r="AO81">
        <v>156050557</v>
      </c>
      <c r="AP81">
        <v>5</v>
      </c>
      <c r="AQ81">
        <v>226</v>
      </c>
      <c r="AR81">
        <v>20950000</v>
      </c>
      <c r="AS81" s="17" t="s">
        <v>59</v>
      </c>
      <c r="AT81" s="17">
        <v>3.71</v>
      </c>
      <c r="AU81" s="22">
        <v>1186</v>
      </c>
      <c r="AV81" s="4">
        <v>1990</v>
      </c>
      <c r="AW81" s="5" t="s">
        <v>217</v>
      </c>
      <c r="AX81" s="13" t="s">
        <v>196</v>
      </c>
      <c r="AY81" s="17">
        <v>33.01</v>
      </c>
      <c r="AZ81" s="10">
        <f t="shared" si="3"/>
        <v>7020</v>
      </c>
      <c r="BA81">
        <v>10</v>
      </c>
      <c r="BB81">
        <v>2</v>
      </c>
      <c r="BE81" s="25"/>
    </row>
    <row r="82" spans="1:57" x14ac:dyDescent="0.35">
      <c r="A82" s="18">
        <v>80</v>
      </c>
      <c r="B82" s="18" t="s">
        <v>144</v>
      </c>
      <c r="C82">
        <v>2819</v>
      </c>
      <c r="D82">
        <f t="shared" si="2"/>
        <v>8.4491978609625665E-2</v>
      </c>
      <c r="E82" s="20">
        <v>799</v>
      </c>
      <c r="F82" s="20">
        <v>1486</v>
      </c>
      <c r="G82" s="18">
        <v>2285</v>
      </c>
      <c r="H82" s="20">
        <v>2237</v>
      </c>
      <c r="I82" s="20">
        <v>48</v>
      </c>
      <c r="J82" s="20">
        <v>0</v>
      </c>
      <c r="K82" s="20">
        <v>180</v>
      </c>
      <c r="L82" s="20">
        <v>2089</v>
      </c>
      <c r="M82" s="20">
        <v>1417</v>
      </c>
      <c r="N82">
        <v>113</v>
      </c>
      <c r="O82">
        <v>0</v>
      </c>
      <c r="P82" s="18">
        <v>739</v>
      </c>
      <c r="Q82">
        <v>2619</v>
      </c>
      <c r="R82" s="20">
        <v>2042</v>
      </c>
      <c r="S82">
        <v>0</v>
      </c>
      <c r="T82" s="18">
        <v>3740</v>
      </c>
      <c r="U82" s="18">
        <v>1156</v>
      </c>
      <c r="V82" s="18">
        <v>912000</v>
      </c>
      <c r="W82">
        <v>316</v>
      </c>
      <c r="X82" s="18">
        <v>265</v>
      </c>
      <c r="Y82" s="18">
        <v>173</v>
      </c>
      <c r="Z82">
        <v>111</v>
      </c>
      <c r="AA82">
        <v>88</v>
      </c>
      <c r="AB82">
        <v>83544975</v>
      </c>
      <c r="AC82">
        <v>33653197</v>
      </c>
      <c r="AD82">
        <v>6565963</v>
      </c>
      <c r="AF82">
        <v>87578665</v>
      </c>
      <c r="AG82">
        <v>1393537272</v>
      </c>
      <c r="AH82">
        <v>1260631139</v>
      </c>
      <c r="AI82">
        <v>16750401</v>
      </c>
      <c r="AJ82">
        <v>45</v>
      </c>
      <c r="AK82">
        <v>19</v>
      </c>
      <c r="AL82">
        <v>32458243</v>
      </c>
      <c r="AM82">
        <v>6</v>
      </c>
      <c r="AN82">
        <v>6</v>
      </c>
      <c r="AO82">
        <v>899125</v>
      </c>
      <c r="AP82">
        <v>52</v>
      </c>
      <c r="AQ82">
        <v>2613</v>
      </c>
      <c r="AR82">
        <v>8409800</v>
      </c>
      <c r="AS82" s="18" t="s">
        <v>59</v>
      </c>
      <c r="AT82" s="18">
        <v>3.13</v>
      </c>
      <c r="AU82" s="23">
        <v>220</v>
      </c>
      <c r="AV82" s="4">
        <v>1990</v>
      </c>
      <c r="AW82" s="5" t="s">
        <v>207</v>
      </c>
      <c r="AX82" s="13" t="s">
        <v>213</v>
      </c>
      <c r="AY82" s="18">
        <v>20.28</v>
      </c>
      <c r="AZ82" s="10">
        <f t="shared" si="3"/>
        <v>2269</v>
      </c>
      <c r="BA82">
        <v>21</v>
      </c>
      <c r="BB82">
        <v>1</v>
      </c>
      <c r="BE82" s="25"/>
    </row>
    <row r="83" spans="1:57" ht="17.5" customHeight="1" x14ac:dyDescent="0.35">
      <c r="A83" s="17">
        <v>81</v>
      </c>
      <c r="B83" s="17" t="s">
        <v>489</v>
      </c>
      <c r="C83">
        <v>8080</v>
      </c>
      <c r="D83">
        <f t="shared" si="2"/>
        <v>0.31247487605520569</v>
      </c>
      <c r="E83" s="20">
        <v>2776</v>
      </c>
      <c r="F83" s="20">
        <v>4739</v>
      </c>
      <c r="G83" s="17">
        <v>7515</v>
      </c>
      <c r="H83" s="20">
        <v>3931</v>
      </c>
      <c r="I83" s="20">
        <v>3555</v>
      </c>
      <c r="J83" s="20">
        <v>29</v>
      </c>
      <c r="K83" s="20">
        <v>5</v>
      </c>
      <c r="L83" s="20">
        <v>647</v>
      </c>
      <c r="M83" s="20">
        <v>0</v>
      </c>
      <c r="N83">
        <v>153</v>
      </c>
      <c r="O83">
        <v>0</v>
      </c>
      <c r="P83" s="18">
        <v>499</v>
      </c>
      <c r="Q83">
        <v>6669</v>
      </c>
      <c r="R83" s="20">
        <v>5551</v>
      </c>
      <c r="S83">
        <v>9</v>
      </c>
      <c r="T83" s="17">
        <v>7463</v>
      </c>
      <c r="U83" s="17">
        <v>2831</v>
      </c>
      <c r="V83" s="17">
        <v>11287000</v>
      </c>
      <c r="W83">
        <v>2332</v>
      </c>
      <c r="X83" s="17">
        <v>245</v>
      </c>
      <c r="Y83" s="17">
        <v>60</v>
      </c>
      <c r="Z83">
        <v>60</v>
      </c>
      <c r="AA83">
        <v>0</v>
      </c>
      <c r="AB83">
        <v>125744911</v>
      </c>
      <c r="AC83">
        <v>1174573195</v>
      </c>
      <c r="AD83">
        <v>0</v>
      </c>
      <c r="AF83">
        <v>286760553</v>
      </c>
      <c r="AG83">
        <v>4647152766</v>
      </c>
      <c r="AH83">
        <v>7310688618</v>
      </c>
      <c r="AI83">
        <v>176908451</v>
      </c>
      <c r="AJ83">
        <v>127</v>
      </c>
      <c r="AK83">
        <v>72</v>
      </c>
      <c r="AL83">
        <v>214270108</v>
      </c>
      <c r="AM83">
        <v>41</v>
      </c>
      <c r="AN83">
        <v>41</v>
      </c>
      <c r="AO83">
        <v>51224426</v>
      </c>
      <c r="AP83">
        <v>16</v>
      </c>
      <c r="AQ83">
        <v>92</v>
      </c>
      <c r="AR83">
        <v>38450000</v>
      </c>
      <c r="AS83" s="17" t="s">
        <v>59</v>
      </c>
      <c r="AT83" s="17">
        <v>3.4</v>
      </c>
      <c r="AU83" s="22">
        <v>685</v>
      </c>
      <c r="AV83" s="4">
        <v>2005</v>
      </c>
      <c r="AW83" s="5" t="s">
        <v>217</v>
      </c>
      <c r="AX83" s="13" t="s">
        <v>196</v>
      </c>
      <c r="AY83" s="17">
        <v>24.39</v>
      </c>
      <c r="AZ83" s="10">
        <f t="shared" si="3"/>
        <v>652</v>
      </c>
      <c r="BA83">
        <v>30</v>
      </c>
      <c r="BB83">
        <v>0</v>
      </c>
      <c r="BE83" s="25"/>
    </row>
    <row r="84" spans="1:57" x14ac:dyDescent="0.35">
      <c r="A84" s="18">
        <v>81</v>
      </c>
      <c r="B84" s="18" t="s">
        <v>161</v>
      </c>
      <c r="C84">
        <v>2238</v>
      </c>
      <c r="D84">
        <f t="shared" si="2"/>
        <v>8.1614077669902918E-2</v>
      </c>
      <c r="E84" s="20">
        <v>1018</v>
      </c>
      <c r="F84" s="20">
        <v>927</v>
      </c>
      <c r="G84" s="18">
        <v>1945</v>
      </c>
      <c r="H84" s="20">
        <v>117</v>
      </c>
      <c r="I84" s="20">
        <v>1807</v>
      </c>
      <c r="J84" s="20">
        <v>21</v>
      </c>
      <c r="K84" s="20">
        <v>146</v>
      </c>
      <c r="L84" s="20">
        <v>971</v>
      </c>
      <c r="M84" s="20">
        <v>257</v>
      </c>
      <c r="N84">
        <v>221</v>
      </c>
      <c r="O84">
        <v>0</v>
      </c>
      <c r="P84" s="18">
        <v>639</v>
      </c>
      <c r="Q84">
        <v>2473</v>
      </c>
      <c r="R84" s="20">
        <v>1752</v>
      </c>
      <c r="S84">
        <v>0</v>
      </c>
      <c r="T84" s="18">
        <v>3296</v>
      </c>
      <c r="U84" s="18">
        <v>369</v>
      </c>
      <c r="V84" s="18">
        <v>950000</v>
      </c>
      <c r="W84">
        <v>269</v>
      </c>
      <c r="X84" s="18">
        <v>352</v>
      </c>
      <c r="Y84" s="18">
        <v>0</v>
      </c>
      <c r="Z84">
        <v>77</v>
      </c>
      <c r="AA84">
        <v>0</v>
      </c>
      <c r="AB84">
        <v>153806861</v>
      </c>
      <c r="AC84">
        <v>175534694</v>
      </c>
      <c r="AD84">
        <v>0</v>
      </c>
      <c r="AF84">
        <v>207351456</v>
      </c>
      <c r="AG84">
        <v>694442760</v>
      </c>
      <c r="AH84">
        <v>376073503</v>
      </c>
      <c r="AI84">
        <v>2064140</v>
      </c>
      <c r="AJ84">
        <v>61</v>
      </c>
      <c r="AK84">
        <v>21</v>
      </c>
      <c r="AL84">
        <v>227168478</v>
      </c>
      <c r="AM84">
        <v>11</v>
      </c>
      <c r="AN84">
        <v>61</v>
      </c>
      <c r="AO84">
        <v>1830240</v>
      </c>
      <c r="AP84">
        <v>5</v>
      </c>
      <c r="AQ84">
        <v>203</v>
      </c>
      <c r="AR84">
        <v>0</v>
      </c>
      <c r="AS84" s="18" t="s">
        <v>59</v>
      </c>
      <c r="AT84" s="18">
        <v>3.06</v>
      </c>
      <c r="AU84" s="23">
        <v>157</v>
      </c>
      <c r="AV84" s="4">
        <v>2009</v>
      </c>
      <c r="AW84" s="5" t="s">
        <v>194</v>
      </c>
      <c r="AX84" s="13" t="s">
        <v>219</v>
      </c>
      <c r="AY84" s="18">
        <v>26.53</v>
      </c>
      <c r="AZ84" s="10">
        <f t="shared" si="3"/>
        <v>1117</v>
      </c>
      <c r="BA84">
        <v>22</v>
      </c>
      <c r="BB84">
        <v>2</v>
      </c>
      <c r="BE84" s="25"/>
    </row>
    <row r="85" spans="1:57" x14ac:dyDescent="0.35">
      <c r="A85" s="17">
        <v>83</v>
      </c>
      <c r="B85" s="17" t="s">
        <v>490</v>
      </c>
      <c r="C85">
        <v>4576</v>
      </c>
      <c r="D85">
        <f t="shared" si="2"/>
        <v>6.8817912413566024E-2</v>
      </c>
      <c r="E85" s="20">
        <v>2433</v>
      </c>
      <c r="F85" s="20">
        <v>1697</v>
      </c>
      <c r="G85" s="17">
        <v>4130</v>
      </c>
      <c r="H85" s="20">
        <v>4068</v>
      </c>
      <c r="I85" s="20">
        <v>25</v>
      </c>
      <c r="J85" s="20">
        <v>37</v>
      </c>
      <c r="K85" s="20">
        <v>1340</v>
      </c>
      <c r="L85" s="20">
        <v>2790</v>
      </c>
      <c r="M85" s="20">
        <v>2530</v>
      </c>
      <c r="N85">
        <v>981</v>
      </c>
      <c r="O85">
        <v>84</v>
      </c>
      <c r="P85" s="18">
        <v>446</v>
      </c>
      <c r="Q85">
        <v>7330</v>
      </c>
      <c r="R85" s="20">
        <v>7174</v>
      </c>
      <c r="S85">
        <v>22</v>
      </c>
      <c r="T85" s="17">
        <v>12148</v>
      </c>
      <c r="U85" s="17">
        <v>2025</v>
      </c>
      <c r="V85" s="17">
        <v>2436000</v>
      </c>
      <c r="W85">
        <v>836</v>
      </c>
      <c r="X85" s="17">
        <v>50</v>
      </c>
      <c r="Y85" s="17">
        <v>52</v>
      </c>
      <c r="Z85">
        <v>1209</v>
      </c>
      <c r="AA85">
        <v>124</v>
      </c>
      <c r="AB85">
        <v>98021309</v>
      </c>
      <c r="AC85">
        <v>49041674</v>
      </c>
      <c r="AD85">
        <v>349892</v>
      </c>
      <c r="AF85">
        <v>75371070</v>
      </c>
      <c r="AG85">
        <v>1930361449</v>
      </c>
      <c r="AH85">
        <v>685287206</v>
      </c>
      <c r="AI85">
        <v>7240101</v>
      </c>
      <c r="AJ85">
        <v>80</v>
      </c>
      <c r="AK85">
        <v>24</v>
      </c>
      <c r="AL85">
        <v>222710735</v>
      </c>
      <c r="AM85">
        <v>72</v>
      </c>
      <c r="AN85">
        <v>68</v>
      </c>
      <c r="AO85">
        <v>7935000</v>
      </c>
      <c r="AP85">
        <v>60</v>
      </c>
      <c r="AQ85">
        <v>1925</v>
      </c>
      <c r="AR85">
        <v>5171280</v>
      </c>
      <c r="AS85" s="17" t="s">
        <v>59</v>
      </c>
      <c r="AT85" s="17">
        <v>3.22</v>
      </c>
      <c r="AU85" s="22">
        <v>289</v>
      </c>
      <c r="AV85" s="4">
        <v>1958</v>
      </c>
      <c r="AW85" s="5" t="s">
        <v>207</v>
      </c>
      <c r="AX85" s="13" t="s">
        <v>213</v>
      </c>
      <c r="AY85" s="17">
        <v>20.28</v>
      </c>
      <c r="AZ85" s="10">
        <f t="shared" si="3"/>
        <v>4041</v>
      </c>
      <c r="BA85">
        <v>11</v>
      </c>
      <c r="BB85">
        <v>0</v>
      </c>
      <c r="BE85" s="25"/>
    </row>
    <row r="86" spans="1:57" x14ac:dyDescent="0.35">
      <c r="A86" s="18">
        <v>84</v>
      </c>
      <c r="B86" s="18" t="s">
        <v>142</v>
      </c>
      <c r="C86">
        <v>6925</v>
      </c>
      <c r="D86">
        <f t="shared" si="2"/>
        <v>0.26263858093126385</v>
      </c>
      <c r="E86" s="20">
        <v>0</v>
      </c>
      <c r="F86" s="20">
        <v>6825</v>
      </c>
      <c r="G86" s="18">
        <v>6825</v>
      </c>
      <c r="H86" s="20">
        <v>5406</v>
      </c>
      <c r="I86" s="20">
        <v>1407</v>
      </c>
      <c r="J86" s="20">
        <v>12</v>
      </c>
      <c r="K86" s="20">
        <v>345</v>
      </c>
      <c r="L86" s="20">
        <v>3379</v>
      </c>
      <c r="M86" s="20">
        <v>1553</v>
      </c>
      <c r="N86">
        <v>1273</v>
      </c>
      <c r="O86">
        <v>172</v>
      </c>
      <c r="P86" s="18">
        <v>726</v>
      </c>
      <c r="Q86">
        <v>7574</v>
      </c>
      <c r="R86" s="20">
        <v>7164</v>
      </c>
      <c r="S86">
        <v>7</v>
      </c>
      <c r="T86" s="18">
        <v>9020</v>
      </c>
      <c r="U86" s="18">
        <v>2229</v>
      </c>
      <c r="V86" s="18">
        <v>3691000</v>
      </c>
      <c r="W86">
        <v>2369</v>
      </c>
      <c r="X86" s="18">
        <v>255</v>
      </c>
      <c r="Y86" s="18">
        <v>251</v>
      </c>
      <c r="Z86">
        <v>87</v>
      </c>
      <c r="AA86">
        <v>70</v>
      </c>
      <c r="AB86">
        <v>99758409</v>
      </c>
      <c r="AC86">
        <v>57148108</v>
      </c>
      <c r="AD86">
        <v>10861104</v>
      </c>
      <c r="AF86">
        <v>60226407</v>
      </c>
      <c r="AG86">
        <v>2445293329</v>
      </c>
      <c r="AH86">
        <v>399406641</v>
      </c>
      <c r="AI86">
        <v>9285942</v>
      </c>
      <c r="AJ86">
        <v>154</v>
      </c>
      <c r="AK86">
        <v>40</v>
      </c>
      <c r="AL86">
        <v>79783837</v>
      </c>
      <c r="AM86">
        <v>43</v>
      </c>
      <c r="AN86">
        <v>229</v>
      </c>
      <c r="AO86">
        <v>23710067</v>
      </c>
      <c r="AP86">
        <v>21</v>
      </c>
      <c r="AQ86">
        <v>379</v>
      </c>
      <c r="AR86">
        <v>5694429</v>
      </c>
      <c r="AS86" s="18" t="s">
        <v>59</v>
      </c>
      <c r="AT86" s="18">
        <v>3.49</v>
      </c>
      <c r="AU86" s="23">
        <v>483</v>
      </c>
      <c r="AV86" s="4">
        <v>1988</v>
      </c>
      <c r="AW86" s="5" t="s">
        <v>217</v>
      </c>
      <c r="AX86" s="13" t="s">
        <v>213</v>
      </c>
      <c r="AY86" s="18">
        <v>35.08</v>
      </c>
      <c r="AZ86" s="10">
        <f t="shared" si="3"/>
        <v>3724</v>
      </c>
      <c r="BA86">
        <v>3</v>
      </c>
      <c r="BB86">
        <v>2</v>
      </c>
      <c r="BE86" s="25"/>
    </row>
    <row r="87" spans="1:57" x14ac:dyDescent="0.35">
      <c r="A87" s="17">
        <v>85</v>
      </c>
      <c r="B87" s="17" t="s">
        <v>150</v>
      </c>
      <c r="C87">
        <v>2132</v>
      </c>
      <c r="D87">
        <f t="shared" si="2"/>
        <v>9.517819706498952E-2</v>
      </c>
      <c r="E87" s="20">
        <v>741</v>
      </c>
      <c r="F87" s="20">
        <v>1061</v>
      </c>
      <c r="G87" s="17">
        <v>1802</v>
      </c>
      <c r="H87" s="20">
        <v>713</v>
      </c>
      <c r="I87" s="20">
        <v>1073</v>
      </c>
      <c r="J87" s="20">
        <v>16</v>
      </c>
      <c r="K87" s="20">
        <v>57</v>
      </c>
      <c r="L87" s="20">
        <v>1063</v>
      </c>
      <c r="M87" s="20">
        <v>167</v>
      </c>
      <c r="N87">
        <v>38</v>
      </c>
      <c r="O87">
        <v>0</v>
      </c>
      <c r="P87" s="18">
        <v>915</v>
      </c>
      <c r="Q87">
        <v>1804</v>
      </c>
      <c r="R87" s="20">
        <v>1369</v>
      </c>
      <c r="S87">
        <v>0</v>
      </c>
      <c r="T87" s="17">
        <v>2385</v>
      </c>
      <c r="U87" s="17">
        <v>514</v>
      </c>
      <c r="V87" s="17">
        <v>3130000</v>
      </c>
      <c r="W87">
        <v>227</v>
      </c>
      <c r="X87" s="17">
        <v>259</v>
      </c>
      <c r="Y87" s="17">
        <v>39</v>
      </c>
      <c r="Z87">
        <v>34</v>
      </c>
      <c r="AA87">
        <v>0</v>
      </c>
      <c r="AB87">
        <v>64779756</v>
      </c>
      <c r="AC87">
        <v>137204248</v>
      </c>
      <c r="AD87">
        <v>0</v>
      </c>
      <c r="AF87">
        <v>119105219</v>
      </c>
      <c r="AG87">
        <v>844943959</v>
      </c>
      <c r="AH87">
        <v>419899015</v>
      </c>
      <c r="AI87">
        <v>2374176</v>
      </c>
      <c r="AJ87">
        <v>50</v>
      </c>
      <c r="AK87">
        <v>27</v>
      </c>
      <c r="AL87">
        <v>82267473</v>
      </c>
      <c r="AM87">
        <v>2</v>
      </c>
      <c r="AN87">
        <v>2</v>
      </c>
      <c r="AO87">
        <v>1359964</v>
      </c>
      <c r="AP87">
        <v>4</v>
      </c>
      <c r="AQ87">
        <v>38</v>
      </c>
      <c r="AR87">
        <v>784379</v>
      </c>
      <c r="AS87" s="17" t="s">
        <v>59</v>
      </c>
      <c r="AT87" s="17">
        <v>2.78</v>
      </c>
      <c r="AU87" s="22">
        <v>161</v>
      </c>
      <c r="AV87" s="4">
        <v>2009</v>
      </c>
      <c r="AW87" s="5" t="s">
        <v>194</v>
      </c>
      <c r="AX87" s="13" t="s">
        <v>219</v>
      </c>
      <c r="AY87" s="17">
        <v>15.36</v>
      </c>
      <c r="AZ87" s="10">
        <f t="shared" si="3"/>
        <v>1120</v>
      </c>
      <c r="BA87">
        <v>118</v>
      </c>
      <c r="BB87">
        <v>0</v>
      </c>
      <c r="BE87" s="25"/>
    </row>
    <row r="88" spans="1:57" x14ac:dyDescent="0.35">
      <c r="A88" s="18">
        <v>86</v>
      </c>
      <c r="B88" s="18" t="s">
        <v>491</v>
      </c>
      <c r="C88">
        <v>3104</v>
      </c>
      <c r="D88">
        <f t="shared" si="2"/>
        <v>1.468900619692449E-2</v>
      </c>
      <c r="E88" s="20">
        <v>899</v>
      </c>
      <c r="F88" s="20">
        <v>1983</v>
      </c>
      <c r="G88" s="18">
        <v>2882</v>
      </c>
      <c r="H88" s="20">
        <v>2861</v>
      </c>
      <c r="I88" s="20">
        <v>20</v>
      </c>
      <c r="J88" s="20">
        <v>1</v>
      </c>
      <c r="K88" s="20">
        <v>30</v>
      </c>
      <c r="L88" s="20">
        <v>2619</v>
      </c>
      <c r="M88" s="20">
        <v>2619</v>
      </c>
      <c r="N88">
        <v>0</v>
      </c>
      <c r="O88">
        <v>0</v>
      </c>
      <c r="P88" s="18">
        <v>30</v>
      </c>
      <c r="Q88">
        <v>4672</v>
      </c>
      <c r="R88" s="20">
        <v>4431</v>
      </c>
      <c r="S88">
        <v>0</v>
      </c>
      <c r="T88" s="18">
        <v>8714</v>
      </c>
      <c r="U88" s="18">
        <v>1559</v>
      </c>
      <c r="V88" s="18">
        <v>780000</v>
      </c>
      <c r="W88">
        <v>128</v>
      </c>
      <c r="X88" s="18">
        <v>90</v>
      </c>
      <c r="Y88" s="18">
        <v>90</v>
      </c>
      <c r="Z88">
        <v>149</v>
      </c>
      <c r="AA88">
        <v>241</v>
      </c>
      <c r="AB88">
        <v>54256900</v>
      </c>
      <c r="AC88">
        <v>11666000</v>
      </c>
      <c r="AD88">
        <v>65981000</v>
      </c>
      <c r="AF88">
        <v>142944752</v>
      </c>
      <c r="AG88">
        <v>1877501000</v>
      </c>
      <c r="AH88">
        <v>209932000</v>
      </c>
      <c r="AI88">
        <v>7177000</v>
      </c>
      <c r="AJ88">
        <v>46</v>
      </c>
      <c r="AK88">
        <v>24</v>
      </c>
      <c r="AL88">
        <v>156954971</v>
      </c>
      <c r="AM88">
        <v>1</v>
      </c>
      <c r="AN88">
        <v>1</v>
      </c>
      <c r="AO88">
        <v>42000</v>
      </c>
      <c r="AP88">
        <v>0</v>
      </c>
      <c r="AQ88">
        <v>0</v>
      </c>
      <c r="AR88">
        <v>0</v>
      </c>
      <c r="AS88" s="18" t="s">
        <v>59</v>
      </c>
      <c r="AT88" s="18">
        <v>3.05</v>
      </c>
      <c r="AU88" s="23">
        <v>250</v>
      </c>
      <c r="AV88" s="4">
        <v>1987</v>
      </c>
      <c r="AW88" s="5" t="s">
        <v>207</v>
      </c>
      <c r="AX88" s="13" t="s">
        <v>219</v>
      </c>
      <c r="AY88" s="18">
        <v>18</v>
      </c>
      <c r="AZ88" s="10">
        <f t="shared" si="3"/>
        <v>2649</v>
      </c>
      <c r="BA88">
        <v>25</v>
      </c>
      <c r="BB88">
        <v>0</v>
      </c>
      <c r="BE88" s="25"/>
    </row>
    <row r="89" spans="1:57" x14ac:dyDescent="0.35">
      <c r="A89" s="17">
        <v>87</v>
      </c>
      <c r="B89" s="17" t="s">
        <v>147</v>
      </c>
      <c r="C89">
        <v>5469</v>
      </c>
      <c r="D89">
        <f t="shared" si="2"/>
        <v>0.18938823332496443</v>
      </c>
      <c r="E89" s="20">
        <v>1988</v>
      </c>
      <c r="F89" s="20">
        <v>2675</v>
      </c>
      <c r="G89" s="17">
        <v>4663</v>
      </c>
      <c r="H89" s="20">
        <v>4643</v>
      </c>
      <c r="I89" s="20">
        <v>20</v>
      </c>
      <c r="J89" s="20">
        <v>0</v>
      </c>
      <c r="K89" s="20">
        <v>2188</v>
      </c>
      <c r="L89" s="20">
        <v>2099</v>
      </c>
      <c r="M89" s="20">
        <v>3685</v>
      </c>
      <c r="N89">
        <v>497</v>
      </c>
      <c r="O89">
        <v>7</v>
      </c>
      <c r="P89" s="18">
        <v>98</v>
      </c>
      <c r="Q89">
        <v>7634</v>
      </c>
      <c r="R89" s="20">
        <v>6240</v>
      </c>
      <c r="S89">
        <v>0</v>
      </c>
      <c r="T89" s="17">
        <v>11949</v>
      </c>
      <c r="U89" s="17">
        <v>3218</v>
      </c>
      <c r="V89" s="17">
        <v>1000000</v>
      </c>
      <c r="W89">
        <v>2263</v>
      </c>
      <c r="X89" s="17">
        <v>533</v>
      </c>
      <c r="Y89" s="17">
        <v>182</v>
      </c>
      <c r="Z89">
        <v>297</v>
      </c>
      <c r="AA89">
        <v>116</v>
      </c>
      <c r="AB89">
        <v>32377921</v>
      </c>
      <c r="AC89">
        <v>108804077</v>
      </c>
      <c r="AD89">
        <v>17382872</v>
      </c>
      <c r="AF89">
        <v>295397343</v>
      </c>
      <c r="AG89">
        <v>3630786734</v>
      </c>
      <c r="AH89">
        <v>691048156</v>
      </c>
      <c r="AI89">
        <v>9060185</v>
      </c>
      <c r="AJ89">
        <v>264</v>
      </c>
      <c r="AK89">
        <v>49</v>
      </c>
      <c r="AL89">
        <v>222260846</v>
      </c>
      <c r="AM89">
        <v>22</v>
      </c>
      <c r="AN89">
        <v>298</v>
      </c>
      <c r="AO89">
        <v>14622012</v>
      </c>
      <c r="AP89">
        <v>5</v>
      </c>
      <c r="AQ89">
        <v>262</v>
      </c>
      <c r="AR89">
        <v>954305</v>
      </c>
      <c r="AS89" s="17" t="s">
        <v>59</v>
      </c>
      <c r="AT89" s="17">
        <v>3.11</v>
      </c>
      <c r="AU89" s="22">
        <v>234</v>
      </c>
      <c r="AV89" s="4">
        <v>1960</v>
      </c>
      <c r="AW89" s="5" t="s">
        <v>207</v>
      </c>
      <c r="AX89" s="13" t="s">
        <v>219</v>
      </c>
      <c r="AY89" s="17">
        <v>19.920000000000002</v>
      </c>
      <c r="AZ89" s="10">
        <f t="shared" si="3"/>
        <v>4287</v>
      </c>
      <c r="BA89">
        <v>4</v>
      </c>
      <c r="BB89">
        <v>0</v>
      </c>
      <c r="BE89" s="25"/>
    </row>
    <row r="90" spans="1:57" x14ac:dyDescent="0.35">
      <c r="A90" s="18">
        <v>88</v>
      </c>
      <c r="B90" s="18" t="s">
        <v>492</v>
      </c>
      <c r="C90">
        <v>2127</v>
      </c>
      <c r="D90">
        <f t="shared" si="2"/>
        <v>0.21373022257978011</v>
      </c>
      <c r="E90" s="20">
        <v>942</v>
      </c>
      <c r="F90" s="20">
        <v>1185</v>
      </c>
      <c r="G90" s="18">
        <v>2127</v>
      </c>
      <c r="H90" s="20">
        <v>240</v>
      </c>
      <c r="I90" s="20">
        <v>1780</v>
      </c>
      <c r="J90" s="20">
        <v>107</v>
      </c>
      <c r="K90" s="20">
        <v>343</v>
      </c>
      <c r="L90" s="20">
        <v>219</v>
      </c>
      <c r="M90" s="20">
        <v>0</v>
      </c>
      <c r="N90">
        <v>497</v>
      </c>
      <c r="O90">
        <v>0</v>
      </c>
      <c r="P90" s="18">
        <v>65</v>
      </c>
      <c r="Q90">
        <v>2654</v>
      </c>
      <c r="R90" s="20">
        <v>2654</v>
      </c>
      <c r="S90">
        <v>0</v>
      </c>
      <c r="T90" s="18">
        <v>3729</v>
      </c>
      <c r="U90" s="18">
        <v>869</v>
      </c>
      <c r="V90" s="18">
        <v>4778000</v>
      </c>
      <c r="W90">
        <v>797</v>
      </c>
      <c r="X90" s="18">
        <v>83</v>
      </c>
      <c r="Y90" s="18">
        <v>0</v>
      </c>
      <c r="Z90">
        <v>0</v>
      </c>
      <c r="AA90">
        <v>0</v>
      </c>
      <c r="AB90">
        <v>17500609</v>
      </c>
      <c r="AC90">
        <v>105456637</v>
      </c>
      <c r="AD90">
        <v>37202917</v>
      </c>
      <c r="AF90">
        <v>215708867</v>
      </c>
      <c r="AG90">
        <v>2203977234</v>
      </c>
      <c r="AH90">
        <v>2537655805</v>
      </c>
      <c r="AI90">
        <v>22820745</v>
      </c>
      <c r="AJ90">
        <v>79</v>
      </c>
      <c r="AK90">
        <v>57</v>
      </c>
      <c r="AL90">
        <v>756192155</v>
      </c>
      <c r="AM90">
        <v>6</v>
      </c>
      <c r="AN90">
        <v>6</v>
      </c>
      <c r="AO90">
        <v>161750546</v>
      </c>
      <c r="AP90">
        <v>37</v>
      </c>
      <c r="AQ90">
        <v>1241</v>
      </c>
      <c r="AR90">
        <v>12052650</v>
      </c>
      <c r="AS90" s="18" t="s">
        <v>74</v>
      </c>
      <c r="AT90" s="18" t="s">
        <v>495</v>
      </c>
      <c r="AU90" s="23">
        <v>209</v>
      </c>
      <c r="AV90" s="4">
        <v>2014</v>
      </c>
      <c r="AW90" s="5" t="s">
        <v>217</v>
      </c>
      <c r="AX90" s="13" t="s">
        <v>219</v>
      </c>
      <c r="AY90" s="18">
        <v>9.69</v>
      </c>
      <c r="AZ90" s="10">
        <f t="shared" si="3"/>
        <v>562</v>
      </c>
      <c r="BA90">
        <v>45</v>
      </c>
      <c r="BB90">
        <v>2</v>
      </c>
      <c r="BE90" s="25"/>
    </row>
    <row r="91" spans="1:57" x14ac:dyDescent="0.35">
      <c r="A91" s="17">
        <v>88</v>
      </c>
      <c r="B91" s="17" t="s">
        <v>493</v>
      </c>
      <c r="C91">
        <v>6483</v>
      </c>
      <c r="D91">
        <f t="shared" si="2"/>
        <v>0.13571288487938812</v>
      </c>
      <c r="E91" s="20">
        <v>2377</v>
      </c>
      <c r="F91" s="20">
        <v>3563</v>
      </c>
      <c r="G91" s="17">
        <v>5930</v>
      </c>
      <c r="H91" s="20">
        <v>2616</v>
      </c>
      <c r="I91" s="20">
        <v>3257</v>
      </c>
      <c r="J91" s="20">
        <v>57</v>
      </c>
      <c r="K91" s="20">
        <v>246</v>
      </c>
      <c r="L91" s="20">
        <v>1614</v>
      </c>
      <c r="M91" s="20">
        <v>190</v>
      </c>
      <c r="N91">
        <v>42</v>
      </c>
      <c r="O91">
        <v>13</v>
      </c>
      <c r="P91" s="18">
        <v>1614</v>
      </c>
      <c r="Q91">
        <v>4768</v>
      </c>
      <c r="R91" s="20">
        <v>3539</v>
      </c>
      <c r="S91">
        <v>74</v>
      </c>
      <c r="T91" s="17">
        <v>5099</v>
      </c>
      <c r="U91" s="17">
        <v>1485</v>
      </c>
      <c r="V91" s="17">
        <v>13441600</v>
      </c>
      <c r="W91">
        <v>692</v>
      </c>
      <c r="X91" s="17">
        <v>29</v>
      </c>
      <c r="Y91" s="17">
        <v>33</v>
      </c>
      <c r="Z91">
        <v>19</v>
      </c>
      <c r="AA91">
        <v>11</v>
      </c>
      <c r="AB91">
        <v>113588007</v>
      </c>
      <c r="AC91">
        <v>159365128</v>
      </c>
      <c r="AD91">
        <v>0</v>
      </c>
      <c r="AF91">
        <v>60584185</v>
      </c>
      <c r="AG91">
        <v>2852988051</v>
      </c>
      <c r="AH91">
        <v>4058780893</v>
      </c>
      <c r="AI91">
        <v>6520010</v>
      </c>
      <c r="AJ91">
        <v>217</v>
      </c>
      <c r="AK91">
        <v>217</v>
      </c>
      <c r="AL91">
        <v>861694996</v>
      </c>
      <c r="AM91">
        <v>622</v>
      </c>
      <c r="AN91">
        <v>622</v>
      </c>
      <c r="AO91">
        <v>317076450</v>
      </c>
      <c r="AP91">
        <v>457</v>
      </c>
      <c r="AQ91">
        <v>29130</v>
      </c>
      <c r="AR91">
        <v>4973983</v>
      </c>
      <c r="AS91" s="17" t="s">
        <v>59</v>
      </c>
      <c r="AT91" s="17">
        <v>3.39</v>
      </c>
      <c r="AU91" s="22">
        <v>827</v>
      </c>
      <c r="AV91" s="4">
        <v>1979</v>
      </c>
      <c r="AW91" s="5" t="s">
        <v>217</v>
      </c>
      <c r="AX91" s="13" t="s">
        <v>219</v>
      </c>
      <c r="AY91" s="17">
        <v>28.06</v>
      </c>
      <c r="AZ91" s="10">
        <f t="shared" si="3"/>
        <v>1859</v>
      </c>
      <c r="BA91">
        <v>105</v>
      </c>
      <c r="BB91">
        <v>2</v>
      </c>
      <c r="BE91" s="25"/>
    </row>
    <row r="92" spans="1:57" x14ac:dyDescent="0.35">
      <c r="A92" s="18">
        <v>88</v>
      </c>
      <c r="B92" s="18" t="s">
        <v>154</v>
      </c>
      <c r="C92">
        <v>4070</v>
      </c>
      <c r="D92">
        <f t="shared" si="2"/>
        <v>8.7194818136522176E-2</v>
      </c>
      <c r="E92" s="20">
        <v>0</v>
      </c>
      <c r="F92" s="20">
        <v>0</v>
      </c>
      <c r="G92" s="18">
        <v>4089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>
        <v>0</v>
      </c>
      <c r="O92">
        <v>0</v>
      </c>
      <c r="P92" s="18">
        <v>0</v>
      </c>
      <c r="Q92">
        <v>5474</v>
      </c>
      <c r="R92" s="20">
        <v>5336</v>
      </c>
      <c r="S92">
        <v>0</v>
      </c>
      <c r="T92" s="18">
        <v>10035</v>
      </c>
      <c r="U92" s="18">
        <v>1576</v>
      </c>
      <c r="V92" s="18">
        <v>2596000</v>
      </c>
      <c r="W92">
        <v>875</v>
      </c>
      <c r="X92" s="18">
        <v>245</v>
      </c>
      <c r="Y92" s="18">
        <v>0</v>
      </c>
      <c r="Z92">
        <v>426</v>
      </c>
      <c r="AA92">
        <v>110</v>
      </c>
      <c r="AB92">
        <v>163012580</v>
      </c>
      <c r="AC92">
        <v>32523519</v>
      </c>
      <c r="AD92">
        <v>59346329</v>
      </c>
      <c r="AF92">
        <v>37856694</v>
      </c>
      <c r="AG92">
        <v>2189395379</v>
      </c>
      <c r="AH92">
        <v>333974237</v>
      </c>
      <c r="AI92">
        <v>34560121</v>
      </c>
      <c r="AJ92">
        <v>53</v>
      </c>
      <c r="AK92">
        <v>25</v>
      </c>
      <c r="AL92">
        <v>75254744</v>
      </c>
      <c r="AM92">
        <v>1</v>
      </c>
      <c r="AN92">
        <v>1</v>
      </c>
      <c r="AO92">
        <v>18620000</v>
      </c>
      <c r="AP92">
        <v>54</v>
      </c>
      <c r="AQ92">
        <v>2247</v>
      </c>
      <c r="AR92">
        <v>14492601</v>
      </c>
      <c r="AS92" s="18" t="s">
        <v>59</v>
      </c>
      <c r="AT92" s="18">
        <v>3.53</v>
      </c>
      <c r="AU92" s="23">
        <v>187</v>
      </c>
      <c r="AV92" s="4">
        <v>1943</v>
      </c>
      <c r="AW92" s="5" t="s">
        <v>207</v>
      </c>
      <c r="AX92" s="13" t="s">
        <v>213</v>
      </c>
      <c r="AY92" s="18">
        <v>37.229999999999997</v>
      </c>
      <c r="AZ92" s="10">
        <f t="shared" si="3"/>
        <v>0</v>
      </c>
      <c r="BA92">
        <v>6</v>
      </c>
      <c r="BB92">
        <v>0</v>
      </c>
      <c r="BE92" s="25"/>
    </row>
    <row r="93" spans="1:57" x14ac:dyDescent="0.35">
      <c r="A93" s="17">
        <v>91</v>
      </c>
      <c r="B93" s="17" t="s">
        <v>139</v>
      </c>
      <c r="C93">
        <v>10748</v>
      </c>
      <c r="D93">
        <f t="shared" si="2"/>
        <v>9.3181536938497705E-2</v>
      </c>
      <c r="E93" s="20">
        <v>5351</v>
      </c>
      <c r="F93" s="20">
        <v>3946</v>
      </c>
      <c r="G93" s="17">
        <v>9297</v>
      </c>
      <c r="H93" s="20">
        <v>4382</v>
      </c>
      <c r="I93" s="20">
        <v>4203</v>
      </c>
      <c r="J93" s="20">
        <v>712</v>
      </c>
      <c r="K93" s="20">
        <v>126</v>
      </c>
      <c r="L93" s="20">
        <v>2677</v>
      </c>
      <c r="M93" s="20">
        <v>725</v>
      </c>
      <c r="N93">
        <v>99</v>
      </c>
      <c r="O93">
        <v>0</v>
      </c>
      <c r="P93" s="18">
        <v>1979</v>
      </c>
      <c r="Q93">
        <v>8617</v>
      </c>
      <c r="R93" s="20">
        <v>6005</v>
      </c>
      <c r="S93">
        <v>180</v>
      </c>
      <c r="T93" s="17">
        <v>8081</v>
      </c>
      <c r="U93" s="17">
        <v>3748</v>
      </c>
      <c r="V93" s="17">
        <v>9049000</v>
      </c>
      <c r="W93">
        <v>753</v>
      </c>
      <c r="X93" s="17">
        <v>150</v>
      </c>
      <c r="Y93" s="17">
        <v>253</v>
      </c>
      <c r="Z93">
        <v>42</v>
      </c>
      <c r="AA93">
        <v>56</v>
      </c>
      <c r="AB93">
        <v>92029418</v>
      </c>
      <c r="AC93">
        <v>684065871</v>
      </c>
      <c r="AD93">
        <v>10807156</v>
      </c>
      <c r="AF93">
        <v>240174675</v>
      </c>
      <c r="AG93">
        <v>4268622397</v>
      </c>
      <c r="AH93">
        <v>2525603954</v>
      </c>
      <c r="AI93">
        <v>13371285</v>
      </c>
      <c r="AJ93">
        <v>67</v>
      </c>
      <c r="AK93">
        <v>32</v>
      </c>
      <c r="AL93">
        <v>24055796</v>
      </c>
      <c r="AM93">
        <v>285</v>
      </c>
      <c r="AN93">
        <v>174</v>
      </c>
      <c r="AO93">
        <v>36127949</v>
      </c>
      <c r="AP93">
        <v>3</v>
      </c>
      <c r="AQ93">
        <v>8</v>
      </c>
      <c r="AR93">
        <v>568900</v>
      </c>
      <c r="AS93" s="17" t="s">
        <v>59</v>
      </c>
      <c r="AT93" s="17">
        <v>3.53</v>
      </c>
      <c r="AU93" s="22">
        <v>784</v>
      </c>
      <c r="AV93" s="4">
        <v>1993</v>
      </c>
      <c r="AW93" s="5" t="s">
        <v>217</v>
      </c>
      <c r="AX93" s="13" t="s">
        <v>219</v>
      </c>
      <c r="AY93" s="17">
        <v>34.74</v>
      </c>
      <c r="AZ93" s="10">
        <f t="shared" si="3"/>
        <v>2803</v>
      </c>
      <c r="BA93">
        <v>15</v>
      </c>
      <c r="BB93">
        <v>2</v>
      </c>
      <c r="BE93" s="25"/>
    </row>
    <row r="94" spans="1:57" x14ac:dyDescent="0.35">
      <c r="A94" s="18">
        <v>92</v>
      </c>
      <c r="B94" s="18" t="s">
        <v>494</v>
      </c>
      <c r="C94">
        <v>26963</v>
      </c>
      <c r="D94">
        <f t="shared" si="2"/>
        <v>0.11325314439501291</v>
      </c>
      <c r="E94" s="20">
        <v>14384</v>
      </c>
      <c r="F94" s="20">
        <v>7713</v>
      </c>
      <c r="G94" s="18">
        <v>21897</v>
      </c>
      <c r="H94" s="20">
        <v>10962</v>
      </c>
      <c r="I94" s="20">
        <v>10914</v>
      </c>
      <c r="J94" s="20">
        <v>221</v>
      </c>
      <c r="K94" s="20">
        <v>1217</v>
      </c>
      <c r="L94" s="20">
        <v>8275</v>
      </c>
      <c r="M94" s="20">
        <v>161</v>
      </c>
      <c r="N94">
        <v>33</v>
      </c>
      <c r="O94">
        <v>81</v>
      </c>
      <c r="P94" s="18">
        <v>9217</v>
      </c>
      <c r="Q94">
        <v>18557</v>
      </c>
      <c r="R94" s="20">
        <v>13113</v>
      </c>
      <c r="S94">
        <v>0</v>
      </c>
      <c r="T94" s="18">
        <v>18207</v>
      </c>
      <c r="U94" s="18">
        <v>12214</v>
      </c>
      <c r="V94" s="18">
        <v>5199000</v>
      </c>
      <c r="W94">
        <v>2062</v>
      </c>
      <c r="X94" s="18">
        <v>574</v>
      </c>
      <c r="Y94" s="18">
        <v>1759</v>
      </c>
      <c r="Z94">
        <v>147</v>
      </c>
      <c r="AA94">
        <v>234</v>
      </c>
      <c r="AB94">
        <v>105440157</v>
      </c>
      <c r="AC94">
        <v>141805500</v>
      </c>
      <c r="AD94">
        <v>25328000</v>
      </c>
      <c r="AF94">
        <v>154344000</v>
      </c>
      <c r="AG94">
        <v>5009599023</v>
      </c>
      <c r="AH94">
        <v>1056082631</v>
      </c>
      <c r="AI94">
        <v>7489386</v>
      </c>
      <c r="AJ94">
        <v>83</v>
      </c>
      <c r="AK94">
        <v>32</v>
      </c>
      <c r="AL94">
        <v>68349409</v>
      </c>
      <c r="AM94">
        <v>63</v>
      </c>
      <c r="AN94">
        <v>50</v>
      </c>
      <c r="AO94">
        <v>66741994</v>
      </c>
      <c r="AP94">
        <v>17</v>
      </c>
      <c r="AQ94">
        <v>174</v>
      </c>
      <c r="AR94">
        <v>14563580</v>
      </c>
      <c r="AS94" s="18" t="s">
        <v>59</v>
      </c>
      <c r="AT94" s="18">
        <v>3.53</v>
      </c>
      <c r="AU94" s="23">
        <v>1613</v>
      </c>
      <c r="AV94" s="4">
        <v>1980</v>
      </c>
      <c r="AW94" s="5" t="s">
        <v>217</v>
      </c>
      <c r="AX94" s="13" t="s">
        <v>213</v>
      </c>
      <c r="AY94" s="18">
        <v>33.01</v>
      </c>
      <c r="AZ94" s="10">
        <f t="shared" si="3"/>
        <v>9492</v>
      </c>
      <c r="BA94">
        <v>14</v>
      </c>
      <c r="BB94">
        <v>1</v>
      </c>
      <c r="BE94" s="25"/>
    </row>
    <row r="95" spans="1:57" x14ac:dyDescent="0.35">
      <c r="A95" s="19">
        <v>93</v>
      </c>
      <c r="B95" s="17" t="s">
        <v>143</v>
      </c>
      <c r="C95">
        <v>2304</v>
      </c>
      <c r="D95">
        <f t="shared" si="2"/>
        <v>0.12293488824101069</v>
      </c>
      <c r="E95" s="20">
        <v>861</v>
      </c>
      <c r="F95" s="20">
        <v>1343</v>
      </c>
      <c r="G95" s="19">
        <v>2204</v>
      </c>
      <c r="H95" s="20">
        <v>1353</v>
      </c>
      <c r="I95" s="20">
        <v>669</v>
      </c>
      <c r="J95" s="20">
        <v>182</v>
      </c>
      <c r="K95" s="20">
        <v>17</v>
      </c>
      <c r="L95" s="20">
        <v>174</v>
      </c>
      <c r="M95" s="20">
        <v>1</v>
      </c>
      <c r="N95">
        <v>186</v>
      </c>
      <c r="O95">
        <v>1</v>
      </c>
      <c r="P95" s="18">
        <v>3</v>
      </c>
      <c r="Q95">
        <v>1680</v>
      </c>
      <c r="R95" s="20">
        <v>1405</v>
      </c>
      <c r="S95">
        <v>0</v>
      </c>
      <c r="T95" s="19">
        <v>2058</v>
      </c>
      <c r="U95" s="19">
        <v>1223</v>
      </c>
      <c r="V95" s="19">
        <v>10470000</v>
      </c>
      <c r="W95">
        <v>253</v>
      </c>
      <c r="X95" s="19">
        <v>66</v>
      </c>
      <c r="Y95" s="19">
        <v>40</v>
      </c>
      <c r="Z95">
        <v>18</v>
      </c>
      <c r="AA95">
        <v>9</v>
      </c>
      <c r="AB95">
        <v>123465998</v>
      </c>
      <c r="AC95">
        <v>46546875</v>
      </c>
      <c r="AD95">
        <v>28705953</v>
      </c>
      <c r="AF95">
        <v>64107578</v>
      </c>
      <c r="AG95">
        <v>2226789605</v>
      </c>
      <c r="AH95">
        <v>2049287344</v>
      </c>
      <c r="AI95">
        <v>16580586</v>
      </c>
      <c r="AJ95">
        <v>583</v>
      </c>
      <c r="AK95">
        <v>36</v>
      </c>
      <c r="AL95">
        <v>64431761</v>
      </c>
      <c r="AM95">
        <v>853</v>
      </c>
      <c r="AN95">
        <v>853</v>
      </c>
      <c r="AO95">
        <v>117325954</v>
      </c>
      <c r="AP95">
        <v>0</v>
      </c>
      <c r="AQ95">
        <v>0</v>
      </c>
      <c r="AR95">
        <v>0</v>
      </c>
      <c r="AS95" s="19" t="s">
        <v>59</v>
      </c>
      <c r="AT95" s="19">
        <v>3.71</v>
      </c>
      <c r="AU95" s="24">
        <v>243</v>
      </c>
      <c r="AV95" s="4">
        <v>2005</v>
      </c>
      <c r="AW95" s="5" t="s">
        <v>217</v>
      </c>
      <c r="AX95" s="13" t="s">
        <v>219</v>
      </c>
      <c r="AY95" s="19">
        <v>19.54</v>
      </c>
      <c r="AZ95" s="10">
        <f t="shared" si="3"/>
        <v>191</v>
      </c>
      <c r="BA95">
        <v>40</v>
      </c>
      <c r="BB95">
        <v>1</v>
      </c>
      <c r="BE95" s="25"/>
    </row>
    <row r="96" spans="1:57" x14ac:dyDescent="0.35">
      <c r="A96" s="18">
        <v>94</v>
      </c>
      <c r="B96" s="18" t="s">
        <v>157</v>
      </c>
      <c r="C96">
        <v>8443</v>
      </c>
      <c r="D96">
        <f t="shared" si="2"/>
        <v>7.8187583444592784E-2</v>
      </c>
      <c r="E96" s="20">
        <v>3534</v>
      </c>
      <c r="F96" s="20">
        <v>3794</v>
      </c>
      <c r="G96" s="18">
        <v>7328</v>
      </c>
      <c r="H96" s="20">
        <v>6635</v>
      </c>
      <c r="I96" s="20">
        <v>620</v>
      </c>
      <c r="J96" s="20">
        <v>73</v>
      </c>
      <c r="K96" s="20">
        <v>316</v>
      </c>
      <c r="L96" s="20">
        <v>2807</v>
      </c>
      <c r="M96" s="20">
        <v>1564</v>
      </c>
      <c r="N96">
        <v>393</v>
      </c>
      <c r="O96">
        <v>9</v>
      </c>
      <c r="P96" s="18">
        <v>1157</v>
      </c>
      <c r="Q96">
        <v>9485</v>
      </c>
      <c r="R96" s="20">
        <v>8822</v>
      </c>
      <c r="S96">
        <v>90</v>
      </c>
      <c r="T96" s="18">
        <v>11984</v>
      </c>
      <c r="U96" s="18">
        <v>2276</v>
      </c>
      <c r="V96" s="18">
        <v>10738724</v>
      </c>
      <c r="W96">
        <v>937</v>
      </c>
      <c r="X96" s="18">
        <v>1343</v>
      </c>
      <c r="Y96" s="18">
        <v>0</v>
      </c>
      <c r="Z96">
        <v>609</v>
      </c>
      <c r="AA96">
        <v>0</v>
      </c>
      <c r="AB96">
        <v>184584964</v>
      </c>
      <c r="AC96">
        <v>42172571</v>
      </c>
      <c r="AD96">
        <v>47653979</v>
      </c>
      <c r="AF96">
        <v>120520015</v>
      </c>
      <c r="AG96">
        <v>4471712008</v>
      </c>
      <c r="AH96">
        <v>2293463281</v>
      </c>
      <c r="AI96">
        <v>10658491</v>
      </c>
      <c r="AJ96">
        <v>82</v>
      </c>
      <c r="AK96">
        <v>26</v>
      </c>
      <c r="AL96">
        <v>184260197</v>
      </c>
      <c r="AM96">
        <v>3</v>
      </c>
      <c r="AN96">
        <v>3</v>
      </c>
      <c r="AO96">
        <v>3572400</v>
      </c>
      <c r="AP96">
        <v>27</v>
      </c>
      <c r="AQ96">
        <v>575</v>
      </c>
      <c r="AR96">
        <v>5067654</v>
      </c>
      <c r="AS96" s="18" t="s">
        <v>59</v>
      </c>
      <c r="AT96" s="18">
        <v>3.44</v>
      </c>
      <c r="AU96" s="23">
        <v>361</v>
      </c>
      <c r="AV96" s="4">
        <v>1976</v>
      </c>
      <c r="AW96" s="5" t="s">
        <v>207</v>
      </c>
      <c r="AX96" s="13" t="s">
        <v>219</v>
      </c>
      <c r="AY96" s="18">
        <v>27.36</v>
      </c>
      <c r="AZ96" s="10">
        <f t="shared" si="3"/>
        <v>3123</v>
      </c>
      <c r="BA96">
        <v>7</v>
      </c>
      <c r="BB96">
        <v>2</v>
      </c>
      <c r="BE96" s="25"/>
    </row>
    <row r="97" spans="1:57" x14ac:dyDescent="0.35">
      <c r="A97" s="17">
        <v>95</v>
      </c>
      <c r="B97" s="17" t="s">
        <v>136</v>
      </c>
      <c r="C97">
        <v>8718</v>
      </c>
      <c r="D97">
        <f t="shared" si="2"/>
        <v>6.714495952906549E-2</v>
      </c>
      <c r="E97" s="20">
        <v>207</v>
      </c>
      <c r="F97" s="20">
        <v>243</v>
      </c>
      <c r="G97" s="17">
        <v>7072</v>
      </c>
      <c r="H97" s="20">
        <v>351</v>
      </c>
      <c r="I97" s="20">
        <v>93</v>
      </c>
      <c r="J97" s="20">
        <v>6</v>
      </c>
      <c r="K97" s="20">
        <v>201</v>
      </c>
      <c r="L97" s="20">
        <v>220</v>
      </c>
      <c r="M97" s="20">
        <v>4</v>
      </c>
      <c r="N97">
        <v>148</v>
      </c>
      <c r="O97">
        <v>26</v>
      </c>
      <c r="P97" s="18">
        <v>243</v>
      </c>
      <c r="Q97">
        <v>6000</v>
      </c>
      <c r="R97" s="20">
        <v>4114</v>
      </c>
      <c r="S97">
        <v>179</v>
      </c>
      <c r="T97" s="17">
        <v>5436</v>
      </c>
      <c r="U97" s="17">
        <v>4329</v>
      </c>
      <c r="V97" s="17">
        <v>3523500</v>
      </c>
      <c r="W97">
        <v>365</v>
      </c>
      <c r="X97" s="17">
        <v>242</v>
      </c>
      <c r="Y97" s="17">
        <v>470</v>
      </c>
      <c r="Z97">
        <v>21</v>
      </c>
      <c r="AA97">
        <v>72</v>
      </c>
      <c r="AB97">
        <v>165903922</v>
      </c>
      <c r="AC97">
        <v>68001494</v>
      </c>
      <c r="AD97">
        <v>15786773</v>
      </c>
      <c r="AF97">
        <v>106514405</v>
      </c>
      <c r="AG97">
        <v>1023873853</v>
      </c>
      <c r="AH97">
        <v>389587399</v>
      </c>
      <c r="AI97">
        <v>9624567</v>
      </c>
      <c r="AJ97">
        <v>461</v>
      </c>
      <c r="AK97">
        <v>363</v>
      </c>
      <c r="AL97">
        <v>96733600</v>
      </c>
      <c r="AM97">
        <v>344</v>
      </c>
      <c r="AN97">
        <v>320</v>
      </c>
      <c r="AO97">
        <v>34893850</v>
      </c>
      <c r="AP97">
        <v>16</v>
      </c>
      <c r="AQ97">
        <v>394</v>
      </c>
      <c r="AR97">
        <v>2902000</v>
      </c>
      <c r="AS97" s="17" t="s">
        <v>59</v>
      </c>
      <c r="AT97" s="17">
        <v>3.49</v>
      </c>
      <c r="AU97" s="22">
        <v>606</v>
      </c>
      <c r="AV97" s="4">
        <v>1997</v>
      </c>
      <c r="AW97" s="5" t="s">
        <v>217</v>
      </c>
      <c r="AX97" s="13" t="s">
        <v>213</v>
      </c>
      <c r="AY97" s="17">
        <v>28.06</v>
      </c>
      <c r="AZ97" s="10">
        <f t="shared" si="3"/>
        <v>421</v>
      </c>
      <c r="BA97">
        <v>18</v>
      </c>
      <c r="BB97">
        <v>1</v>
      </c>
      <c r="BE97" s="25"/>
    </row>
    <row r="98" spans="1:57" x14ac:dyDescent="0.35">
      <c r="A98" s="18">
        <v>96</v>
      </c>
      <c r="B98" s="18" t="s">
        <v>134</v>
      </c>
      <c r="C98">
        <v>3820</v>
      </c>
      <c r="D98">
        <f t="shared" si="2"/>
        <v>0.12989080982711557</v>
      </c>
      <c r="E98" s="20">
        <v>1918</v>
      </c>
      <c r="F98" s="20">
        <v>1560</v>
      </c>
      <c r="G98" s="18">
        <v>3488</v>
      </c>
      <c r="H98" s="20">
        <v>1971</v>
      </c>
      <c r="I98" s="20">
        <v>1471</v>
      </c>
      <c r="J98" s="20">
        <v>36</v>
      </c>
      <c r="K98" s="20">
        <v>206</v>
      </c>
      <c r="L98" s="20">
        <v>777</v>
      </c>
      <c r="M98" s="20">
        <v>57</v>
      </c>
      <c r="N98">
        <v>67</v>
      </c>
      <c r="O98">
        <v>18</v>
      </c>
      <c r="P98" s="18">
        <v>841</v>
      </c>
      <c r="Q98">
        <v>3561</v>
      </c>
      <c r="R98" s="20">
        <v>2787</v>
      </c>
      <c r="S98">
        <v>56</v>
      </c>
      <c r="T98" s="18">
        <v>4396</v>
      </c>
      <c r="U98" s="18">
        <v>814</v>
      </c>
      <c r="V98" s="18">
        <v>3264000</v>
      </c>
      <c r="W98">
        <v>571</v>
      </c>
      <c r="X98" s="18">
        <v>251</v>
      </c>
      <c r="Y98" s="18">
        <v>0</v>
      </c>
      <c r="Z98">
        <v>140</v>
      </c>
      <c r="AA98">
        <v>0</v>
      </c>
      <c r="AB98">
        <v>53975956</v>
      </c>
      <c r="AC98">
        <v>23284000</v>
      </c>
      <c r="AD98">
        <v>1512000</v>
      </c>
      <c r="AF98">
        <v>72193000</v>
      </c>
      <c r="AG98">
        <v>578477000</v>
      </c>
      <c r="AH98">
        <v>346363000</v>
      </c>
      <c r="AI98">
        <v>7917000</v>
      </c>
      <c r="AJ98">
        <v>28</v>
      </c>
      <c r="AK98">
        <v>20</v>
      </c>
      <c r="AL98">
        <v>20277723</v>
      </c>
      <c r="AM98">
        <v>29</v>
      </c>
      <c r="AN98">
        <v>26</v>
      </c>
      <c r="AO98">
        <v>13273699</v>
      </c>
      <c r="AP98">
        <v>6</v>
      </c>
      <c r="AQ98">
        <v>59</v>
      </c>
      <c r="AR98">
        <v>10536452</v>
      </c>
      <c r="AS98" s="18" t="s">
        <v>59</v>
      </c>
      <c r="AT98" s="18">
        <v>2.92</v>
      </c>
      <c r="AU98" s="23">
        <v>227</v>
      </c>
      <c r="AV98" s="4">
        <v>2009</v>
      </c>
      <c r="AW98" s="5" t="s">
        <v>217</v>
      </c>
      <c r="AX98" s="13" t="s">
        <v>219</v>
      </c>
      <c r="AY98" s="18">
        <v>15.71</v>
      </c>
      <c r="AZ98" s="10">
        <f t="shared" si="3"/>
        <v>983</v>
      </c>
      <c r="BA98">
        <v>63</v>
      </c>
      <c r="BB98">
        <v>4</v>
      </c>
      <c r="BE98" s="25"/>
    </row>
    <row r="99" spans="1:57" x14ac:dyDescent="0.35">
      <c r="A99" s="17">
        <v>97</v>
      </c>
      <c r="B99" s="17" t="s">
        <v>146</v>
      </c>
      <c r="C99">
        <v>3270</v>
      </c>
      <c r="D99">
        <f t="shared" si="2"/>
        <v>0.12816455696202531</v>
      </c>
      <c r="E99" s="20">
        <v>780</v>
      </c>
      <c r="F99" s="20">
        <v>1274</v>
      </c>
      <c r="G99" s="17">
        <v>2951</v>
      </c>
      <c r="H99" s="20">
        <v>408</v>
      </c>
      <c r="I99" s="20">
        <v>1640</v>
      </c>
      <c r="J99" s="20">
        <v>6</v>
      </c>
      <c r="K99" s="20">
        <v>705</v>
      </c>
      <c r="L99" s="20">
        <v>866</v>
      </c>
      <c r="M99" s="20">
        <v>95</v>
      </c>
      <c r="N99">
        <v>98</v>
      </c>
      <c r="O99">
        <v>15</v>
      </c>
      <c r="P99" s="18">
        <v>1463</v>
      </c>
      <c r="Q99">
        <v>2457</v>
      </c>
      <c r="R99" s="20">
        <v>1798</v>
      </c>
      <c r="S99">
        <v>0</v>
      </c>
      <c r="T99" s="17">
        <v>1896</v>
      </c>
      <c r="U99" s="17">
        <v>1254</v>
      </c>
      <c r="V99" s="17">
        <v>6724000</v>
      </c>
      <c r="W99">
        <v>243</v>
      </c>
      <c r="X99" s="17">
        <v>94</v>
      </c>
      <c r="Y99" s="17">
        <v>33</v>
      </c>
      <c r="Z99">
        <v>20</v>
      </c>
      <c r="AA99">
        <v>15</v>
      </c>
      <c r="AB99">
        <v>91214738</v>
      </c>
      <c r="AC99">
        <v>252871586</v>
      </c>
      <c r="AD99">
        <v>0</v>
      </c>
      <c r="AF99">
        <v>269994936</v>
      </c>
      <c r="AG99">
        <v>2480790777</v>
      </c>
      <c r="AH99">
        <v>2285026138</v>
      </c>
      <c r="AI99">
        <v>14826361</v>
      </c>
      <c r="AJ99">
        <v>104</v>
      </c>
      <c r="AK99">
        <v>44</v>
      </c>
      <c r="AL99">
        <v>318025400</v>
      </c>
      <c r="AM99">
        <v>485</v>
      </c>
      <c r="AN99">
        <v>97</v>
      </c>
      <c r="AO99">
        <v>81312940</v>
      </c>
      <c r="AP99">
        <v>50</v>
      </c>
      <c r="AQ99">
        <v>1887</v>
      </c>
      <c r="AR99">
        <v>24743750</v>
      </c>
      <c r="AS99" s="17" t="s">
        <v>59</v>
      </c>
      <c r="AT99" s="17">
        <v>3.14</v>
      </c>
      <c r="AU99" s="22">
        <v>425</v>
      </c>
      <c r="AV99" s="4">
        <v>2008</v>
      </c>
      <c r="AW99" s="5" t="s">
        <v>217</v>
      </c>
      <c r="AX99" s="13" t="s">
        <v>213</v>
      </c>
      <c r="AY99" s="17">
        <v>20.65</v>
      </c>
      <c r="AZ99" s="10">
        <f t="shared" si="3"/>
        <v>1671</v>
      </c>
      <c r="BA99">
        <v>13</v>
      </c>
      <c r="BB99">
        <v>1</v>
      </c>
      <c r="BE99" s="25"/>
    </row>
    <row r="100" spans="1:57" x14ac:dyDescent="0.35">
      <c r="A100" s="18">
        <v>98</v>
      </c>
      <c r="B100" s="18" t="s">
        <v>158</v>
      </c>
      <c r="C100">
        <v>9888</v>
      </c>
      <c r="D100">
        <f t="shared" si="2"/>
        <v>0.26058753355204295</v>
      </c>
      <c r="E100" s="20">
        <v>0</v>
      </c>
      <c r="F100" s="20">
        <v>0</v>
      </c>
      <c r="G100" s="18">
        <v>6520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>
        <v>0</v>
      </c>
      <c r="O100">
        <v>0</v>
      </c>
      <c r="P100" s="18">
        <v>0</v>
      </c>
      <c r="Q100">
        <v>9929</v>
      </c>
      <c r="R100" s="20">
        <v>8861</v>
      </c>
      <c r="S100">
        <v>0</v>
      </c>
      <c r="T100" s="18">
        <v>13412</v>
      </c>
      <c r="U100" s="18">
        <v>1856</v>
      </c>
      <c r="V100" s="18">
        <v>5440000</v>
      </c>
      <c r="W100">
        <v>3495</v>
      </c>
      <c r="X100" s="18">
        <v>1125</v>
      </c>
      <c r="Y100" s="18">
        <v>322</v>
      </c>
      <c r="Z100">
        <v>360</v>
      </c>
      <c r="AA100">
        <v>191</v>
      </c>
      <c r="AB100">
        <v>121972055</v>
      </c>
      <c r="AC100">
        <v>66835096</v>
      </c>
      <c r="AD100">
        <v>6036206</v>
      </c>
      <c r="AF100">
        <v>223921338</v>
      </c>
      <c r="AG100">
        <v>8133595964</v>
      </c>
      <c r="AH100">
        <v>944556768</v>
      </c>
      <c r="AI100">
        <v>5920504</v>
      </c>
      <c r="AJ100">
        <v>1833</v>
      </c>
      <c r="AK100">
        <v>71</v>
      </c>
      <c r="AL100">
        <v>541769187</v>
      </c>
      <c r="AM100">
        <v>154</v>
      </c>
      <c r="AN100">
        <v>41</v>
      </c>
      <c r="AO100">
        <v>48647762</v>
      </c>
      <c r="AP100">
        <v>0</v>
      </c>
      <c r="AQ100">
        <v>0</v>
      </c>
      <c r="AR100">
        <v>0</v>
      </c>
      <c r="AS100" s="18" t="s">
        <v>59</v>
      </c>
      <c r="AT100" s="18">
        <v>2.65</v>
      </c>
      <c r="AU100" s="23">
        <v>473</v>
      </c>
      <c r="AV100" s="4">
        <v>1921</v>
      </c>
      <c r="AW100" s="5" t="s">
        <v>194</v>
      </c>
      <c r="AX100" s="13" t="s">
        <v>219</v>
      </c>
      <c r="AY100" s="18">
        <v>14.65</v>
      </c>
      <c r="AZ100" s="10">
        <f t="shared" si="3"/>
        <v>0</v>
      </c>
      <c r="BA100">
        <v>161</v>
      </c>
      <c r="BB100">
        <v>1</v>
      </c>
      <c r="BE100" s="25"/>
    </row>
    <row r="101" spans="1:57" x14ac:dyDescent="0.35">
      <c r="A101" s="17">
        <v>99</v>
      </c>
      <c r="B101" s="17" t="s">
        <v>132</v>
      </c>
      <c r="C101">
        <v>6048</v>
      </c>
      <c r="D101">
        <f t="shared" si="2"/>
        <v>6.5724381625441697E-2</v>
      </c>
      <c r="E101" s="20">
        <v>3413</v>
      </c>
      <c r="F101" s="20">
        <v>1219</v>
      </c>
      <c r="G101" s="17">
        <v>4632</v>
      </c>
      <c r="H101" s="20">
        <v>2282</v>
      </c>
      <c r="I101" s="20">
        <v>2279</v>
      </c>
      <c r="J101" s="20">
        <v>71</v>
      </c>
      <c r="K101" s="20">
        <v>933</v>
      </c>
      <c r="L101" s="20">
        <v>1323</v>
      </c>
      <c r="M101" s="20">
        <v>299</v>
      </c>
      <c r="N101">
        <v>27</v>
      </c>
      <c r="O101">
        <v>64</v>
      </c>
      <c r="P101" s="18">
        <v>1866</v>
      </c>
      <c r="Q101">
        <v>5003</v>
      </c>
      <c r="R101" s="20">
        <v>2963</v>
      </c>
      <c r="S101">
        <v>0</v>
      </c>
      <c r="T101" s="17">
        <v>4245</v>
      </c>
      <c r="U101" s="17">
        <v>1860</v>
      </c>
      <c r="V101" s="17">
        <v>6122495</v>
      </c>
      <c r="W101">
        <v>279</v>
      </c>
      <c r="X101" s="17">
        <v>418</v>
      </c>
      <c r="Y101" s="17">
        <v>56</v>
      </c>
      <c r="Z101">
        <v>129</v>
      </c>
      <c r="AA101">
        <v>86</v>
      </c>
      <c r="AB101">
        <v>119134780</v>
      </c>
      <c r="AC101">
        <v>314430835</v>
      </c>
      <c r="AD101">
        <v>11143927</v>
      </c>
      <c r="AF101">
        <v>232147759</v>
      </c>
      <c r="AG101">
        <v>2835015482</v>
      </c>
      <c r="AH101">
        <v>684741500</v>
      </c>
      <c r="AI101">
        <v>8584060</v>
      </c>
      <c r="AJ101">
        <v>146</v>
      </c>
      <c r="AK101">
        <v>48</v>
      </c>
      <c r="AL101">
        <v>1686191971</v>
      </c>
      <c r="AM101">
        <v>701</v>
      </c>
      <c r="AN101">
        <v>269</v>
      </c>
      <c r="AO101">
        <v>24281065</v>
      </c>
      <c r="AP101">
        <v>0</v>
      </c>
      <c r="AQ101">
        <v>0</v>
      </c>
      <c r="AR101">
        <v>0</v>
      </c>
      <c r="AS101" s="17" t="s">
        <v>74</v>
      </c>
      <c r="AT101" s="17" t="s">
        <v>495</v>
      </c>
      <c r="AU101" s="22">
        <v>327</v>
      </c>
      <c r="AV101" s="4">
        <v>1955</v>
      </c>
      <c r="AW101" s="5" t="s">
        <v>217</v>
      </c>
      <c r="AX101" s="13" t="s">
        <v>213</v>
      </c>
      <c r="AY101" s="17">
        <v>12.4</v>
      </c>
      <c r="AZ101" s="10">
        <f t="shared" si="3"/>
        <v>2256</v>
      </c>
      <c r="BA101">
        <v>15</v>
      </c>
      <c r="BB101">
        <v>1</v>
      </c>
      <c r="BE101" s="25"/>
    </row>
    <row r="102" spans="1:57" x14ac:dyDescent="0.35">
      <c r="A102" s="18">
        <v>100</v>
      </c>
      <c r="B102" s="18" t="s">
        <v>153</v>
      </c>
      <c r="C102">
        <v>11110</v>
      </c>
      <c r="D102">
        <f t="shared" si="2"/>
        <v>0.12689050211736236</v>
      </c>
      <c r="E102" s="20">
        <v>5221</v>
      </c>
      <c r="F102" s="20">
        <v>5130</v>
      </c>
      <c r="G102" s="18">
        <v>10351</v>
      </c>
      <c r="H102" s="20">
        <v>6605</v>
      </c>
      <c r="I102" s="20">
        <v>3703</v>
      </c>
      <c r="J102" s="20">
        <v>43</v>
      </c>
      <c r="K102" s="20">
        <v>3723</v>
      </c>
      <c r="L102" s="20">
        <v>3615</v>
      </c>
      <c r="M102" s="20">
        <v>1889</v>
      </c>
      <c r="N102">
        <v>2675</v>
      </c>
      <c r="O102">
        <v>41</v>
      </c>
      <c r="P102" s="18">
        <v>2733</v>
      </c>
      <c r="Q102">
        <v>6501</v>
      </c>
      <c r="R102" s="20">
        <v>4766</v>
      </c>
      <c r="S102">
        <v>17</v>
      </c>
      <c r="T102" s="18">
        <v>6612</v>
      </c>
      <c r="U102" s="18">
        <v>3243</v>
      </c>
      <c r="V102" s="18">
        <v>8606000</v>
      </c>
      <c r="W102">
        <v>839</v>
      </c>
      <c r="X102" s="18">
        <v>54</v>
      </c>
      <c r="Y102" s="18">
        <v>309</v>
      </c>
      <c r="Z102">
        <v>75</v>
      </c>
      <c r="AA102">
        <v>240</v>
      </c>
      <c r="AB102">
        <v>155670077</v>
      </c>
      <c r="AC102">
        <v>521250889</v>
      </c>
      <c r="AD102">
        <v>134698805</v>
      </c>
      <c r="AF102">
        <v>271859807</v>
      </c>
      <c r="AG102">
        <v>1435988598</v>
      </c>
      <c r="AH102">
        <v>1494060132</v>
      </c>
      <c r="AI102">
        <v>53904695</v>
      </c>
      <c r="AJ102">
        <v>165</v>
      </c>
      <c r="AK102">
        <v>102</v>
      </c>
      <c r="AL102">
        <v>220552777</v>
      </c>
      <c r="AM102">
        <v>259</v>
      </c>
      <c r="AN102">
        <v>121</v>
      </c>
      <c r="AO102">
        <v>47251500</v>
      </c>
      <c r="AP102">
        <v>159</v>
      </c>
      <c r="AQ102">
        <v>5170</v>
      </c>
      <c r="AR102">
        <v>19652250</v>
      </c>
      <c r="AS102" s="18" t="s">
        <v>59</v>
      </c>
      <c r="AT102" s="18">
        <v>3.31</v>
      </c>
      <c r="AU102" s="23">
        <v>1119</v>
      </c>
      <c r="AV102" s="4">
        <v>2003</v>
      </c>
      <c r="AW102" s="5" t="s">
        <v>194</v>
      </c>
      <c r="AX102" s="13" t="s">
        <v>196</v>
      </c>
      <c r="AY102" s="18">
        <v>24</v>
      </c>
      <c r="AZ102" s="10">
        <f t="shared" si="3"/>
        <v>7338</v>
      </c>
      <c r="BA102">
        <v>11</v>
      </c>
      <c r="BB102">
        <v>1</v>
      </c>
      <c r="BE102" s="25"/>
    </row>
  </sheetData>
  <mergeCells count="11">
    <mergeCell ref="AM1:AO1"/>
    <mergeCell ref="AP1:AR1"/>
    <mergeCell ref="AS1:AT1"/>
    <mergeCell ref="B1:B2"/>
    <mergeCell ref="A1:A2"/>
    <mergeCell ref="E1:P1"/>
    <mergeCell ref="Q1:W1"/>
    <mergeCell ref="X1:AA1"/>
    <mergeCell ref="AB1:AF1"/>
    <mergeCell ref="AG1:AI1"/>
    <mergeCell ref="AJ1:A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51B2-F495-456E-8701-039A74D18E1D}">
  <dimension ref="A1:G101"/>
  <sheetViews>
    <sheetView workbookViewId="0">
      <selection activeCell="E114" sqref="E114"/>
    </sheetView>
  </sheetViews>
  <sheetFormatPr defaultRowHeight="14.5" x14ac:dyDescent="0.35"/>
  <cols>
    <col min="1" max="1" width="41.08984375" customWidth="1"/>
    <col min="2" max="2" width="5.54296875" bestFit="1" customWidth="1"/>
    <col min="3" max="3" width="8" bestFit="1" customWidth="1"/>
    <col min="4" max="4" width="7.7265625" bestFit="1" customWidth="1"/>
  </cols>
  <sheetData>
    <row r="1" spans="1:7" x14ac:dyDescent="0.35">
      <c r="A1" s="32" t="s">
        <v>12</v>
      </c>
      <c r="B1" s="35" t="s">
        <v>11</v>
      </c>
      <c r="C1" s="32" t="s">
        <v>657</v>
      </c>
      <c r="D1" s="32" t="s">
        <v>658</v>
      </c>
      <c r="E1" s="40" t="s">
        <v>659</v>
      </c>
      <c r="F1" s="40" t="s">
        <v>660</v>
      </c>
    </row>
    <row r="2" spans="1:7" x14ac:dyDescent="0.35">
      <c r="A2" s="33" t="s">
        <v>637</v>
      </c>
      <c r="B2" s="36">
        <v>1</v>
      </c>
      <c r="C2" s="38">
        <v>11</v>
      </c>
      <c r="D2" s="38">
        <v>24.01</v>
      </c>
      <c r="E2">
        <f>_xlfn.RANK.AVG(C2,$C$2:$C$101,0)</f>
        <v>2.5</v>
      </c>
      <c r="F2">
        <f>_xlfn.RANK.AVG(D2,$D$2:$D$101,0)</f>
        <v>4</v>
      </c>
      <c r="G2">
        <f>CORREL(E2:E101,F2:F101)</f>
        <v>0.49696498295943781</v>
      </c>
    </row>
    <row r="3" spans="1:7" x14ac:dyDescent="0.35">
      <c r="A3" s="34" t="s">
        <v>60</v>
      </c>
      <c r="B3" s="37">
        <v>2</v>
      </c>
      <c r="C3" s="39">
        <v>0.75</v>
      </c>
      <c r="D3" s="39">
        <v>24.55</v>
      </c>
      <c r="E3">
        <f t="shared" ref="E3:E66" si="0">_xlfn.RANK.AVG(C3,$C$2:$C$101,0)</f>
        <v>75</v>
      </c>
      <c r="F3">
        <f t="shared" ref="F3:F66" si="1">_xlfn.RANK.AVG(D3,$D$2:$D$101,0)</f>
        <v>1</v>
      </c>
    </row>
    <row r="4" spans="1:7" x14ac:dyDescent="0.35">
      <c r="A4" s="33" t="s">
        <v>61</v>
      </c>
      <c r="B4" s="36">
        <v>3</v>
      </c>
      <c r="C4" s="38">
        <v>1.25</v>
      </c>
      <c r="D4" s="38">
        <v>23.13</v>
      </c>
      <c r="E4">
        <f t="shared" si="0"/>
        <v>59</v>
      </c>
      <c r="F4">
        <f t="shared" si="1"/>
        <v>10</v>
      </c>
    </row>
    <row r="5" spans="1:7" x14ac:dyDescent="0.35">
      <c r="A5" s="34" t="s">
        <v>477</v>
      </c>
      <c r="B5" s="37">
        <v>4</v>
      </c>
      <c r="C5" s="39">
        <v>3</v>
      </c>
      <c r="D5" s="39">
        <v>18.37</v>
      </c>
      <c r="E5">
        <f t="shared" si="0"/>
        <v>33</v>
      </c>
      <c r="F5">
        <f t="shared" si="1"/>
        <v>27</v>
      </c>
    </row>
    <row r="6" spans="1:7" x14ac:dyDescent="0.35">
      <c r="A6" s="33" t="s">
        <v>63</v>
      </c>
      <c r="B6" s="36">
        <v>5</v>
      </c>
      <c r="C6" s="38">
        <v>1.25</v>
      </c>
      <c r="D6" s="38">
        <v>11.61</v>
      </c>
      <c r="E6">
        <f t="shared" si="0"/>
        <v>59</v>
      </c>
      <c r="F6">
        <f t="shared" si="1"/>
        <v>55</v>
      </c>
    </row>
    <row r="7" spans="1:7" x14ac:dyDescent="0.35">
      <c r="A7" s="34" t="s">
        <v>70</v>
      </c>
      <c r="B7" s="37">
        <v>6</v>
      </c>
      <c r="C7" s="39">
        <v>2.25</v>
      </c>
      <c r="D7" s="39">
        <v>18.59</v>
      </c>
      <c r="E7">
        <f t="shared" si="0"/>
        <v>41.5</v>
      </c>
      <c r="F7">
        <f t="shared" si="1"/>
        <v>26</v>
      </c>
    </row>
    <row r="8" spans="1:7" x14ac:dyDescent="0.35">
      <c r="A8" s="33" t="s">
        <v>65</v>
      </c>
      <c r="B8" s="36">
        <v>7</v>
      </c>
      <c r="C8" s="38">
        <v>4.5</v>
      </c>
      <c r="D8" s="38">
        <v>23.35</v>
      </c>
      <c r="E8">
        <f t="shared" si="0"/>
        <v>26.5</v>
      </c>
      <c r="F8">
        <f t="shared" si="1"/>
        <v>8</v>
      </c>
    </row>
    <row r="9" spans="1:7" x14ac:dyDescent="0.35">
      <c r="A9" s="34" t="s">
        <v>68</v>
      </c>
      <c r="B9" s="37">
        <v>8</v>
      </c>
      <c r="C9" s="39">
        <v>0.5</v>
      </c>
      <c r="D9" s="39">
        <v>9.1</v>
      </c>
      <c r="E9">
        <f t="shared" si="0"/>
        <v>86</v>
      </c>
      <c r="F9">
        <f t="shared" si="1"/>
        <v>63</v>
      </c>
    </row>
    <row r="10" spans="1:7" x14ac:dyDescent="0.35">
      <c r="A10" s="33" t="s">
        <v>62</v>
      </c>
      <c r="B10" s="36">
        <v>9</v>
      </c>
      <c r="C10" s="38">
        <v>2.5</v>
      </c>
      <c r="D10" s="38">
        <v>1.2</v>
      </c>
      <c r="E10">
        <f t="shared" si="0"/>
        <v>37</v>
      </c>
      <c r="F10">
        <f t="shared" si="1"/>
        <v>88</v>
      </c>
    </row>
    <row r="11" spans="1:7" x14ac:dyDescent="0.35">
      <c r="A11" s="34" t="s">
        <v>67</v>
      </c>
      <c r="B11" s="37">
        <v>10</v>
      </c>
      <c r="C11" s="39">
        <v>7</v>
      </c>
      <c r="D11" s="39">
        <v>17.53</v>
      </c>
      <c r="E11">
        <f t="shared" si="0"/>
        <v>13.5</v>
      </c>
      <c r="F11">
        <f t="shared" si="1"/>
        <v>32</v>
      </c>
    </row>
    <row r="12" spans="1:7" x14ac:dyDescent="0.35">
      <c r="A12" s="33" t="s">
        <v>72</v>
      </c>
      <c r="B12" s="36">
        <v>11</v>
      </c>
      <c r="C12" s="38">
        <v>5</v>
      </c>
      <c r="D12" s="38">
        <v>14.22</v>
      </c>
      <c r="E12">
        <f t="shared" si="0"/>
        <v>23.5</v>
      </c>
      <c r="F12">
        <f t="shared" si="1"/>
        <v>46</v>
      </c>
    </row>
    <row r="13" spans="1:7" x14ac:dyDescent="0.35">
      <c r="A13" s="34" t="s">
        <v>79</v>
      </c>
      <c r="B13" s="37">
        <v>12</v>
      </c>
      <c r="C13" s="39">
        <v>9</v>
      </c>
      <c r="D13" s="39">
        <v>19.04</v>
      </c>
      <c r="E13">
        <f t="shared" si="0"/>
        <v>5.5</v>
      </c>
      <c r="F13">
        <f t="shared" si="1"/>
        <v>23</v>
      </c>
    </row>
    <row r="14" spans="1:7" x14ac:dyDescent="0.35">
      <c r="A14" s="33" t="s">
        <v>73</v>
      </c>
      <c r="B14" s="36">
        <v>13</v>
      </c>
      <c r="C14" s="38">
        <v>9</v>
      </c>
      <c r="D14" s="38">
        <v>0.76</v>
      </c>
      <c r="E14">
        <f t="shared" si="0"/>
        <v>5.5</v>
      </c>
      <c r="F14">
        <f t="shared" si="1"/>
        <v>91</v>
      </c>
    </row>
    <row r="15" spans="1:7" x14ac:dyDescent="0.35">
      <c r="A15" s="34" t="s">
        <v>76</v>
      </c>
      <c r="B15" s="37">
        <v>14</v>
      </c>
      <c r="C15" s="39">
        <v>7</v>
      </c>
      <c r="D15" s="39">
        <v>21.3</v>
      </c>
      <c r="E15">
        <f t="shared" si="0"/>
        <v>13.5</v>
      </c>
      <c r="F15">
        <f t="shared" si="1"/>
        <v>12</v>
      </c>
    </row>
    <row r="16" spans="1:7" x14ac:dyDescent="0.35">
      <c r="A16" s="33" t="s">
        <v>77</v>
      </c>
      <c r="B16" s="36">
        <v>15</v>
      </c>
      <c r="C16" s="38">
        <v>9</v>
      </c>
      <c r="D16" s="38">
        <v>24.08</v>
      </c>
      <c r="E16">
        <f t="shared" si="0"/>
        <v>5.5</v>
      </c>
      <c r="F16">
        <f t="shared" si="1"/>
        <v>3</v>
      </c>
    </row>
    <row r="17" spans="1:6" x14ac:dyDescent="0.35">
      <c r="A17" s="34" t="s">
        <v>78</v>
      </c>
      <c r="B17" s="37">
        <v>16</v>
      </c>
      <c r="C17" s="39">
        <v>1</v>
      </c>
      <c r="D17" s="39">
        <v>15.07</v>
      </c>
      <c r="E17">
        <f t="shared" si="0"/>
        <v>66.5</v>
      </c>
      <c r="F17">
        <f t="shared" si="1"/>
        <v>42</v>
      </c>
    </row>
    <row r="18" spans="1:6" x14ac:dyDescent="0.35">
      <c r="A18" s="33" t="s">
        <v>69</v>
      </c>
      <c r="B18" s="36">
        <v>17</v>
      </c>
      <c r="C18" s="38">
        <v>2.25</v>
      </c>
      <c r="D18" s="38">
        <v>15.93</v>
      </c>
      <c r="E18">
        <f t="shared" si="0"/>
        <v>41.5</v>
      </c>
      <c r="F18">
        <f t="shared" si="1"/>
        <v>36</v>
      </c>
    </row>
    <row r="19" spans="1:6" x14ac:dyDescent="0.35">
      <c r="A19" s="34" t="s">
        <v>71</v>
      </c>
      <c r="B19" s="37">
        <v>18</v>
      </c>
      <c r="C19" s="39">
        <v>2</v>
      </c>
      <c r="D19" s="39">
        <v>0.49</v>
      </c>
      <c r="E19">
        <f t="shared" si="0"/>
        <v>47.5</v>
      </c>
      <c r="F19">
        <f t="shared" si="1"/>
        <v>95</v>
      </c>
    </row>
    <row r="20" spans="1:6" x14ac:dyDescent="0.35">
      <c r="A20" s="33" t="s">
        <v>638</v>
      </c>
      <c r="B20" s="36">
        <v>19</v>
      </c>
      <c r="C20" s="38">
        <v>5</v>
      </c>
      <c r="D20" s="38">
        <v>21.1</v>
      </c>
      <c r="E20">
        <f t="shared" si="0"/>
        <v>23.5</v>
      </c>
      <c r="F20">
        <f t="shared" si="1"/>
        <v>14</v>
      </c>
    </row>
    <row r="21" spans="1:6" x14ac:dyDescent="0.35">
      <c r="A21" s="34" t="s">
        <v>88</v>
      </c>
      <c r="B21" s="37">
        <v>20</v>
      </c>
      <c r="C21" s="39">
        <v>9</v>
      </c>
      <c r="D21" s="39">
        <v>24.11</v>
      </c>
      <c r="E21">
        <f t="shared" si="0"/>
        <v>5.5</v>
      </c>
      <c r="F21">
        <f t="shared" si="1"/>
        <v>2</v>
      </c>
    </row>
    <row r="22" spans="1:6" x14ac:dyDescent="0.35">
      <c r="A22" s="33" t="s">
        <v>85</v>
      </c>
      <c r="B22" s="36">
        <v>21</v>
      </c>
      <c r="C22" s="38">
        <v>0.5</v>
      </c>
      <c r="D22" s="38">
        <v>8.19</v>
      </c>
      <c r="E22">
        <f t="shared" si="0"/>
        <v>86</v>
      </c>
      <c r="F22">
        <f t="shared" si="1"/>
        <v>64</v>
      </c>
    </row>
    <row r="23" spans="1:6" x14ac:dyDescent="0.35">
      <c r="A23" s="34" t="s">
        <v>89</v>
      </c>
      <c r="B23" s="37">
        <v>22</v>
      </c>
      <c r="C23" s="39">
        <v>6</v>
      </c>
      <c r="D23" s="39">
        <v>15.43</v>
      </c>
      <c r="E23">
        <f t="shared" si="0"/>
        <v>19.5</v>
      </c>
      <c r="F23">
        <f t="shared" si="1"/>
        <v>40</v>
      </c>
    </row>
    <row r="24" spans="1:6" x14ac:dyDescent="0.35">
      <c r="A24" s="33" t="s">
        <v>80</v>
      </c>
      <c r="B24" s="36">
        <v>23</v>
      </c>
      <c r="C24" s="38">
        <v>0.5</v>
      </c>
      <c r="D24" s="38">
        <v>3.26</v>
      </c>
      <c r="E24">
        <f t="shared" si="0"/>
        <v>86</v>
      </c>
      <c r="F24">
        <f t="shared" si="1"/>
        <v>76</v>
      </c>
    </row>
    <row r="25" spans="1:6" x14ac:dyDescent="0.35">
      <c r="A25" s="34" t="s">
        <v>95</v>
      </c>
      <c r="B25" s="37">
        <v>24</v>
      </c>
      <c r="C25" s="39">
        <v>3</v>
      </c>
      <c r="D25" s="39">
        <v>22.4</v>
      </c>
      <c r="E25">
        <f t="shared" si="0"/>
        <v>33</v>
      </c>
      <c r="F25">
        <f t="shared" si="1"/>
        <v>11</v>
      </c>
    </row>
    <row r="26" spans="1:6" x14ac:dyDescent="0.35">
      <c r="A26" s="33" t="s">
        <v>639</v>
      </c>
      <c r="B26" s="36">
        <v>25</v>
      </c>
      <c r="C26" s="38">
        <v>4</v>
      </c>
      <c r="D26" s="38">
        <v>7.01</v>
      </c>
      <c r="E26">
        <f t="shared" si="0"/>
        <v>29</v>
      </c>
      <c r="F26">
        <f t="shared" si="1"/>
        <v>67</v>
      </c>
    </row>
    <row r="27" spans="1:6" x14ac:dyDescent="0.35">
      <c r="A27" s="34" t="s">
        <v>82</v>
      </c>
      <c r="B27" s="37">
        <v>26</v>
      </c>
      <c r="C27" s="39">
        <v>2</v>
      </c>
      <c r="D27" s="39">
        <v>1.84</v>
      </c>
      <c r="E27">
        <f t="shared" si="0"/>
        <v>47.5</v>
      </c>
      <c r="F27">
        <f t="shared" si="1"/>
        <v>86</v>
      </c>
    </row>
    <row r="28" spans="1:6" x14ac:dyDescent="0.35">
      <c r="A28" s="33" t="s">
        <v>99</v>
      </c>
      <c r="B28" s="36">
        <v>27</v>
      </c>
      <c r="C28" s="38">
        <v>13</v>
      </c>
      <c r="D28" s="38">
        <v>23.98</v>
      </c>
      <c r="E28">
        <f t="shared" si="0"/>
        <v>1</v>
      </c>
      <c r="F28">
        <f t="shared" si="1"/>
        <v>5</v>
      </c>
    </row>
    <row r="29" spans="1:6" x14ac:dyDescent="0.35">
      <c r="A29" s="34" t="s">
        <v>640</v>
      </c>
      <c r="B29" s="37">
        <v>28</v>
      </c>
      <c r="C29" s="39">
        <v>2.25</v>
      </c>
      <c r="D29" s="39">
        <v>12.48</v>
      </c>
      <c r="E29">
        <f t="shared" si="0"/>
        <v>41.5</v>
      </c>
      <c r="F29">
        <f t="shared" si="1"/>
        <v>52</v>
      </c>
    </row>
    <row r="30" spans="1:6" x14ac:dyDescent="0.35">
      <c r="A30" s="33" t="s">
        <v>83</v>
      </c>
      <c r="B30" s="36">
        <v>29</v>
      </c>
      <c r="C30" s="38">
        <v>2</v>
      </c>
      <c r="D30" s="38">
        <v>16.84</v>
      </c>
      <c r="E30">
        <f t="shared" si="0"/>
        <v>47.5</v>
      </c>
      <c r="F30">
        <f t="shared" si="1"/>
        <v>35</v>
      </c>
    </row>
    <row r="31" spans="1:6" x14ac:dyDescent="0.35">
      <c r="A31" s="34" t="s">
        <v>90</v>
      </c>
      <c r="B31" s="37">
        <v>30</v>
      </c>
      <c r="C31" s="39">
        <v>5</v>
      </c>
      <c r="D31" s="39">
        <v>19.5</v>
      </c>
      <c r="E31">
        <f t="shared" si="0"/>
        <v>23.5</v>
      </c>
      <c r="F31">
        <f t="shared" si="1"/>
        <v>20</v>
      </c>
    </row>
    <row r="32" spans="1:6" x14ac:dyDescent="0.35">
      <c r="A32" s="33" t="s">
        <v>93</v>
      </c>
      <c r="B32" s="36">
        <v>31</v>
      </c>
      <c r="C32" s="38">
        <v>2.5</v>
      </c>
      <c r="D32" s="38">
        <v>14.37</v>
      </c>
      <c r="E32">
        <f t="shared" si="0"/>
        <v>37</v>
      </c>
      <c r="F32">
        <f t="shared" si="1"/>
        <v>45</v>
      </c>
    </row>
    <row r="33" spans="1:6" x14ac:dyDescent="0.35">
      <c r="A33" s="34" t="s">
        <v>96</v>
      </c>
      <c r="B33" s="37">
        <v>32</v>
      </c>
      <c r="C33" s="39">
        <v>11</v>
      </c>
      <c r="D33" s="39">
        <v>15.86</v>
      </c>
      <c r="E33">
        <f t="shared" si="0"/>
        <v>2.5</v>
      </c>
      <c r="F33">
        <f t="shared" si="1"/>
        <v>37</v>
      </c>
    </row>
    <row r="34" spans="1:6" x14ac:dyDescent="0.35">
      <c r="A34" s="33" t="s">
        <v>641</v>
      </c>
      <c r="B34" s="36">
        <v>33</v>
      </c>
      <c r="C34" s="38">
        <v>1.25</v>
      </c>
      <c r="D34" s="38">
        <v>17.989999999999998</v>
      </c>
      <c r="E34">
        <f t="shared" si="0"/>
        <v>59</v>
      </c>
      <c r="F34">
        <f t="shared" si="1"/>
        <v>30</v>
      </c>
    </row>
    <row r="35" spans="1:6" x14ac:dyDescent="0.35">
      <c r="A35" s="34" t="s">
        <v>98</v>
      </c>
      <c r="B35" s="37">
        <v>34</v>
      </c>
      <c r="C35" s="39">
        <v>0.5</v>
      </c>
      <c r="D35" s="39">
        <v>2.86</v>
      </c>
      <c r="E35">
        <f t="shared" si="0"/>
        <v>86</v>
      </c>
      <c r="F35">
        <f t="shared" si="1"/>
        <v>80</v>
      </c>
    </row>
    <row r="36" spans="1:6" x14ac:dyDescent="0.35">
      <c r="A36" s="33" t="s">
        <v>84</v>
      </c>
      <c r="B36" s="36">
        <v>35</v>
      </c>
      <c r="C36" s="38">
        <v>7</v>
      </c>
      <c r="D36" s="38">
        <v>6.32</v>
      </c>
      <c r="E36">
        <f t="shared" si="0"/>
        <v>13.5</v>
      </c>
      <c r="F36">
        <f t="shared" si="1"/>
        <v>70</v>
      </c>
    </row>
    <row r="37" spans="1:6" x14ac:dyDescent="0.35">
      <c r="A37" s="34" t="s">
        <v>102</v>
      </c>
      <c r="B37" s="37">
        <v>36</v>
      </c>
      <c r="C37" s="39">
        <v>0</v>
      </c>
      <c r="D37" s="39">
        <v>1.1000000000000001</v>
      </c>
      <c r="E37">
        <f t="shared" si="0"/>
        <v>97.5</v>
      </c>
      <c r="F37">
        <f t="shared" si="1"/>
        <v>89</v>
      </c>
    </row>
    <row r="38" spans="1:6" x14ac:dyDescent="0.35">
      <c r="A38" s="33" t="s">
        <v>496</v>
      </c>
      <c r="B38" s="36">
        <v>37</v>
      </c>
      <c r="C38" s="38">
        <v>1.5</v>
      </c>
      <c r="D38" s="38">
        <v>0.32</v>
      </c>
      <c r="E38">
        <f t="shared" si="0"/>
        <v>53.5</v>
      </c>
      <c r="F38">
        <f t="shared" si="1"/>
        <v>97.5</v>
      </c>
    </row>
    <row r="39" spans="1:6" x14ac:dyDescent="0.35">
      <c r="A39" s="34" t="s">
        <v>86</v>
      </c>
      <c r="B39" s="37">
        <v>38</v>
      </c>
      <c r="C39" s="39">
        <v>1.25</v>
      </c>
      <c r="D39" s="39">
        <v>15.21</v>
      </c>
      <c r="E39">
        <f t="shared" si="0"/>
        <v>59</v>
      </c>
      <c r="F39">
        <f t="shared" si="1"/>
        <v>41</v>
      </c>
    </row>
    <row r="40" spans="1:6" x14ac:dyDescent="0.35">
      <c r="A40" s="33" t="s">
        <v>111</v>
      </c>
      <c r="B40" s="36">
        <v>39</v>
      </c>
      <c r="C40" s="38">
        <v>1</v>
      </c>
      <c r="D40" s="38">
        <v>3.22</v>
      </c>
      <c r="E40">
        <f t="shared" si="0"/>
        <v>66.5</v>
      </c>
      <c r="F40">
        <f t="shared" si="1"/>
        <v>78</v>
      </c>
    </row>
    <row r="41" spans="1:6" x14ac:dyDescent="0.35">
      <c r="A41" s="34" t="s">
        <v>149</v>
      </c>
      <c r="B41" s="37">
        <v>40</v>
      </c>
      <c r="C41" s="39">
        <v>1</v>
      </c>
      <c r="D41" s="39">
        <v>5.41</v>
      </c>
      <c r="E41">
        <f t="shared" si="0"/>
        <v>66.5</v>
      </c>
      <c r="F41">
        <f t="shared" si="1"/>
        <v>72</v>
      </c>
    </row>
    <row r="42" spans="1:6" x14ac:dyDescent="0.35">
      <c r="A42" s="33" t="s">
        <v>110</v>
      </c>
      <c r="B42" s="36">
        <v>40</v>
      </c>
      <c r="C42" s="38">
        <v>0.75</v>
      </c>
      <c r="D42" s="38">
        <v>14.63</v>
      </c>
      <c r="E42">
        <f t="shared" si="0"/>
        <v>75</v>
      </c>
      <c r="F42">
        <f t="shared" si="1"/>
        <v>44</v>
      </c>
    </row>
    <row r="43" spans="1:6" x14ac:dyDescent="0.35">
      <c r="A43" s="34" t="s">
        <v>100</v>
      </c>
      <c r="B43" s="37">
        <v>42</v>
      </c>
      <c r="C43" s="39">
        <v>6.5</v>
      </c>
      <c r="D43" s="39">
        <v>11.91</v>
      </c>
      <c r="E43">
        <f t="shared" si="0"/>
        <v>17</v>
      </c>
      <c r="F43">
        <f t="shared" si="1"/>
        <v>54</v>
      </c>
    </row>
    <row r="44" spans="1:6" x14ac:dyDescent="0.35">
      <c r="A44" s="33" t="s">
        <v>97</v>
      </c>
      <c r="B44" s="36">
        <v>43</v>
      </c>
      <c r="C44" s="38">
        <v>2</v>
      </c>
      <c r="D44" s="38">
        <v>1.9</v>
      </c>
      <c r="E44">
        <f t="shared" si="0"/>
        <v>47.5</v>
      </c>
      <c r="F44">
        <f t="shared" si="1"/>
        <v>85</v>
      </c>
    </row>
    <row r="45" spans="1:6" x14ac:dyDescent="0.35">
      <c r="A45" s="34" t="s">
        <v>107</v>
      </c>
      <c r="B45" s="37">
        <v>44</v>
      </c>
      <c r="C45" s="39">
        <v>1</v>
      </c>
      <c r="D45" s="39">
        <v>11.49</v>
      </c>
      <c r="E45">
        <f t="shared" si="0"/>
        <v>66.5</v>
      </c>
      <c r="F45">
        <f t="shared" si="1"/>
        <v>56</v>
      </c>
    </row>
    <row r="46" spans="1:6" x14ac:dyDescent="0.35">
      <c r="A46" s="33" t="s">
        <v>94</v>
      </c>
      <c r="B46" s="36">
        <v>45</v>
      </c>
      <c r="C46" s="38">
        <v>0.5</v>
      </c>
      <c r="D46" s="38">
        <v>0</v>
      </c>
      <c r="E46">
        <f t="shared" si="0"/>
        <v>86</v>
      </c>
      <c r="F46">
        <f t="shared" si="1"/>
        <v>100</v>
      </c>
    </row>
    <row r="47" spans="1:6" x14ac:dyDescent="0.35">
      <c r="A47" s="34" t="s">
        <v>113</v>
      </c>
      <c r="B47" s="37">
        <v>46</v>
      </c>
      <c r="C47" s="39">
        <v>4</v>
      </c>
      <c r="D47" s="39">
        <v>20.6</v>
      </c>
      <c r="E47">
        <f t="shared" si="0"/>
        <v>29</v>
      </c>
      <c r="F47">
        <f t="shared" si="1"/>
        <v>15</v>
      </c>
    </row>
    <row r="48" spans="1:6" x14ac:dyDescent="0.35">
      <c r="A48" s="33" t="s">
        <v>91</v>
      </c>
      <c r="B48" s="36">
        <v>47</v>
      </c>
      <c r="C48" s="38">
        <v>1</v>
      </c>
      <c r="D48" s="38">
        <v>0.61</v>
      </c>
      <c r="E48">
        <f t="shared" si="0"/>
        <v>66.5</v>
      </c>
      <c r="F48">
        <f t="shared" si="1"/>
        <v>92</v>
      </c>
    </row>
    <row r="49" spans="1:6" x14ac:dyDescent="0.35">
      <c r="A49" s="34" t="s">
        <v>101</v>
      </c>
      <c r="B49" s="37">
        <v>48</v>
      </c>
      <c r="C49" s="39">
        <v>0.75</v>
      </c>
      <c r="D49" s="39">
        <v>13.41</v>
      </c>
      <c r="E49">
        <f t="shared" si="0"/>
        <v>75</v>
      </c>
      <c r="F49">
        <f t="shared" si="1"/>
        <v>49</v>
      </c>
    </row>
    <row r="50" spans="1:6" x14ac:dyDescent="0.35">
      <c r="A50" s="33" t="s">
        <v>108</v>
      </c>
      <c r="B50" s="36">
        <v>49</v>
      </c>
      <c r="C50" s="38">
        <v>4.5</v>
      </c>
      <c r="D50" s="38">
        <v>15.01</v>
      </c>
      <c r="E50">
        <f t="shared" si="0"/>
        <v>26.5</v>
      </c>
      <c r="F50">
        <f t="shared" si="1"/>
        <v>43</v>
      </c>
    </row>
    <row r="51" spans="1:6" x14ac:dyDescent="0.35">
      <c r="A51" s="34" t="s">
        <v>124</v>
      </c>
      <c r="B51" s="37">
        <v>50</v>
      </c>
      <c r="C51" s="39">
        <v>0</v>
      </c>
      <c r="D51" s="39">
        <v>0.5</v>
      </c>
      <c r="E51">
        <f t="shared" si="0"/>
        <v>97.5</v>
      </c>
      <c r="F51">
        <f t="shared" si="1"/>
        <v>93.5</v>
      </c>
    </row>
    <row r="52" spans="1:6" x14ac:dyDescent="0.35">
      <c r="A52" s="33" t="s">
        <v>112</v>
      </c>
      <c r="B52" s="36">
        <v>51</v>
      </c>
      <c r="C52" s="38">
        <v>7</v>
      </c>
      <c r="D52" s="38">
        <v>19.71</v>
      </c>
      <c r="E52">
        <f t="shared" si="0"/>
        <v>13.5</v>
      </c>
      <c r="F52">
        <f t="shared" si="1"/>
        <v>19</v>
      </c>
    </row>
    <row r="53" spans="1:6" x14ac:dyDescent="0.35">
      <c r="A53" s="34" t="s">
        <v>116</v>
      </c>
      <c r="B53" s="37">
        <v>52</v>
      </c>
      <c r="C53" s="39">
        <v>8</v>
      </c>
      <c r="D53" s="39">
        <v>17.39</v>
      </c>
      <c r="E53">
        <f t="shared" si="0"/>
        <v>9</v>
      </c>
      <c r="F53">
        <f t="shared" si="1"/>
        <v>34</v>
      </c>
    </row>
    <row r="54" spans="1:6" x14ac:dyDescent="0.35">
      <c r="A54" s="33" t="s">
        <v>106</v>
      </c>
      <c r="B54" s="36">
        <v>53</v>
      </c>
      <c r="C54" s="38">
        <v>0.5</v>
      </c>
      <c r="D54" s="38">
        <v>4.76</v>
      </c>
      <c r="E54">
        <f t="shared" si="0"/>
        <v>86</v>
      </c>
      <c r="F54">
        <f t="shared" si="1"/>
        <v>73</v>
      </c>
    </row>
    <row r="55" spans="1:6" x14ac:dyDescent="0.35">
      <c r="A55" s="34" t="s">
        <v>105</v>
      </c>
      <c r="B55" s="37">
        <v>54</v>
      </c>
      <c r="C55" s="39">
        <v>0</v>
      </c>
      <c r="D55" s="39">
        <v>5.55</v>
      </c>
      <c r="E55">
        <f t="shared" si="0"/>
        <v>97.5</v>
      </c>
      <c r="F55">
        <f t="shared" si="1"/>
        <v>71</v>
      </c>
    </row>
    <row r="56" spans="1:6" x14ac:dyDescent="0.35">
      <c r="A56" s="33" t="s">
        <v>118</v>
      </c>
      <c r="B56" s="36">
        <v>55</v>
      </c>
      <c r="C56" s="38">
        <v>2</v>
      </c>
      <c r="D56" s="38">
        <v>9.7799999999999994</v>
      </c>
      <c r="E56">
        <f t="shared" si="0"/>
        <v>47.5</v>
      </c>
      <c r="F56">
        <f t="shared" si="1"/>
        <v>61</v>
      </c>
    </row>
    <row r="57" spans="1:6" x14ac:dyDescent="0.35">
      <c r="A57" s="34" t="s">
        <v>120</v>
      </c>
      <c r="B57" s="37">
        <v>56</v>
      </c>
      <c r="C57" s="39">
        <v>0.75</v>
      </c>
      <c r="D57" s="39">
        <v>0.5</v>
      </c>
      <c r="E57">
        <f t="shared" si="0"/>
        <v>75</v>
      </c>
      <c r="F57">
        <f t="shared" si="1"/>
        <v>93.5</v>
      </c>
    </row>
    <row r="58" spans="1:6" x14ac:dyDescent="0.35">
      <c r="A58" s="33" t="s">
        <v>642</v>
      </c>
      <c r="B58" s="36">
        <v>57</v>
      </c>
      <c r="C58" s="38">
        <v>1</v>
      </c>
      <c r="D58" s="38">
        <v>1.3</v>
      </c>
      <c r="E58">
        <f t="shared" si="0"/>
        <v>66.5</v>
      </c>
      <c r="F58">
        <f t="shared" si="1"/>
        <v>87</v>
      </c>
    </row>
    <row r="59" spans="1:6" x14ac:dyDescent="0.35">
      <c r="A59" s="34" t="s">
        <v>159</v>
      </c>
      <c r="B59" s="37">
        <v>58</v>
      </c>
      <c r="C59" s="39">
        <v>0</v>
      </c>
      <c r="D59" s="39">
        <v>19.989999999999998</v>
      </c>
      <c r="E59">
        <f t="shared" si="0"/>
        <v>97.5</v>
      </c>
      <c r="F59">
        <f t="shared" si="1"/>
        <v>17</v>
      </c>
    </row>
    <row r="60" spans="1:6" x14ac:dyDescent="0.35">
      <c r="A60" s="33" t="s">
        <v>643</v>
      </c>
      <c r="B60" s="36">
        <v>59</v>
      </c>
      <c r="C60" s="38">
        <v>1.25</v>
      </c>
      <c r="D60" s="38">
        <v>7.4</v>
      </c>
      <c r="E60">
        <f t="shared" si="0"/>
        <v>59</v>
      </c>
      <c r="F60">
        <f t="shared" si="1"/>
        <v>65</v>
      </c>
    </row>
    <row r="61" spans="1:6" x14ac:dyDescent="0.35">
      <c r="A61" s="34" t="s">
        <v>128</v>
      </c>
      <c r="B61" s="37">
        <v>60</v>
      </c>
      <c r="C61" s="39">
        <v>4</v>
      </c>
      <c r="D61" s="39">
        <v>20.190000000000001</v>
      </c>
      <c r="E61">
        <f t="shared" si="0"/>
        <v>29</v>
      </c>
      <c r="F61">
        <f t="shared" si="1"/>
        <v>16</v>
      </c>
    </row>
    <row r="62" spans="1:6" x14ac:dyDescent="0.35">
      <c r="A62" s="33" t="s">
        <v>117</v>
      </c>
      <c r="B62" s="36">
        <v>61</v>
      </c>
      <c r="C62" s="38">
        <v>0.5</v>
      </c>
      <c r="D62" s="38">
        <v>2.0099999999999998</v>
      </c>
      <c r="E62">
        <f t="shared" si="0"/>
        <v>86</v>
      </c>
      <c r="F62">
        <f t="shared" si="1"/>
        <v>83</v>
      </c>
    </row>
    <row r="63" spans="1:6" x14ac:dyDescent="0.35">
      <c r="A63" s="34" t="s">
        <v>123</v>
      </c>
      <c r="B63" s="37">
        <v>62</v>
      </c>
      <c r="C63" s="39">
        <v>0.75</v>
      </c>
      <c r="D63" s="39">
        <v>17.98</v>
      </c>
      <c r="E63">
        <f t="shared" si="0"/>
        <v>75</v>
      </c>
      <c r="F63">
        <f t="shared" si="1"/>
        <v>31</v>
      </c>
    </row>
    <row r="64" spans="1:6" x14ac:dyDescent="0.35">
      <c r="A64" s="33" t="s">
        <v>114</v>
      </c>
      <c r="B64" s="36">
        <v>63</v>
      </c>
      <c r="C64" s="38">
        <v>0.5</v>
      </c>
      <c r="D64" s="38">
        <v>1.94</v>
      </c>
      <c r="E64">
        <f t="shared" si="0"/>
        <v>86</v>
      </c>
      <c r="F64">
        <f t="shared" si="1"/>
        <v>84</v>
      </c>
    </row>
    <row r="65" spans="1:6" x14ac:dyDescent="0.35">
      <c r="A65" s="34" t="s">
        <v>644</v>
      </c>
      <c r="B65" s="37">
        <v>64</v>
      </c>
      <c r="C65" s="39">
        <v>6</v>
      </c>
      <c r="D65" s="39">
        <v>18.309999999999999</v>
      </c>
      <c r="E65">
        <f t="shared" si="0"/>
        <v>19.5</v>
      </c>
      <c r="F65">
        <f t="shared" si="1"/>
        <v>28</v>
      </c>
    </row>
    <row r="66" spans="1:6" x14ac:dyDescent="0.35">
      <c r="A66" s="33" t="s">
        <v>488</v>
      </c>
      <c r="B66" s="36">
        <v>65</v>
      </c>
      <c r="C66" s="38">
        <v>6</v>
      </c>
      <c r="D66" s="38">
        <v>15.57</v>
      </c>
      <c r="E66">
        <f t="shared" si="0"/>
        <v>19.5</v>
      </c>
      <c r="F66">
        <f t="shared" si="1"/>
        <v>38</v>
      </c>
    </row>
    <row r="67" spans="1:6" x14ac:dyDescent="0.35">
      <c r="A67" s="34" t="s">
        <v>126</v>
      </c>
      <c r="B67" s="37">
        <v>66</v>
      </c>
      <c r="C67" s="39">
        <v>2</v>
      </c>
      <c r="D67" s="39">
        <v>13.46</v>
      </c>
      <c r="E67">
        <f t="shared" ref="E67:E101" si="2">_xlfn.RANK.AVG(C67,$C$2:$C$101,0)</f>
        <v>47.5</v>
      </c>
      <c r="F67">
        <f t="shared" ref="F67:F101" si="3">_xlfn.RANK.AVG(D67,$D$2:$D$101,0)</f>
        <v>48</v>
      </c>
    </row>
    <row r="68" spans="1:6" x14ac:dyDescent="0.35">
      <c r="A68" s="33" t="s">
        <v>119</v>
      </c>
      <c r="B68" s="36">
        <v>67</v>
      </c>
      <c r="C68" s="38">
        <v>1.5</v>
      </c>
      <c r="D68" s="38">
        <v>23.45</v>
      </c>
      <c r="E68">
        <f t="shared" si="2"/>
        <v>53.5</v>
      </c>
      <c r="F68">
        <f t="shared" si="3"/>
        <v>7</v>
      </c>
    </row>
    <row r="69" spans="1:6" x14ac:dyDescent="0.35">
      <c r="A69" s="34" t="s">
        <v>645</v>
      </c>
      <c r="B69" s="37">
        <v>68</v>
      </c>
      <c r="C69" s="39">
        <v>2</v>
      </c>
      <c r="D69" s="39">
        <v>23.17</v>
      </c>
      <c r="E69">
        <f t="shared" si="2"/>
        <v>47.5</v>
      </c>
      <c r="F69">
        <f t="shared" si="3"/>
        <v>9</v>
      </c>
    </row>
    <row r="70" spans="1:6" x14ac:dyDescent="0.35">
      <c r="A70" s="33" t="s">
        <v>130</v>
      </c>
      <c r="B70" s="36">
        <v>69</v>
      </c>
      <c r="C70" s="38">
        <v>2.25</v>
      </c>
      <c r="D70" s="38">
        <v>4.4800000000000004</v>
      </c>
      <c r="E70">
        <f t="shared" si="2"/>
        <v>41.5</v>
      </c>
      <c r="F70">
        <f t="shared" si="3"/>
        <v>74</v>
      </c>
    </row>
    <row r="71" spans="1:6" x14ac:dyDescent="0.35">
      <c r="A71" s="34" t="s">
        <v>134</v>
      </c>
      <c r="B71" s="37">
        <v>70</v>
      </c>
      <c r="C71" s="39">
        <v>3.5</v>
      </c>
      <c r="D71" s="39">
        <v>15.56</v>
      </c>
      <c r="E71">
        <f t="shared" si="2"/>
        <v>31</v>
      </c>
      <c r="F71">
        <f t="shared" si="3"/>
        <v>39</v>
      </c>
    </row>
    <row r="72" spans="1:6" x14ac:dyDescent="0.35">
      <c r="A72" s="33" t="s">
        <v>646</v>
      </c>
      <c r="B72" s="36">
        <v>71</v>
      </c>
      <c r="C72" s="38">
        <v>8</v>
      </c>
      <c r="D72" s="38">
        <v>12.33</v>
      </c>
      <c r="E72">
        <f t="shared" si="2"/>
        <v>9</v>
      </c>
      <c r="F72">
        <f t="shared" si="3"/>
        <v>53</v>
      </c>
    </row>
    <row r="73" spans="1:6" x14ac:dyDescent="0.35">
      <c r="A73" s="34" t="s">
        <v>136</v>
      </c>
      <c r="B73" s="37">
        <v>72</v>
      </c>
      <c r="C73" s="39">
        <v>5</v>
      </c>
      <c r="D73" s="39">
        <v>10.7</v>
      </c>
      <c r="E73">
        <f t="shared" si="2"/>
        <v>23.5</v>
      </c>
      <c r="F73">
        <f t="shared" si="3"/>
        <v>58</v>
      </c>
    </row>
    <row r="74" spans="1:6" x14ac:dyDescent="0.35">
      <c r="A74" s="33" t="s">
        <v>647</v>
      </c>
      <c r="B74" s="36">
        <v>73</v>
      </c>
      <c r="C74" s="38">
        <v>7</v>
      </c>
      <c r="D74" s="38">
        <v>19.760000000000002</v>
      </c>
      <c r="E74">
        <f t="shared" si="2"/>
        <v>13.5</v>
      </c>
      <c r="F74">
        <f t="shared" si="3"/>
        <v>18</v>
      </c>
    </row>
    <row r="75" spans="1:6" x14ac:dyDescent="0.35">
      <c r="A75" s="34" t="s">
        <v>145</v>
      </c>
      <c r="B75" s="37">
        <v>74</v>
      </c>
      <c r="C75" s="39">
        <v>2.5</v>
      </c>
      <c r="D75" s="39">
        <v>21.13</v>
      </c>
      <c r="E75">
        <f t="shared" si="2"/>
        <v>37</v>
      </c>
      <c r="F75">
        <f t="shared" si="3"/>
        <v>13</v>
      </c>
    </row>
    <row r="76" spans="1:6" x14ac:dyDescent="0.35">
      <c r="A76" s="33" t="s">
        <v>125</v>
      </c>
      <c r="B76" s="36">
        <v>75</v>
      </c>
      <c r="C76" s="38">
        <v>2.5</v>
      </c>
      <c r="D76" s="38">
        <v>0.05</v>
      </c>
      <c r="E76">
        <f t="shared" si="2"/>
        <v>37</v>
      </c>
      <c r="F76">
        <f t="shared" si="3"/>
        <v>99</v>
      </c>
    </row>
    <row r="77" spans="1:6" x14ac:dyDescent="0.35">
      <c r="A77" s="34" t="s">
        <v>122</v>
      </c>
      <c r="B77" s="37">
        <v>76</v>
      </c>
      <c r="C77" s="39">
        <v>1.25</v>
      </c>
      <c r="D77" s="39">
        <v>7</v>
      </c>
      <c r="E77">
        <f t="shared" si="2"/>
        <v>59</v>
      </c>
      <c r="F77">
        <f t="shared" si="3"/>
        <v>68</v>
      </c>
    </row>
    <row r="78" spans="1:6" x14ac:dyDescent="0.35">
      <c r="A78" s="33" t="s">
        <v>137</v>
      </c>
      <c r="B78" s="36">
        <v>77</v>
      </c>
      <c r="C78" s="38">
        <v>0.25</v>
      </c>
      <c r="D78" s="38">
        <v>3.89</v>
      </c>
      <c r="E78">
        <f t="shared" si="2"/>
        <v>93.5</v>
      </c>
      <c r="F78">
        <f t="shared" si="3"/>
        <v>75</v>
      </c>
    </row>
    <row r="79" spans="1:6" x14ac:dyDescent="0.35">
      <c r="A79" s="34" t="s">
        <v>152</v>
      </c>
      <c r="B79" s="37">
        <v>78</v>
      </c>
      <c r="C79" s="39">
        <v>2</v>
      </c>
      <c r="D79" s="39">
        <v>12.54</v>
      </c>
      <c r="E79">
        <f t="shared" si="2"/>
        <v>47.5</v>
      </c>
      <c r="F79">
        <f t="shared" si="3"/>
        <v>50</v>
      </c>
    </row>
    <row r="80" spans="1:6" x14ac:dyDescent="0.35">
      <c r="A80" s="33" t="s">
        <v>143</v>
      </c>
      <c r="B80" s="36">
        <v>79</v>
      </c>
      <c r="C80" s="38">
        <v>2.5</v>
      </c>
      <c r="D80" s="38">
        <v>12.5</v>
      </c>
      <c r="E80">
        <f t="shared" si="2"/>
        <v>37</v>
      </c>
      <c r="F80">
        <f t="shared" si="3"/>
        <v>51</v>
      </c>
    </row>
    <row r="81" spans="1:6" x14ac:dyDescent="0.35">
      <c r="A81" s="34" t="s">
        <v>135</v>
      </c>
      <c r="B81" s="37">
        <v>80</v>
      </c>
      <c r="C81" s="39">
        <v>0.5</v>
      </c>
      <c r="D81" s="39">
        <v>7.29</v>
      </c>
      <c r="E81">
        <f t="shared" si="2"/>
        <v>86</v>
      </c>
      <c r="F81">
        <f t="shared" si="3"/>
        <v>66</v>
      </c>
    </row>
    <row r="82" spans="1:6" x14ac:dyDescent="0.35">
      <c r="A82" s="33" t="s">
        <v>483</v>
      </c>
      <c r="B82" s="36">
        <v>81</v>
      </c>
      <c r="C82" s="38">
        <v>1</v>
      </c>
      <c r="D82" s="38">
        <v>2.84</v>
      </c>
      <c r="E82">
        <f t="shared" si="2"/>
        <v>66.5</v>
      </c>
      <c r="F82">
        <f t="shared" si="3"/>
        <v>81</v>
      </c>
    </row>
    <row r="83" spans="1:6" x14ac:dyDescent="0.35">
      <c r="A83" s="34" t="s">
        <v>132</v>
      </c>
      <c r="B83" s="37">
        <v>82</v>
      </c>
      <c r="C83" s="39">
        <v>1.25</v>
      </c>
      <c r="D83" s="39">
        <v>10.32</v>
      </c>
      <c r="E83">
        <f t="shared" si="2"/>
        <v>59</v>
      </c>
      <c r="F83">
        <f t="shared" si="3"/>
        <v>60</v>
      </c>
    </row>
    <row r="84" spans="1:6" x14ac:dyDescent="0.35">
      <c r="A84" s="33" t="s">
        <v>161</v>
      </c>
      <c r="B84" s="36">
        <v>83</v>
      </c>
      <c r="C84" s="38">
        <v>0.5</v>
      </c>
      <c r="D84" s="38">
        <v>18.78</v>
      </c>
      <c r="E84">
        <f t="shared" si="2"/>
        <v>86</v>
      </c>
      <c r="F84">
        <f t="shared" si="3"/>
        <v>25</v>
      </c>
    </row>
    <row r="85" spans="1:6" x14ac:dyDescent="0.35">
      <c r="A85" s="34" t="s">
        <v>133</v>
      </c>
      <c r="B85" s="37">
        <v>84</v>
      </c>
      <c r="C85" s="39">
        <v>1</v>
      </c>
      <c r="D85" s="39">
        <v>2.38</v>
      </c>
      <c r="E85">
        <f t="shared" si="2"/>
        <v>66.5</v>
      </c>
      <c r="F85">
        <f t="shared" si="3"/>
        <v>82</v>
      </c>
    </row>
    <row r="86" spans="1:6" x14ac:dyDescent="0.35">
      <c r="A86" s="33" t="s">
        <v>648</v>
      </c>
      <c r="B86" s="36">
        <v>85</v>
      </c>
      <c r="C86" s="38">
        <v>0.5</v>
      </c>
      <c r="D86" s="38">
        <v>23.83</v>
      </c>
      <c r="E86">
        <f t="shared" si="2"/>
        <v>86</v>
      </c>
      <c r="F86">
        <f t="shared" si="3"/>
        <v>6</v>
      </c>
    </row>
    <row r="87" spans="1:6" x14ac:dyDescent="0.35">
      <c r="A87" s="34" t="s">
        <v>148</v>
      </c>
      <c r="B87" s="37">
        <v>86</v>
      </c>
      <c r="C87" s="39">
        <v>7</v>
      </c>
      <c r="D87" s="39">
        <v>18.93</v>
      </c>
      <c r="E87">
        <f t="shared" si="2"/>
        <v>13.5</v>
      </c>
      <c r="F87">
        <f t="shared" si="3"/>
        <v>24</v>
      </c>
    </row>
    <row r="88" spans="1:6" x14ac:dyDescent="0.35">
      <c r="A88" s="33" t="s">
        <v>121</v>
      </c>
      <c r="B88" s="36">
        <v>87</v>
      </c>
      <c r="C88" s="38">
        <v>0.75</v>
      </c>
      <c r="D88" s="38">
        <v>0.87</v>
      </c>
      <c r="E88">
        <f t="shared" si="2"/>
        <v>75</v>
      </c>
      <c r="F88">
        <f t="shared" si="3"/>
        <v>90</v>
      </c>
    </row>
    <row r="89" spans="1:6" x14ac:dyDescent="0.35">
      <c r="A89" s="34" t="s">
        <v>649</v>
      </c>
      <c r="B89" s="37">
        <v>88</v>
      </c>
      <c r="C89" s="39">
        <v>1.5</v>
      </c>
      <c r="D89" s="39">
        <v>3.23</v>
      </c>
      <c r="E89">
        <f t="shared" si="2"/>
        <v>53.5</v>
      </c>
      <c r="F89">
        <f t="shared" si="3"/>
        <v>77</v>
      </c>
    </row>
    <row r="90" spans="1:6" x14ac:dyDescent="0.35">
      <c r="A90" s="33" t="s">
        <v>497</v>
      </c>
      <c r="B90" s="36">
        <v>89</v>
      </c>
      <c r="C90" s="38">
        <v>0</v>
      </c>
      <c r="D90" s="38">
        <v>0.42</v>
      </c>
      <c r="E90">
        <f t="shared" si="2"/>
        <v>97.5</v>
      </c>
      <c r="F90">
        <f t="shared" si="3"/>
        <v>96</v>
      </c>
    </row>
    <row r="91" spans="1:6" x14ac:dyDescent="0.35">
      <c r="A91" s="34" t="s">
        <v>650</v>
      </c>
      <c r="B91" s="37">
        <v>90</v>
      </c>
      <c r="C91" s="39">
        <v>0.5</v>
      </c>
      <c r="D91" s="39">
        <v>2.87</v>
      </c>
      <c r="E91">
        <f t="shared" si="2"/>
        <v>86</v>
      </c>
      <c r="F91">
        <f t="shared" si="3"/>
        <v>79</v>
      </c>
    </row>
    <row r="92" spans="1:6" x14ac:dyDescent="0.35">
      <c r="A92" s="33" t="s">
        <v>651</v>
      </c>
      <c r="B92" s="36">
        <v>90</v>
      </c>
      <c r="C92" s="38">
        <v>8</v>
      </c>
      <c r="D92" s="38">
        <v>17.48</v>
      </c>
      <c r="E92">
        <f t="shared" si="2"/>
        <v>9</v>
      </c>
      <c r="F92">
        <f t="shared" si="3"/>
        <v>33</v>
      </c>
    </row>
    <row r="93" spans="1:6" x14ac:dyDescent="0.35">
      <c r="A93" s="34" t="s">
        <v>652</v>
      </c>
      <c r="B93" s="37">
        <v>92</v>
      </c>
      <c r="C93" s="39">
        <v>3</v>
      </c>
      <c r="D93" s="39">
        <v>19.18</v>
      </c>
      <c r="E93">
        <f t="shared" si="2"/>
        <v>33</v>
      </c>
      <c r="F93">
        <f t="shared" si="3"/>
        <v>21</v>
      </c>
    </row>
    <row r="94" spans="1:6" x14ac:dyDescent="0.35">
      <c r="A94" s="33" t="s">
        <v>144</v>
      </c>
      <c r="B94" s="36">
        <v>93</v>
      </c>
      <c r="C94" s="38">
        <v>0.5</v>
      </c>
      <c r="D94" s="38">
        <v>0.32</v>
      </c>
      <c r="E94">
        <f t="shared" si="2"/>
        <v>86</v>
      </c>
      <c r="F94">
        <f t="shared" si="3"/>
        <v>97.5</v>
      </c>
    </row>
    <row r="95" spans="1:6" x14ac:dyDescent="0.35">
      <c r="A95" s="34" t="s">
        <v>653</v>
      </c>
      <c r="B95" s="37">
        <v>94</v>
      </c>
      <c r="C95" s="39">
        <v>0.25</v>
      </c>
      <c r="D95" s="39">
        <v>11.37</v>
      </c>
      <c r="E95">
        <f t="shared" si="2"/>
        <v>93.5</v>
      </c>
      <c r="F95">
        <f t="shared" si="3"/>
        <v>57</v>
      </c>
    </row>
    <row r="96" spans="1:6" x14ac:dyDescent="0.35">
      <c r="A96" s="33" t="s">
        <v>146</v>
      </c>
      <c r="B96" s="36">
        <v>95</v>
      </c>
      <c r="C96" s="38">
        <v>1.5</v>
      </c>
      <c r="D96" s="38">
        <v>19.16</v>
      </c>
      <c r="E96">
        <f t="shared" si="2"/>
        <v>53.5</v>
      </c>
      <c r="F96">
        <f t="shared" si="3"/>
        <v>22</v>
      </c>
    </row>
    <row r="97" spans="1:6" x14ac:dyDescent="0.35">
      <c r="A97" s="34" t="s">
        <v>654</v>
      </c>
      <c r="B97" s="37">
        <v>96</v>
      </c>
      <c r="C97" s="39">
        <v>6</v>
      </c>
      <c r="D97" s="39">
        <v>18.22</v>
      </c>
      <c r="E97">
        <f t="shared" si="2"/>
        <v>19.5</v>
      </c>
      <c r="F97">
        <f t="shared" si="3"/>
        <v>29</v>
      </c>
    </row>
    <row r="98" spans="1:6" x14ac:dyDescent="0.35">
      <c r="A98" s="33" t="s">
        <v>655</v>
      </c>
      <c r="B98" s="36">
        <v>97</v>
      </c>
      <c r="C98" s="38">
        <v>0</v>
      </c>
      <c r="D98" s="38">
        <v>10.41</v>
      </c>
      <c r="E98">
        <f t="shared" si="2"/>
        <v>97.5</v>
      </c>
      <c r="F98">
        <f t="shared" si="3"/>
        <v>59</v>
      </c>
    </row>
    <row r="99" spans="1:6" x14ac:dyDescent="0.35">
      <c r="A99" s="34" t="s">
        <v>656</v>
      </c>
      <c r="B99" s="37">
        <v>98</v>
      </c>
      <c r="C99" s="39">
        <v>0.75</v>
      </c>
      <c r="D99" s="39">
        <v>6.63</v>
      </c>
      <c r="E99">
        <f t="shared" si="2"/>
        <v>75</v>
      </c>
      <c r="F99">
        <f t="shared" si="3"/>
        <v>69</v>
      </c>
    </row>
    <row r="100" spans="1:6" x14ac:dyDescent="0.35">
      <c r="A100" s="33" t="s">
        <v>150</v>
      </c>
      <c r="B100" s="36">
        <v>99</v>
      </c>
      <c r="C100" s="38">
        <v>0.75</v>
      </c>
      <c r="D100" s="38">
        <v>14.07</v>
      </c>
      <c r="E100">
        <f t="shared" si="2"/>
        <v>75</v>
      </c>
      <c r="F100">
        <f t="shared" si="3"/>
        <v>47</v>
      </c>
    </row>
    <row r="101" spans="1:6" x14ac:dyDescent="0.35">
      <c r="A101" s="34" t="s">
        <v>156</v>
      </c>
      <c r="B101" s="37">
        <v>100</v>
      </c>
      <c r="C101" s="39">
        <v>0.75</v>
      </c>
      <c r="D101" s="39">
        <v>9.31</v>
      </c>
      <c r="E101">
        <f t="shared" si="2"/>
        <v>75</v>
      </c>
      <c r="F101">
        <f t="shared" si="3"/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5112-A0B3-4B0C-A6EC-B12F3334AE43}">
  <dimension ref="A1:P70"/>
  <sheetViews>
    <sheetView topLeftCell="A43" workbookViewId="0">
      <selection activeCell="L16" sqref="L16"/>
    </sheetView>
  </sheetViews>
  <sheetFormatPr defaultRowHeight="14.5" x14ac:dyDescent="0.35"/>
  <cols>
    <col min="1" max="1" width="8.7265625" style="16"/>
    <col min="2" max="2" width="16.6328125" bestFit="1" customWidth="1"/>
    <col min="6" max="6" width="8.7265625" customWidth="1"/>
    <col min="7" max="7" width="9.36328125" bestFit="1" customWidth="1"/>
  </cols>
  <sheetData>
    <row r="1" spans="1:16" x14ac:dyDescent="0.35">
      <c r="A1" s="28" t="s">
        <v>566</v>
      </c>
      <c r="B1" s="29" t="s">
        <v>567</v>
      </c>
      <c r="C1" s="29">
        <v>2021</v>
      </c>
      <c r="D1" s="29">
        <v>2022</v>
      </c>
      <c r="E1" s="29">
        <v>2023</v>
      </c>
      <c r="F1" s="29">
        <v>2021</v>
      </c>
      <c r="G1" s="29">
        <v>2022</v>
      </c>
      <c r="H1" s="29">
        <v>2023</v>
      </c>
    </row>
    <row r="2" spans="1:16" x14ac:dyDescent="0.35">
      <c r="A2" s="16">
        <v>1</v>
      </c>
      <c r="B2" t="s">
        <v>568</v>
      </c>
      <c r="C2">
        <v>0</v>
      </c>
      <c r="D2">
        <v>0</v>
      </c>
      <c r="E2">
        <v>24</v>
      </c>
      <c r="F2" s="30">
        <f>C2/$C$70*100</f>
        <v>0</v>
      </c>
      <c r="G2" s="30">
        <f>D2/$D$70*100</f>
        <v>0</v>
      </c>
      <c r="H2" s="30">
        <f>E2/$E$70*100</f>
        <v>1.8196223525442489E-3</v>
      </c>
    </row>
    <row r="3" spans="1:16" x14ac:dyDescent="0.35">
      <c r="A3" s="16">
        <v>2</v>
      </c>
      <c r="B3" t="s">
        <v>569</v>
      </c>
      <c r="C3">
        <v>38</v>
      </c>
      <c r="D3">
        <v>45</v>
      </c>
      <c r="E3">
        <v>60</v>
      </c>
      <c r="F3" s="30">
        <f t="shared" ref="F3:F66" si="0">C3/$C$70*100</f>
        <v>3.2795317519086009E-3</v>
      </c>
      <c r="G3" s="30">
        <f t="shared" ref="G3:G66" si="1">D3/$D$70*100</f>
        <v>4.9592022957800491E-3</v>
      </c>
      <c r="H3" s="30">
        <f t="shared" ref="H3:H66" si="2">E3/$E$70*100</f>
        <v>4.5490558813606231E-3</v>
      </c>
    </row>
    <row r="4" spans="1:16" x14ac:dyDescent="0.35">
      <c r="A4" s="16">
        <v>3</v>
      </c>
      <c r="B4" t="s">
        <v>570</v>
      </c>
      <c r="C4">
        <v>676</v>
      </c>
      <c r="D4">
        <v>1035</v>
      </c>
      <c r="E4">
        <v>967</v>
      </c>
      <c r="F4" s="30">
        <f t="shared" si="0"/>
        <v>5.834114379711091E-2</v>
      </c>
      <c r="G4" s="30">
        <f t="shared" si="1"/>
        <v>0.11406165280294113</v>
      </c>
      <c r="H4" s="30">
        <f t="shared" si="2"/>
        <v>7.3315617287928708E-2</v>
      </c>
    </row>
    <row r="5" spans="1:16" x14ac:dyDescent="0.35">
      <c r="A5" s="16">
        <v>4</v>
      </c>
      <c r="B5" t="s">
        <v>571</v>
      </c>
      <c r="C5">
        <v>91</v>
      </c>
      <c r="D5">
        <v>125</v>
      </c>
      <c r="E5">
        <v>108</v>
      </c>
      <c r="F5" s="30">
        <f t="shared" si="0"/>
        <v>7.8536155111495441E-3</v>
      </c>
      <c r="G5" s="30">
        <f t="shared" si="1"/>
        <v>1.377556193272236E-2</v>
      </c>
      <c r="H5" s="30">
        <f t="shared" si="2"/>
        <v>8.188300586449121E-3</v>
      </c>
    </row>
    <row r="6" spans="1:16" x14ac:dyDescent="0.35">
      <c r="A6" s="16">
        <v>5</v>
      </c>
      <c r="B6" t="s">
        <v>572</v>
      </c>
      <c r="C6">
        <v>357</v>
      </c>
      <c r="D6">
        <v>353</v>
      </c>
      <c r="E6">
        <v>466</v>
      </c>
      <c r="F6" s="30">
        <f t="shared" si="0"/>
        <v>3.0810337774509752E-2</v>
      </c>
      <c r="G6" s="30">
        <f t="shared" si="1"/>
        <v>3.8902186898007944E-2</v>
      </c>
      <c r="H6" s="30">
        <f t="shared" si="2"/>
        <v>3.5331000678567502E-2</v>
      </c>
    </row>
    <row r="7" spans="1:16" x14ac:dyDescent="0.35">
      <c r="A7" s="16">
        <v>6</v>
      </c>
      <c r="B7" t="s">
        <v>573</v>
      </c>
      <c r="C7">
        <v>205</v>
      </c>
      <c r="D7">
        <v>187</v>
      </c>
      <c r="E7">
        <v>175</v>
      </c>
      <c r="F7" s="30">
        <f t="shared" si="0"/>
        <v>1.7692210766875348E-2</v>
      </c>
      <c r="G7" s="30">
        <f t="shared" si="1"/>
        <v>2.0608240651352649E-2</v>
      </c>
      <c r="H7" s="30">
        <f t="shared" si="2"/>
        <v>1.3268079653968484E-2</v>
      </c>
    </row>
    <row r="8" spans="1:16" x14ac:dyDescent="0.35">
      <c r="A8" s="16">
        <v>7</v>
      </c>
      <c r="B8" t="s">
        <v>574</v>
      </c>
      <c r="C8">
        <v>20</v>
      </c>
      <c r="D8">
        <v>20</v>
      </c>
      <c r="E8">
        <v>350</v>
      </c>
      <c r="F8" s="30">
        <f t="shared" si="0"/>
        <v>1.7260693431097899E-3</v>
      </c>
      <c r="G8" s="30">
        <f t="shared" si="1"/>
        <v>2.2040899092355777E-3</v>
      </c>
      <c r="H8" s="30">
        <f t="shared" si="2"/>
        <v>2.6536159307936968E-2</v>
      </c>
    </row>
    <row r="9" spans="1:16" x14ac:dyDescent="0.35">
      <c r="A9" s="16">
        <v>8</v>
      </c>
      <c r="B9" t="s">
        <v>575</v>
      </c>
      <c r="C9">
        <v>0</v>
      </c>
      <c r="D9">
        <v>139</v>
      </c>
      <c r="E9">
        <v>114</v>
      </c>
      <c r="F9" s="30">
        <f t="shared" si="0"/>
        <v>0</v>
      </c>
      <c r="G9" s="30">
        <f t="shared" si="1"/>
        <v>1.5318424869187263E-2</v>
      </c>
      <c r="H9" s="30">
        <f t="shared" si="2"/>
        <v>8.6432061745851836E-3</v>
      </c>
    </row>
    <row r="10" spans="1:16" x14ac:dyDescent="0.35">
      <c r="A10" s="16">
        <v>9</v>
      </c>
      <c r="B10" t="s">
        <v>576</v>
      </c>
      <c r="C10">
        <v>41486</v>
      </c>
      <c r="D10">
        <v>66118</v>
      </c>
      <c r="E10">
        <v>24474</v>
      </c>
      <c r="F10" s="30">
        <f t="shared" si="0"/>
        <v>3.580385638412638</v>
      </c>
      <c r="G10" s="30">
        <f t="shared" si="1"/>
        <v>7.2865008309418959</v>
      </c>
      <c r="H10" s="30">
        <f t="shared" si="2"/>
        <v>1.8555598940069979</v>
      </c>
    </row>
    <row r="11" spans="1:16" x14ac:dyDescent="0.35">
      <c r="A11" s="16">
        <v>10</v>
      </c>
      <c r="B11" t="s">
        <v>577</v>
      </c>
      <c r="C11">
        <v>8856</v>
      </c>
      <c r="D11">
        <v>9326</v>
      </c>
      <c r="E11">
        <v>5196</v>
      </c>
      <c r="F11" s="30">
        <f t="shared" si="0"/>
        <v>0.76430350512901502</v>
      </c>
      <c r="G11" s="30">
        <f t="shared" si="1"/>
        <v>1.0277671246765496</v>
      </c>
      <c r="H11" s="30">
        <f t="shared" si="2"/>
        <v>0.39394823932582995</v>
      </c>
    </row>
    <row r="12" spans="1:16" x14ac:dyDescent="0.35">
      <c r="A12" s="16">
        <v>11</v>
      </c>
      <c r="B12" t="s">
        <v>578</v>
      </c>
      <c r="C12">
        <v>136700</v>
      </c>
      <c r="D12">
        <v>12000</v>
      </c>
      <c r="E12">
        <v>0</v>
      </c>
      <c r="F12" s="30">
        <f t="shared" si="0"/>
        <v>11.797683960155416</v>
      </c>
      <c r="G12" s="30">
        <f t="shared" si="1"/>
        <v>1.3224539455413467</v>
      </c>
      <c r="H12" s="30">
        <f t="shared" si="2"/>
        <v>0</v>
      </c>
    </row>
    <row r="13" spans="1:16" x14ac:dyDescent="0.35">
      <c r="A13" s="16">
        <v>12</v>
      </c>
      <c r="B13" t="s">
        <v>579</v>
      </c>
      <c r="C13">
        <v>16984</v>
      </c>
      <c r="D13">
        <v>21511</v>
      </c>
      <c r="E13">
        <v>25278</v>
      </c>
      <c r="F13" s="30">
        <f t="shared" si="0"/>
        <v>1.4657780861688336</v>
      </c>
      <c r="G13" s="30">
        <f t="shared" si="1"/>
        <v>2.3706089018783256</v>
      </c>
      <c r="H13" s="30">
        <f t="shared" si="2"/>
        <v>1.9165172428172303</v>
      </c>
    </row>
    <row r="14" spans="1:16" x14ac:dyDescent="0.35">
      <c r="A14" s="16">
        <v>13</v>
      </c>
      <c r="B14" t="s">
        <v>580</v>
      </c>
      <c r="C14">
        <v>0</v>
      </c>
      <c r="D14">
        <v>1</v>
      </c>
      <c r="E14">
        <v>1</v>
      </c>
      <c r="F14" s="30">
        <f t="shared" si="0"/>
        <v>0</v>
      </c>
      <c r="G14" s="30">
        <f t="shared" si="1"/>
        <v>1.1020449546177888E-4</v>
      </c>
      <c r="H14" s="30">
        <f t="shared" si="2"/>
        <v>7.5817598022677042E-5</v>
      </c>
    </row>
    <row r="15" spans="1:16" x14ac:dyDescent="0.35">
      <c r="A15" s="16">
        <v>14</v>
      </c>
      <c r="B15" t="s">
        <v>581</v>
      </c>
      <c r="C15">
        <v>216360</v>
      </c>
      <c r="D15">
        <v>318380</v>
      </c>
      <c r="E15">
        <v>427085</v>
      </c>
      <c r="F15" s="30">
        <f t="shared" si="0"/>
        <v>18.672618153761707</v>
      </c>
      <c r="G15" s="30">
        <f t="shared" si="1"/>
        <v>35.086907265121155</v>
      </c>
      <c r="H15" s="30">
        <f t="shared" si="2"/>
        <v>32.380558851515026</v>
      </c>
    </row>
    <row r="16" spans="1:16" x14ac:dyDescent="0.35">
      <c r="A16" s="16">
        <v>15</v>
      </c>
      <c r="B16" t="s">
        <v>582</v>
      </c>
      <c r="C16">
        <v>0</v>
      </c>
      <c r="D16">
        <v>3</v>
      </c>
      <c r="E16">
        <v>3</v>
      </c>
      <c r="F16" s="30">
        <f t="shared" si="0"/>
        <v>0</v>
      </c>
      <c r="G16" s="30">
        <f t="shared" si="1"/>
        <v>3.3061348638533663E-4</v>
      </c>
      <c r="H16" s="30">
        <f t="shared" si="2"/>
        <v>2.2745279406803111E-4</v>
      </c>
      <c r="P16" s="31"/>
    </row>
    <row r="17" spans="1:8" x14ac:dyDescent="0.35">
      <c r="A17" s="16">
        <v>16</v>
      </c>
      <c r="B17" t="s">
        <v>583</v>
      </c>
      <c r="C17">
        <v>199182</v>
      </c>
      <c r="D17">
        <v>268923</v>
      </c>
      <c r="E17">
        <v>351106</v>
      </c>
      <c r="F17" s="30">
        <f t="shared" si="0"/>
        <v>17.190097194964711</v>
      </c>
      <c r="G17" s="30">
        <f t="shared" si="1"/>
        <v>29.636523533067958</v>
      </c>
      <c r="H17" s="30">
        <f t="shared" si="2"/>
        <v>26.62001357135005</v>
      </c>
    </row>
    <row r="18" spans="1:8" x14ac:dyDescent="0.35">
      <c r="A18" s="16">
        <v>17</v>
      </c>
      <c r="B18" t="s">
        <v>584</v>
      </c>
      <c r="C18">
        <v>430</v>
      </c>
      <c r="D18">
        <v>0</v>
      </c>
      <c r="E18">
        <v>0</v>
      </c>
      <c r="F18" s="30">
        <f t="shared" si="0"/>
        <v>3.711049087686049E-2</v>
      </c>
      <c r="G18" s="30">
        <f t="shared" si="1"/>
        <v>0</v>
      </c>
      <c r="H18" s="30">
        <f t="shared" si="2"/>
        <v>0</v>
      </c>
    </row>
    <row r="19" spans="1:8" x14ac:dyDescent="0.35">
      <c r="A19" s="16">
        <v>18</v>
      </c>
      <c r="B19" t="s">
        <v>585</v>
      </c>
      <c r="C19">
        <v>0</v>
      </c>
      <c r="D19">
        <v>0</v>
      </c>
      <c r="E19">
        <v>1049</v>
      </c>
      <c r="F19" s="30">
        <f t="shared" si="0"/>
        <v>0</v>
      </c>
      <c r="G19" s="30">
        <f t="shared" si="1"/>
        <v>0</v>
      </c>
      <c r="H19" s="30">
        <f t="shared" si="2"/>
        <v>7.9532660325788221E-2</v>
      </c>
    </row>
    <row r="20" spans="1:8" x14ac:dyDescent="0.35">
      <c r="A20" s="16">
        <v>19</v>
      </c>
      <c r="B20" t="s">
        <v>586</v>
      </c>
      <c r="C20">
        <v>1750</v>
      </c>
      <c r="D20">
        <v>1063</v>
      </c>
      <c r="E20">
        <v>1020</v>
      </c>
      <c r="F20" s="30">
        <f t="shared" si="0"/>
        <v>0.15103106752210663</v>
      </c>
      <c r="G20" s="30">
        <f t="shared" si="1"/>
        <v>0.11714737867587095</v>
      </c>
      <c r="H20" s="30">
        <f t="shared" si="2"/>
        <v>7.733394998313059E-2</v>
      </c>
    </row>
    <row r="21" spans="1:8" x14ac:dyDescent="0.35">
      <c r="A21" s="16">
        <v>20</v>
      </c>
      <c r="B21" t="s">
        <v>587</v>
      </c>
      <c r="C21">
        <v>229</v>
      </c>
      <c r="D21">
        <v>93</v>
      </c>
      <c r="E21">
        <v>0</v>
      </c>
      <c r="F21" s="30">
        <f t="shared" si="0"/>
        <v>1.9763493978607095E-2</v>
      </c>
      <c r="G21" s="30">
        <f t="shared" si="1"/>
        <v>1.0249018077945435E-2</v>
      </c>
      <c r="H21" s="30">
        <f t="shared" si="2"/>
        <v>0</v>
      </c>
    </row>
    <row r="22" spans="1:8" x14ac:dyDescent="0.35">
      <c r="A22" s="16">
        <v>21</v>
      </c>
      <c r="B22" t="s">
        <v>588</v>
      </c>
      <c r="C22">
        <v>1530</v>
      </c>
      <c r="D22">
        <v>1825</v>
      </c>
      <c r="E22">
        <v>2058</v>
      </c>
      <c r="F22" s="30">
        <f t="shared" si="0"/>
        <v>0.13204430474789894</v>
      </c>
      <c r="G22" s="30">
        <f t="shared" si="1"/>
        <v>0.20112320421774646</v>
      </c>
      <c r="H22" s="30">
        <f t="shared" si="2"/>
        <v>0.15603261673066937</v>
      </c>
    </row>
    <row r="23" spans="1:8" x14ac:dyDescent="0.35">
      <c r="A23" s="16">
        <v>22</v>
      </c>
      <c r="B23" t="s">
        <v>589</v>
      </c>
      <c r="C23">
        <v>11636</v>
      </c>
      <c r="D23">
        <v>3213</v>
      </c>
      <c r="E23">
        <v>7858</v>
      </c>
      <c r="F23" s="30">
        <f t="shared" si="0"/>
        <v>1.0042271438212758</v>
      </c>
      <c r="G23" s="30">
        <f t="shared" si="1"/>
        <v>0.3540870439186955</v>
      </c>
      <c r="H23" s="30">
        <f t="shared" si="2"/>
        <v>0.59577468526219624</v>
      </c>
    </row>
    <row r="24" spans="1:8" x14ac:dyDescent="0.35">
      <c r="A24" s="16">
        <v>23</v>
      </c>
      <c r="B24" t="s">
        <v>590</v>
      </c>
      <c r="C24">
        <v>948</v>
      </c>
      <c r="D24">
        <v>714</v>
      </c>
      <c r="E24">
        <v>580</v>
      </c>
      <c r="F24" s="30">
        <f t="shared" si="0"/>
        <v>8.1815686863404041E-2</v>
      </c>
      <c r="G24" s="30">
        <f t="shared" si="1"/>
        <v>7.8686009759710115E-2</v>
      </c>
      <c r="H24" s="30">
        <f t="shared" si="2"/>
        <v>4.3974206853152682E-2</v>
      </c>
    </row>
    <row r="25" spans="1:8" x14ac:dyDescent="0.35">
      <c r="A25" s="16">
        <v>24</v>
      </c>
      <c r="B25" t="s">
        <v>591</v>
      </c>
      <c r="C25">
        <v>150</v>
      </c>
      <c r="D25">
        <v>2500</v>
      </c>
      <c r="E25">
        <v>5500</v>
      </c>
      <c r="F25" s="30">
        <f t="shared" si="0"/>
        <v>1.2945520073323426E-2</v>
      </c>
      <c r="G25" s="30">
        <f t="shared" si="1"/>
        <v>0.27551123865444721</v>
      </c>
      <c r="H25" s="30">
        <f t="shared" si="2"/>
        <v>0.41699678912472377</v>
      </c>
    </row>
    <row r="26" spans="1:8" x14ac:dyDescent="0.35">
      <c r="A26" s="16">
        <v>25</v>
      </c>
      <c r="B26" t="s">
        <v>592</v>
      </c>
      <c r="C26">
        <v>1241</v>
      </c>
      <c r="D26">
        <v>1572</v>
      </c>
      <c r="E26">
        <v>1658</v>
      </c>
      <c r="F26" s="30">
        <f t="shared" si="0"/>
        <v>0.10710260273996247</v>
      </c>
      <c r="G26" s="30">
        <f t="shared" si="1"/>
        <v>0.17324146686591638</v>
      </c>
      <c r="H26" s="30">
        <f t="shared" si="2"/>
        <v>0.12570557752159853</v>
      </c>
    </row>
    <row r="27" spans="1:8" x14ac:dyDescent="0.35">
      <c r="A27" s="16">
        <v>26</v>
      </c>
      <c r="B27" t="s">
        <v>593</v>
      </c>
      <c r="C27">
        <v>0</v>
      </c>
      <c r="D27">
        <v>1395</v>
      </c>
      <c r="E27">
        <v>4352</v>
      </c>
      <c r="F27" s="30">
        <f t="shared" si="0"/>
        <v>0</v>
      </c>
      <c r="G27" s="30">
        <f t="shared" si="1"/>
        <v>0.15373527116918154</v>
      </c>
      <c r="H27" s="30">
        <f t="shared" si="2"/>
        <v>0.32995818659469051</v>
      </c>
    </row>
    <row r="28" spans="1:8" x14ac:dyDescent="0.35">
      <c r="A28" s="16">
        <v>27</v>
      </c>
      <c r="B28" t="s">
        <v>594</v>
      </c>
      <c r="C28">
        <v>97613</v>
      </c>
      <c r="D28">
        <v>96000</v>
      </c>
      <c r="E28">
        <v>124829</v>
      </c>
      <c r="F28" s="30">
        <f t="shared" si="0"/>
        <v>8.424340339448797</v>
      </c>
      <c r="G28" s="30">
        <f t="shared" si="1"/>
        <v>10.579631564330773</v>
      </c>
      <c r="H28" s="30">
        <f t="shared" si="2"/>
        <v>9.4642349435727517</v>
      </c>
    </row>
    <row r="29" spans="1:8" x14ac:dyDescent="0.35">
      <c r="A29" s="16">
        <v>28</v>
      </c>
      <c r="B29" t="s">
        <v>595</v>
      </c>
      <c r="C29">
        <v>0</v>
      </c>
      <c r="D29">
        <v>0</v>
      </c>
      <c r="E29">
        <v>1</v>
      </c>
      <c r="F29" s="30">
        <f t="shared" si="0"/>
        <v>0</v>
      </c>
      <c r="G29" s="30">
        <f t="shared" si="1"/>
        <v>0</v>
      </c>
      <c r="H29" s="30">
        <f t="shared" si="2"/>
        <v>7.5817598022677042E-5</v>
      </c>
    </row>
    <row r="30" spans="1:8" x14ac:dyDescent="0.35">
      <c r="A30" s="16">
        <v>29</v>
      </c>
      <c r="B30" t="s">
        <v>596</v>
      </c>
      <c r="C30">
        <v>21</v>
      </c>
      <c r="D30">
        <v>15</v>
      </c>
      <c r="E30">
        <v>8</v>
      </c>
      <c r="F30" s="30">
        <f t="shared" si="0"/>
        <v>1.8123728102652798E-3</v>
      </c>
      <c r="G30" s="30">
        <f t="shared" si="1"/>
        <v>1.6530674319266833E-3</v>
      </c>
      <c r="H30" s="30">
        <f t="shared" si="2"/>
        <v>6.0654078418141634E-4</v>
      </c>
    </row>
    <row r="31" spans="1:8" x14ac:dyDescent="0.35">
      <c r="A31" s="16">
        <v>30</v>
      </c>
      <c r="B31" t="s">
        <v>597</v>
      </c>
      <c r="C31">
        <v>2023</v>
      </c>
      <c r="D31">
        <v>1740</v>
      </c>
      <c r="E31">
        <v>3450</v>
      </c>
      <c r="F31" s="30">
        <f t="shared" si="0"/>
        <v>0.17459191405555527</v>
      </c>
      <c r="G31" s="30">
        <f t="shared" si="1"/>
        <v>0.19175582210349526</v>
      </c>
      <c r="H31" s="30">
        <f t="shared" si="2"/>
        <v>0.26157071317823583</v>
      </c>
    </row>
    <row r="32" spans="1:8" x14ac:dyDescent="0.35">
      <c r="A32" s="16">
        <v>31</v>
      </c>
      <c r="B32" t="s">
        <v>598</v>
      </c>
      <c r="C32">
        <v>8969</v>
      </c>
      <c r="D32">
        <v>11197</v>
      </c>
      <c r="E32">
        <v>16254</v>
      </c>
      <c r="F32" s="30">
        <f t="shared" si="0"/>
        <v>0.77405579691758541</v>
      </c>
      <c r="G32" s="30">
        <f t="shared" si="1"/>
        <v>1.2339597356855381</v>
      </c>
      <c r="H32" s="30">
        <f t="shared" si="2"/>
        <v>1.2323392382605927</v>
      </c>
    </row>
    <row r="33" spans="1:8" x14ac:dyDescent="0.35">
      <c r="A33" s="16">
        <v>32</v>
      </c>
      <c r="B33" t="s">
        <v>599</v>
      </c>
      <c r="C33">
        <v>401</v>
      </c>
      <c r="D33">
        <v>413</v>
      </c>
      <c r="E33">
        <v>420</v>
      </c>
      <c r="F33" s="30">
        <f t="shared" si="0"/>
        <v>3.4607690329351293E-2</v>
      </c>
      <c r="G33" s="30">
        <f t="shared" si="1"/>
        <v>4.5514456625714676E-2</v>
      </c>
      <c r="H33" s="30">
        <f t="shared" si="2"/>
        <v>3.1843391169524358E-2</v>
      </c>
    </row>
    <row r="34" spans="1:8" x14ac:dyDescent="0.35">
      <c r="A34" s="16">
        <v>33</v>
      </c>
      <c r="B34" t="s">
        <v>600</v>
      </c>
      <c r="C34">
        <v>0</v>
      </c>
      <c r="D34">
        <v>2</v>
      </c>
      <c r="E34">
        <v>7</v>
      </c>
      <c r="F34" s="30">
        <f t="shared" si="0"/>
        <v>0</v>
      </c>
      <c r="G34" s="30">
        <f t="shared" si="1"/>
        <v>2.2040899092355776E-4</v>
      </c>
      <c r="H34" s="30">
        <f t="shared" si="2"/>
        <v>5.3072318615873934E-4</v>
      </c>
    </row>
    <row r="35" spans="1:8" x14ac:dyDescent="0.35">
      <c r="A35" s="16">
        <v>34</v>
      </c>
      <c r="B35" t="s">
        <v>601</v>
      </c>
      <c r="C35">
        <v>5</v>
      </c>
      <c r="D35">
        <v>21</v>
      </c>
      <c r="E35">
        <v>39</v>
      </c>
      <c r="F35" s="30">
        <f t="shared" si="0"/>
        <v>4.3151733577744748E-4</v>
      </c>
      <c r="G35" s="30">
        <f t="shared" si="1"/>
        <v>2.3142944046973561E-3</v>
      </c>
      <c r="H35" s="30">
        <f t="shared" si="2"/>
        <v>2.9568863228844047E-3</v>
      </c>
    </row>
    <row r="36" spans="1:8" x14ac:dyDescent="0.35">
      <c r="A36" s="16">
        <v>35</v>
      </c>
      <c r="B36" t="s">
        <v>602</v>
      </c>
      <c r="C36">
        <v>2</v>
      </c>
      <c r="D36">
        <v>2</v>
      </c>
      <c r="E36">
        <v>1</v>
      </c>
      <c r="F36" s="30">
        <f t="shared" si="0"/>
        <v>1.7260693431097901E-4</v>
      </c>
      <c r="G36" s="30">
        <f t="shared" si="1"/>
        <v>2.2040899092355776E-4</v>
      </c>
      <c r="H36" s="30">
        <f t="shared" si="2"/>
        <v>7.5817598022677042E-5</v>
      </c>
    </row>
    <row r="37" spans="1:8" x14ac:dyDescent="0.35">
      <c r="A37" s="16">
        <v>36</v>
      </c>
      <c r="B37" t="s">
        <v>603</v>
      </c>
      <c r="C37">
        <v>5300</v>
      </c>
      <c r="D37">
        <v>4855</v>
      </c>
      <c r="E37">
        <v>9785</v>
      </c>
      <c r="F37" s="30">
        <f t="shared" si="0"/>
        <v>0.45740837592409439</v>
      </c>
      <c r="G37" s="30">
        <f t="shared" si="1"/>
        <v>0.53504282546693649</v>
      </c>
      <c r="H37" s="30">
        <f t="shared" si="2"/>
        <v>0.74187519665189483</v>
      </c>
    </row>
    <row r="38" spans="1:8" x14ac:dyDescent="0.35">
      <c r="A38" s="16">
        <v>37</v>
      </c>
      <c r="B38" t="s">
        <v>604</v>
      </c>
      <c r="C38">
        <v>176</v>
      </c>
      <c r="D38">
        <v>197</v>
      </c>
      <c r="E38">
        <v>450</v>
      </c>
      <c r="F38" s="30">
        <f t="shared" si="0"/>
        <v>1.5189410219366154E-2</v>
      </c>
      <c r="G38" s="30">
        <f t="shared" si="1"/>
        <v>2.1710285605970436E-2</v>
      </c>
      <c r="H38" s="30">
        <f t="shared" si="2"/>
        <v>3.4117919110204668E-2</v>
      </c>
    </row>
    <row r="39" spans="1:8" x14ac:dyDescent="0.35">
      <c r="A39" s="16">
        <v>38</v>
      </c>
      <c r="B39" t="s">
        <v>605</v>
      </c>
      <c r="C39">
        <v>2995</v>
      </c>
      <c r="D39">
        <v>2606</v>
      </c>
      <c r="E39">
        <v>2536</v>
      </c>
      <c r="F39" s="30">
        <f t="shared" si="0"/>
        <v>0.25847888413069109</v>
      </c>
      <c r="G39" s="30">
        <f t="shared" si="1"/>
        <v>0.28719291517339574</v>
      </c>
      <c r="H39" s="30">
        <f t="shared" si="2"/>
        <v>0.19227342858550897</v>
      </c>
    </row>
    <row r="40" spans="1:8" x14ac:dyDescent="0.35">
      <c r="A40" s="16">
        <v>39</v>
      </c>
      <c r="B40" t="s">
        <v>606</v>
      </c>
      <c r="C40">
        <v>850</v>
      </c>
      <c r="D40">
        <v>3278</v>
      </c>
      <c r="E40">
        <v>3221</v>
      </c>
      <c r="F40" s="30">
        <f t="shared" si="0"/>
        <v>7.3357947082166072E-2</v>
      </c>
      <c r="G40" s="30">
        <f t="shared" si="1"/>
        <v>0.36125033612371116</v>
      </c>
      <c r="H40" s="30">
        <f t="shared" si="2"/>
        <v>0.24420848323104274</v>
      </c>
    </row>
    <row r="41" spans="1:8" x14ac:dyDescent="0.35">
      <c r="A41" s="16">
        <v>40</v>
      </c>
      <c r="B41" t="s">
        <v>607</v>
      </c>
      <c r="C41">
        <v>32</v>
      </c>
      <c r="D41">
        <v>30</v>
      </c>
      <c r="E41">
        <v>20</v>
      </c>
      <c r="F41" s="30">
        <f t="shared" si="0"/>
        <v>2.7617109489756642E-3</v>
      </c>
      <c r="G41" s="30">
        <f t="shared" si="1"/>
        <v>3.3061348638533665E-3</v>
      </c>
      <c r="H41" s="30">
        <f t="shared" si="2"/>
        <v>1.5163519604535409E-3</v>
      </c>
    </row>
    <row r="42" spans="1:8" x14ac:dyDescent="0.35">
      <c r="A42" s="16">
        <v>41</v>
      </c>
      <c r="B42" t="s">
        <v>608</v>
      </c>
      <c r="C42">
        <v>700</v>
      </c>
      <c r="D42">
        <v>700</v>
      </c>
      <c r="E42">
        <v>700</v>
      </c>
      <c r="F42" s="30">
        <f t="shared" si="0"/>
        <v>6.0412427008842647E-2</v>
      </c>
      <c r="G42" s="30">
        <f t="shared" si="1"/>
        <v>7.7143146823245204E-2</v>
      </c>
      <c r="H42" s="30">
        <f t="shared" si="2"/>
        <v>5.3072318615873935E-2</v>
      </c>
    </row>
    <row r="43" spans="1:8" x14ac:dyDescent="0.35">
      <c r="A43" s="16">
        <v>42</v>
      </c>
      <c r="B43" t="s">
        <v>609</v>
      </c>
      <c r="C43">
        <v>26</v>
      </c>
      <c r="D43">
        <v>26</v>
      </c>
      <c r="E43">
        <v>26</v>
      </c>
      <c r="F43" s="30">
        <f t="shared" si="0"/>
        <v>2.2438901460427271E-3</v>
      </c>
      <c r="G43" s="30">
        <f t="shared" si="1"/>
        <v>2.8653168820062507E-3</v>
      </c>
      <c r="H43" s="30">
        <f t="shared" si="2"/>
        <v>1.9712575485896031E-3</v>
      </c>
    </row>
    <row r="44" spans="1:8" x14ac:dyDescent="0.35">
      <c r="A44" s="16">
        <v>43</v>
      </c>
      <c r="B44" t="s">
        <v>610</v>
      </c>
      <c r="C44">
        <v>54</v>
      </c>
      <c r="D44">
        <v>84</v>
      </c>
      <c r="E44">
        <v>153</v>
      </c>
      <c r="F44" s="30">
        <f t="shared" si="0"/>
        <v>4.6603872263964331E-3</v>
      </c>
      <c r="G44" s="30">
        <f t="shared" si="1"/>
        <v>9.2571776187894243E-3</v>
      </c>
      <c r="H44" s="30">
        <f t="shared" si="2"/>
        <v>1.1600092497469587E-2</v>
      </c>
    </row>
    <row r="45" spans="1:8" x14ac:dyDescent="0.35">
      <c r="A45" s="16">
        <v>44</v>
      </c>
      <c r="B45" t="s">
        <v>611</v>
      </c>
      <c r="C45">
        <v>3577</v>
      </c>
      <c r="D45">
        <v>3569</v>
      </c>
      <c r="E45">
        <v>4412</v>
      </c>
      <c r="F45" s="30">
        <f t="shared" si="0"/>
        <v>0.30870750201518599</v>
      </c>
      <c r="G45" s="30">
        <f t="shared" si="1"/>
        <v>0.39331984430308875</v>
      </c>
      <c r="H45" s="30">
        <f t="shared" si="2"/>
        <v>0.33450724247605113</v>
      </c>
    </row>
    <row r="46" spans="1:8" x14ac:dyDescent="0.35">
      <c r="A46" s="16">
        <v>45</v>
      </c>
      <c r="B46" t="s">
        <v>612</v>
      </c>
      <c r="C46">
        <v>15162</v>
      </c>
      <c r="D46">
        <v>14728</v>
      </c>
      <c r="E46">
        <v>16500</v>
      </c>
      <c r="F46" s="30">
        <f t="shared" si="0"/>
        <v>1.308533169011532</v>
      </c>
      <c r="G46" s="30">
        <f t="shared" si="1"/>
        <v>1.6230918091610793</v>
      </c>
      <c r="H46" s="30">
        <f t="shared" si="2"/>
        <v>1.2509903673741714</v>
      </c>
    </row>
    <row r="47" spans="1:8" x14ac:dyDescent="0.35">
      <c r="A47" s="16">
        <v>46</v>
      </c>
      <c r="B47" t="s">
        <v>613</v>
      </c>
      <c r="C47">
        <v>1222</v>
      </c>
      <c r="D47">
        <v>1428</v>
      </c>
      <c r="E47">
        <v>1400</v>
      </c>
      <c r="F47" s="30">
        <f t="shared" si="0"/>
        <v>0.10546283686400817</v>
      </c>
      <c r="G47" s="30">
        <f t="shared" si="1"/>
        <v>0.15737201951942023</v>
      </c>
      <c r="H47" s="30">
        <f t="shared" si="2"/>
        <v>0.10614463723174787</v>
      </c>
    </row>
    <row r="48" spans="1:8" x14ac:dyDescent="0.35">
      <c r="A48" s="16">
        <v>47</v>
      </c>
      <c r="B48" t="s">
        <v>614</v>
      </c>
      <c r="C48">
        <v>36</v>
      </c>
      <c r="D48">
        <v>130</v>
      </c>
      <c r="E48">
        <v>157</v>
      </c>
      <c r="F48" s="30">
        <f t="shared" si="0"/>
        <v>3.106924817597622E-3</v>
      </c>
      <c r="G48" s="30">
        <f t="shared" si="1"/>
        <v>1.4326584410031255E-2</v>
      </c>
      <c r="H48" s="30">
        <f t="shared" si="2"/>
        <v>1.1903362889560296E-2</v>
      </c>
    </row>
    <row r="49" spans="1:8" x14ac:dyDescent="0.35">
      <c r="A49" s="16">
        <v>48</v>
      </c>
      <c r="B49" t="s">
        <v>615</v>
      </c>
      <c r="C49">
        <v>1219</v>
      </c>
      <c r="D49">
        <v>1126</v>
      </c>
      <c r="E49">
        <v>937</v>
      </c>
      <c r="F49" s="30">
        <f t="shared" si="0"/>
        <v>0.10520392646254172</v>
      </c>
      <c r="G49" s="30">
        <f t="shared" si="1"/>
        <v>0.12409026188996303</v>
      </c>
      <c r="H49" s="30">
        <f t="shared" si="2"/>
        <v>7.1041089347248385E-2</v>
      </c>
    </row>
    <row r="50" spans="1:8" x14ac:dyDescent="0.35">
      <c r="A50" s="16">
        <v>49</v>
      </c>
      <c r="B50" t="s">
        <v>616</v>
      </c>
      <c r="C50">
        <v>1069</v>
      </c>
      <c r="D50">
        <v>1054</v>
      </c>
      <c r="E50">
        <v>931</v>
      </c>
      <c r="F50" s="30">
        <f t="shared" si="0"/>
        <v>9.2258406389218284E-2</v>
      </c>
      <c r="G50" s="30">
        <f t="shared" si="1"/>
        <v>0.11615553821671494</v>
      </c>
      <c r="H50" s="30">
        <f t="shared" si="2"/>
        <v>7.0586183759112325E-2</v>
      </c>
    </row>
    <row r="51" spans="1:8" x14ac:dyDescent="0.35">
      <c r="A51" s="16">
        <v>50</v>
      </c>
      <c r="B51" t="s">
        <v>617</v>
      </c>
      <c r="C51">
        <v>325421</v>
      </c>
      <c r="D51">
        <v>0</v>
      </c>
      <c r="E51">
        <v>247325</v>
      </c>
      <c r="F51" s="30">
        <f t="shared" si="0"/>
        <v>28.084960585206549</v>
      </c>
      <c r="G51" s="30">
        <f t="shared" si="1"/>
        <v>0</v>
      </c>
      <c r="H51" s="30">
        <f t="shared" si="2"/>
        <v>18.751587430958601</v>
      </c>
    </row>
    <row r="52" spans="1:8" x14ac:dyDescent="0.35">
      <c r="A52" s="16">
        <v>51</v>
      </c>
      <c r="B52" t="s">
        <v>618</v>
      </c>
      <c r="C52">
        <v>3</v>
      </c>
      <c r="D52">
        <v>4</v>
      </c>
      <c r="E52">
        <v>7</v>
      </c>
      <c r="F52" s="30">
        <f t="shared" si="0"/>
        <v>2.5891040146646852E-4</v>
      </c>
      <c r="G52" s="30">
        <f t="shared" si="1"/>
        <v>4.4081798184711552E-4</v>
      </c>
      <c r="H52" s="30">
        <f t="shared" si="2"/>
        <v>5.3072318615873934E-4</v>
      </c>
    </row>
    <row r="53" spans="1:8" x14ac:dyDescent="0.35">
      <c r="A53" s="16">
        <v>52</v>
      </c>
      <c r="B53" t="s">
        <v>619</v>
      </c>
      <c r="C53">
        <v>7</v>
      </c>
      <c r="D53">
        <v>5</v>
      </c>
      <c r="E53">
        <v>5</v>
      </c>
      <c r="F53" s="30">
        <f t="shared" si="0"/>
        <v>6.041242700884265E-4</v>
      </c>
      <c r="G53" s="30">
        <f t="shared" si="1"/>
        <v>5.5102247730889442E-4</v>
      </c>
      <c r="H53" s="30">
        <f t="shared" si="2"/>
        <v>3.7908799011338523E-4</v>
      </c>
    </row>
    <row r="54" spans="1:8" x14ac:dyDescent="0.35">
      <c r="A54" s="16">
        <v>53</v>
      </c>
      <c r="B54" t="s">
        <v>620</v>
      </c>
      <c r="C54">
        <v>18095</v>
      </c>
      <c r="D54">
        <v>23515</v>
      </c>
      <c r="E54">
        <v>11987</v>
      </c>
      <c r="F54" s="30">
        <f t="shared" si="0"/>
        <v>1.5616612381785826</v>
      </c>
      <c r="G54" s="30">
        <f t="shared" si="1"/>
        <v>2.5914587107837304</v>
      </c>
      <c r="H54" s="30">
        <f t="shared" si="2"/>
        <v>0.90882554749782984</v>
      </c>
    </row>
    <row r="55" spans="1:8" x14ac:dyDescent="0.35">
      <c r="A55" s="16">
        <v>54</v>
      </c>
      <c r="B55" t="s">
        <v>621</v>
      </c>
      <c r="C55">
        <v>574</v>
      </c>
      <c r="D55">
        <v>574</v>
      </c>
      <c r="E55">
        <v>509</v>
      </c>
      <c r="F55" s="30">
        <f t="shared" si="0"/>
        <v>4.9538190147250971E-2</v>
      </c>
      <c r="G55" s="30">
        <f t="shared" si="1"/>
        <v>6.3257380395061069E-2</v>
      </c>
      <c r="H55" s="30">
        <f t="shared" si="2"/>
        <v>3.8591157393542616E-2</v>
      </c>
    </row>
    <row r="56" spans="1:8" x14ac:dyDescent="0.35">
      <c r="A56" s="16">
        <v>55</v>
      </c>
      <c r="B56" t="s">
        <v>622</v>
      </c>
      <c r="C56">
        <v>4500</v>
      </c>
      <c r="D56">
        <v>5000</v>
      </c>
      <c r="E56">
        <v>5000</v>
      </c>
      <c r="F56" s="30">
        <f t="shared" si="0"/>
        <v>0.38836560219970273</v>
      </c>
      <c r="G56" s="30">
        <f t="shared" si="1"/>
        <v>0.55102247730889442</v>
      </c>
      <c r="H56" s="30">
        <f t="shared" si="2"/>
        <v>0.37908799011338523</v>
      </c>
    </row>
    <row r="57" spans="1:8" x14ac:dyDescent="0.35">
      <c r="A57" s="16">
        <v>56</v>
      </c>
      <c r="B57" t="s">
        <v>623</v>
      </c>
      <c r="C57">
        <v>406</v>
      </c>
      <c r="D57">
        <v>0</v>
      </c>
      <c r="E57">
        <v>0</v>
      </c>
      <c r="F57" s="30">
        <f t="shared" si="0"/>
        <v>3.503920766512874E-2</v>
      </c>
      <c r="G57" s="30">
        <f t="shared" si="1"/>
        <v>0</v>
      </c>
      <c r="H57" s="30">
        <f t="shared" si="2"/>
        <v>0</v>
      </c>
    </row>
    <row r="58" spans="1:8" x14ac:dyDescent="0.35">
      <c r="A58" s="16">
        <v>57</v>
      </c>
      <c r="B58" t="s">
        <v>624</v>
      </c>
      <c r="C58">
        <v>17242</v>
      </c>
      <c r="D58">
        <v>9665</v>
      </c>
      <c r="E58">
        <v>0</v>
      </c>
      <c r="F58" s="30">
        <f t="shared" si="0"/>
        <v>1.4880443806949502</v>
      </c>
      <c r="G58" s="30">
        <f t="shared" si="1"/>
        <v>1.0651264486380929</v>
      </c>
      <c r="H58" s="30">
        <f t="shared" si="2"/>
        <v>0</v>
      </c>
    </row>
    <row r="59" spans="1:8" x14ac:dyDescent="0.35">
      <c r="A59" s="16">
        <v>58</v>
      </c>
      <c r="B59" t="s">
        <v>625</v>
      </c>
      <c r="C59">
        <v>1054</v>
      </c>
      <c r="D59">
        <v>1450</v>
      </c>
      <c r="E59">
        <v>0</v>
      </c>
      <c r="F59" s="30">
        <f t="shared" si="0"/>
        <v>9.0963854381885936E-2</v>
      </c>
      <c r="G59" s="30">
        <f t="shared" si="1"/>
        <v>0.15979651841957937</v>
      </c>
      <c r="H59" s="30">
        <f t="shared" si="2"/>
        <v>0</v>
      </c>
    </row>
    <row r="60" spans="1:8" x14ac:dyDescent="0.35">
      <c r="A60" s="16">
        <v>59</v>
      </c>
      <c r="B60" t="s">
        <v>626</v>
      </c>
      <c r="C60">
        <v>1876</v>
      </c>
      <c r="D60">
        <v>2100</v>
      </c>
      <c r="E60">
        <v>441</v>
      </c>
      <c r="F60" s="30">
        <f t="shared" si="0"/>
        <v>0.16190530438369832</v>
      </c>
      <c r="G60" s="30">
        <f t="shared" si="1"/>
        <v>0.23142944046973565</v>
      </c>
      <c r="H60" s="30">
        <f t="shared" si="2"/>
        <v>3.343556072800058E-2</v>
      </c>
    </row>
    <row r="61" spans="1:8" x14ac:dyDescent="0.35">
      <c r="A61" s="16">
        <v>60</v>
      </c>
      <c r="B61" t="s">
        <v>627</v>
      </c>
      <c r="C61">
        <v>876</v>
      </c>
      <c r="D61">
        <v>1447</v>
      </c>
      <c r="E61">
        <v>2802</v>
      </c>
      <c r="F61" s="30">
        <f t="shared" si="0"/>
        <v>7.5601837228208804E-2</v>
      </c>
      <c r="G61" s="30">
        <f t="shared" si="1"/>
        <v>0.15946590493319404</v>
      </c>
      <c r="H61" s="30">
        <f t="shared" si="2"/>
        <v>0.21244090965954107</v>
      </c>
    </row>
    <row r="62" spans="1:8" x14ac:dyDescent="0.35">
      <c r="A62" s="16">
        <v>61</v>
      </c>
      <c r="B62" t="s">
        <v>628</v>
      </c>
      <c r="C62">
        <v>86</v>
      </c>
      <c r="D62">
        <v>126</v>
      </c>
      <c r="E62">
        <v>157</v>
      </c>
      <c r="F62" s="30">
        <f t="shared" si="0"/>
        <v>7.4220981753720982E-3</v>
      </c>
      <c r="G62" s="30">
        <f t="shared" si="1"/>
        <v>1.3885766428184138E-2</v>
      </c>
      <c r="H62" s="30">
        <f t="shared" si="2"/>
        <v>1.1903362889560296E-2</v>
      </c>
    </row>
    <row r="63" spans="1:8" x14ac:dyDescent="0.35">
      <c r="A63" s="16">
        <v>62</v>
      </c>
      <c r="B63" t="s">
        <v>629</v>
      </c>
      <c r="C63">
        <v>700</v>
      </c>
      <c r="D63">
        <v>847</v>
      </c>
      <c r="E63">
        <v>1141</v>
      </c>
      <c r="F63" s="30">
        <f t="shared" si="0"/>
        <v>6.0412427008842647E-2</v>
      </c>
      <c r="G63" s="30">
        <f t="shared" si="1"/>
        <v>9.3343207656126706E-2</v>
      </c>
      <c r="H63" s="30">
        <f t="shared" si="2"/>
        <v>8.6507879343874508E-2</v>
      </c>
    </row>
    <row r="64" spans="1:8" x14ac:dyDescent="0.35">
      <c r="A64" s="16">
        <v>63</v>
      </c>
      <c r="B64" t="s">
        <v>630</v>
      </c>
      <c r="C64">
        <v>0</v>
      </c>
      <c r="D64">
        <v>63</v>
      </c>
      <c r="E64">
        <v>0</v>
      </c>
      <c r="F64" s="30">
        <f t="shared" si="0"/>
        <v>0</v>
      </c>
      <c r="G64" s="30">
        <f t="shared" si="1"/>
        <v>6.9428832140920691E-3</v>
      </c>
      <c r="H64" s="30">
        <f t="shared" si="2"/>
        <v>0</v>
      </c>
    </row>
    <row r="65" spans="1:8" x14ac:dyDescent="0.35">
      <c r="A65" s="16">
        <v>64</v>
      </c>
      <c r="B65" t="s">
        <v>631</v>
      </c>
      <c r="C65">
        <v>100</v>
      </c>
      <c r="D65">
        <v>124</v>
      </c>
      <c r="E65">
        <v>130</v>
      </c>
      <c r="F65" s="30">
        <f t="shared" si="0"/>
        <v>8.6303467155489505E-3</v>
      </c>
      <c r="G65" s="30">
        <f t="shared" si="1"/>
        <v>1.366535743726058E-2</v>
      </c>
      <c r="H65" s="30">
        <f t="shared" si="2"/>
        <v>9.8562877429480156E-3</v>
      </c>
    </row>
    <row r="66" spans="1:8" x14ac:dyDescent="0.35">
      <c r="A66" s="16">
        <v>65</v>
      </c>
      <c r="B66" t="s">
        <v>632</v>
      </c>
      <c r="C66">
        <v>220</v>
      </c>
      <c r="D66">
        <v>220</v>
      </c>
      <c r="E66">
        <v>220</v>
      </c>
      <c r="F66" s="30">
        <f t="shared" si="0"/>
        <v>1.8986762774207692E-2</v>
      </c>
      <c r="G66" s="30">
        <f t="shared" si="1"/>
        <v>2.4244989001591354E-2</v>
      </c>
      <c r="H66" s="30">
        <f t="shared" si="2"/>
        <v>1.6679871564988947E-2</v>
      </c>
    </row>
    <row r="67" spans="1:8" x14ac:dyDescent="0.35">
      <c r="A67" s="16">
        <v>66</v>
      </c>
      <c r="B67" t="s">
        <v>633</v>
      </c>
      <c r="C67">
        <v>3307</v>
      </c>
      <c r="D67">
        <v>3478</v>
      </c>
      <c r="E67">
        <v>3512</v>
      </c>
      <c r="F67" s="30">
        <f t="shared" ref="F67:F70" si="3">C67/$C$70*100</f>
        <v>0.28540556588320376</v>
      </c>
      <c r="G67" s="30">
        <f t="shared" ref="G67:G70" si="4">D67/$D$70*100</f>
        <v>0.38329123521606695</v>
      </c>
      <c r="H67" s="30">
        <f t="shared" ref="H67:H70" si="5">E67/$E$70*100</f>
        <v>0.26627140425564177</v>
      </c>
    </row>
    <row r="68" spans="1:8" x14ac:dyDescent="0.35">
      <c r="A68" s="16">
        <v>67</v>
      </c>
      <c r="B68" t="s">
        <v>634</v>
      </c>
      <c r="C68">
        <v>2160</v>
      </c>
      <c r="D68">
        <v>2401</v>
      </c>
      <c r="E68">
        <v>0</v>
      </c>
      <c r="F68" s="30">
        <f t="shared" si="3"/>
        <v>0.18641548905585734</v>
      </c>
      <c r="G68" s="30">
        <f t="shared" si="4"/>
        <v>0.26460099360373107</v>
      </c>
      <c r="H68" s="30">
        <f t="shared" si="5"/>
        <v>0</v>
      </c>
    </row>
    <row r="69" spans="1:8" x14ac:dyDescent="0.35">
      <c r="A69" s="16">
        <v>68</v>
      </c>
      <c r="B69" t="s">
        <v>635</v>
      </c>
      <c r="C69">
        <v>1754</v>
      </c>
      <c r="D69">
        <v>2643</v>
      </c>
      <c r="E69">
        <v>0</v>
      </c>
      <c r="F69" s="30">
        <f t="shared" si="3"/>
        <v>0.15137628139072859</v>
      </c>
      <c r="G69" s="30">
        <f t="shared" si="4"/>
        <v>0.29127048150548157</v>
      </c>
      <c r="H69" s="30">
        <f t="shared" si="5"/>
        <v>0</v>
      </c>
    </row>
    <row r="70" spans="1:8" x14ac:dyDescent="0.35">
      <c r="A70" s="16" t="s">
        <v>636</v>
      </c>
      <c r="C70">
        <v>1158702</v>
      </c>
      <c r="D70">
        <v>907404</v>
      </c>
      <c r="E70">
        <v>1318955</v>
      </c>
      <c r="F70">
        <f t="shared" si="3"/>
        <v>100</v>
      </c>
      <c r="G70" s="30">
        <f t="shared" si="4"/>
        <v>100</v>
      </c>
      <c r="H70" s="30">
        <f t="shared" si="5"/>
        <v>100</v>
      </c>
    </row>
  </sheetData>
  <conditionalFormatting sqref="F2:H69">
    <cfRule type="colorScale" priority="1">
      <colorScale>
        <cfvo type="min"/>
        <cfvo type="max"/>
        <color theme="0"/>
        <color theme="5" tint="0.59999389629810485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7 e d 1 b a - 1 9 2 d - 4 b a 7 - a c 7 1 - c 3 8 e 1 a d 6 f e 8 5 "   x m l n s = " h t t p : / / s c h e m a s . m i c r o s o f t . c o m / D a t a M a s h u p " > A A A A A K 8 E A A B Q S w M E F A A C A A g A L F N 5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s U 3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F N 5 W Q F I L Z m n A Q A A F Q o A A B M A H A B G b 3 J t d W x h c y 9 T Z W N 0 a W 9 u M S 5 t I K I Y A C i g F A A A A A A A A A A A A A A A A A A A A A A A A A A A A N W U 3 2 r C M B T G 7 w X f I c Q b h V r a 1 M n Y 6 I V U t 7 k L E f / A Q L 3 I b N R C m k g S 2 Y Y I e 4 e 9 4 Z 5 k q a 1 u b v V C 7 K C W Q u E 7 h 3 O + k 1 9 z J J m q g D P Q j 7 / 2 b b F Q L M g F F s Q H J T j A z 5 R Y l g 3 K X T w n w K 5 A 4 A J K V L E A 9 N P n K z E l W u n 6 M 3 O b K s t 3 A S W m x 5 k i T M k y 9 G 7 G Q 0 m E H N 8 H I t B l w S M O 2 L j J X x j l 2 J f j X r + K L K t e t a 6 j F 1 m o V i X M X P o z W D H A q B 0 u K Q l 1 J R x 5 c 6 F t O n B S M e L u e 2 9 u Y m Q 9 a v v u 3 j K c b E Z N r P A k S S 9 B b 4 H Z X I 8 1 e F u S a I 5 t p j k Q m M k Z F 6 H H 6 S p k U V C W d 0 W M 9 R r G u g 0 N o H Q M K P K q N g b Y 6 e i I 7 m i 9 z V S 9 Z k Y V f w R q x w J X h 4 F N p V g I W K r 3 V E Y o Y Y R y y A i l M 0 J Z M E K H j F K P N j e Q n A S S k 0 N I T j o k J w t I T v 4 v U s Q l 3 i Y 5 w R I Z + r 3 c E p N / k X Q F D 7 n S Y z w Q 7 G s / 3 1 i S S K J v f z 9 b t 0 7 k B q X 9 K a Z Y S F e J F d k 3 P w l y S v t M e T c 6 n d b T s N c C n + 8 f o P E f 2 N E l Y D 9 v X c b g 8 7 8 r 4 1 m d S w B y 3 m p M A X L q P U n T s 8 D x B V B L A Q I t A B Q A A g A I A C x T e V l 4 N 4 j c p g A A A P Y A A A A S A A A A A A A A A A A A A A A A A A A A A A B D b 2 5 m a W c v U G F j a 2 F n Z S 5 4 b W x Q S w E C L Q A U A A I A C A A s U 3 l Z D 8 r p q 6 Q A A A D p A A A A E w A A A A A A A A A A A A A A A A D y A A A A W 0 N v b n R l b n R f V H l w Z X N d L n h t b F B L A Q I t A B Q A A g A I A C x T e V k B S C 2 Z p w E A A B U K A A A T A A A A A A A A A A A A A A A A A O M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8 A A A A A A A A Q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Y m U w Z G R i L T g 4 M m Q t N D g z Y i 0 5 M D M 3 L W Y 0 Z T c 4 Y W E w M G Z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V Q w N D o 0 O T o y N i 4 w O T U 2 M D A 2 W i I g L z 4 8 R W 5 0 c n k g V H l w Z T 0 i R m l s b E N v b H V t b l R 5 c G V z I i B W Y W x 1 Z T 0 i c 0 J n W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N o Y W 5 n Z W Q g V H l w Z S 5 7 Q 2 9 s d W 1 u M S w w f S Z x d W 9 0 O y w m c X V v d D t T Z W N 0 a W 9 u M S 9 U Y W J s Z T A w M S A o U G F n Z S A x K S 9 D a G F u Z 2 V k I F R 5 c G U u e 0 N v b H V t b j I s M X 0 m c X V v d D s s J n F 1 b 3 Q 7 U 2 V j d G l v b j E v V G F i b G U w M D E g K F B h Z 2 U g M S k v Q 2 h h b m d l Z C B U e X B l L n t D b 2 x 1 b W 4 z L D J 9 J n F 1 b 3 Q 7 L C Z x d W 9 0 O 1 N l Y 3 R p b 2 4 x L 1 R h Y m x l M D A x I C h Q Y W d l I D E p L 0 N o Y W 5 n Z W Q g V H l w Z S 5 7 Q 2 9 s d W 1 u N C w z f S Z x d W 9 0 O y w m c X V v d D t T Z W N 0 a W 9 u M S 9 U Y W J s Z T A w M S A o U G F n Z S A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D b 2 x 1 b W 4 0 L D N 9 J n F 1 b 3 Q 7 L C Z x d W 9 0 O 1 N l Y 3 R p b 2 4 x L 1 R h Y m x l M D A x I C h Q Y W d l I D E p L 0 N o Y W 5 n Z W Q g V H l w Z S 5 7 Q 2 9 s d W 1 u N S w 0 f S Z x d W 9 0 O 1 0 s J n F 1 b 3 Q 7 U m V s Y X R p b 2 5 z a G l w S W 5 m b y Z x d W 9 0 O z p b X X 0 i I C 8 + P E V u d H J 5 I F R 5 c G U 9 I l J l Y 2 9 2 Z X J 5 V G F y Z 2 V 0 U 2 h l Z X Q i I F Z h b H V l P S J z S W 5 k a W F u U 3 R 1 Z G V u d E 1 v Y m l s a X R 5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W I w O T I w Z C 0 1 O T E w L T Q z Y j M t O T g 0 M i 0 y Z W R l Z D g w N W U 1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V U M D Q 6 N D k 6 N T k u M j E 3 N z A 3 M 1 o i I C 8 + P E V u d H J 5 I F R 5 c G U 9 I k Z p b G x D b 2 x 1 b W 5 U e X B l c y I g V m F s d W U 9 I n N B d 1 l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u e 0 N v b H V t b j E s M H 0 m c X V v d D s s J n F 1 b 3 Q 7 U 2 V j d G l v b j E v V G F i b G U w M D I g K F B h Z 2 U g M i k v Q 2 h h b m d l Z C B U e X B l L n t D b 2 x 1 b W 4 y L D F 9 J n F 1 b 3 Q 7 L C Z x d W 9 0 O 1 N l Y 3 R p b 2 4 x L 1 R h Y m x l M D A y I C h Q Y W d l I D I p L 0 N o Y W 5 n Z W Q g V H l w Z S 5 7 Q 2 9 s d W 1 u M y w y f S Z x d W 9 0 O y w m c X V v d D t T Z W N 0 a W 9 u M S 9 U Y W J s Z T A w M i A o U G F n Z S A y K S 9 D a G F u Z 2 V k I F R 5 c G U u e 0 N v b H V t b j Q s M 3 0 m c X V v d D s s J n F 1 b 3 Q 7 U 2 V j d G l v b j E v V G F i b G U w M D I g K F B h Z 2 U g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z L D J 9 J n F 1 b 3 Q 7 L C Z x d W 9 0 O 1 N l Y 3 R p b 2 4 x L 1 R h Y m x l M D A y I C h Q Y W d l I D I p L 0 N o Y W 5 n Z W Q g V H l w Z S 5 7 Q 2 9 s d W 1 u N C w z f S Z x d W 9 0 O y w m c X V v d D t T Z W N 0 a W 9 u M S 9 U Y W J s Z T A w M i A o U G F n Z S A y K S 9 D a G F u Z 2 V k I F R 5 c G U u e 0 N v b H V t b j U s N H 0 m c X V v d D t d L C Z x d W 9 0 O 1 J l b G F 0 a W 9 u c 2 h p c E l u Z m 8 m c X V v d D s 6 W 1 1 9 I i A v P j x F b n R y e S B U e X B l P S J S Z W N v d m V y e V R h c m d l d F N o Z W V 0 I i B W Y W x 1 Z T 0 i c 0 l u Z G l h b l N 0 d W R l b n R N b 2 J p b G l 0 e S I g L z 4 8 R W 5 0 c n k g V H l w Z T 0 i U m V j b 3 Z l c n l U Y X J n Z X R D b 2 x 1 b W 4 i I F Z h b H V l P S J s M S I g L z 4 8 R W 5 0 c n k g V H l w Z T 0 i U m V j b 3 Z l c n l U Y X J n Z X R S b 3 c i I F Z h b H V l P S J s M z I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M j A w N z Q 4 L W E w N m E t N D k 5 Z i 1 h Z G F l L W F j O G F m Z D V m Z D E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A 0 O j U w O j E 3 L j Y y M T c 0 M j J a I i A v P j x F b n R y e S B U e X B l P S J G a W x s Q 2 9 s d W 1 u V H l w Z X M i I F Z h b H V l P S J z Q m d Z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2 h h b m d l Z C B U e X B l L n t D b 2 x 1 b W 4 x L D B 9 J n F 1 b 3 Q 7 L C Z x d W 9 0 O 1 N l Y 3 R p b 2 4 x L 1 R h Y m x l M D A z I C h Q Y W d l I D M p L 0 N o Y W 5 n Z W Q g V H l w Z S 5 7 Q 2 9 s d W 1 u M i w x f S Z x d W 9 0 O y w m c X V v d D t T Z W N 0 a W 9 u M S 9 U Y W J s Z T A w M y A o U G F n Z S A z K S 9 D a G F u Z 2 V k I F R 5 c G U u e 0 N v b H V t b j M s M n 0 m c X V v d D s s J n F 1 b 3 Q 7 U 2 V j d G l v b j E v V G F i b G U w M D M g K F B h Z 2 U g M y k v Q 2 h h b m d l Z C B U e X B l L n t D b 2 x 1 b W 4 0 L D N 9 J n F 1 b 3 Q 7 L C Z x d W 9 0 O 1 N l Y 3 R p b 2 4 x L 1 R h Y m x l M D A z I C h Q Y W d l I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X S w m c X V v d D t S Z W x h d G l v b n N o a X B J b m Z v J n F 1 b 3 Q 7 O l t d f S I g L z 4 8 R W 5 0 c n k g V H l w Z T 0 i U m V j b 3 Z l c n l U Y X J n Z X R T a G V l d C I g V m F s d W U 9 I n N J b m R p Y W 5 T d H V k Z W 5 0 T W 9 i a W x p d H k i I C 8 + P E V u d H J 5 I F R 5 c G U 9 I l J l Y 2 9 2 Z X J 5 V G F y Z 2 V 0 Q 2 9 s d W 1 u I i B W Y W x 1 Z T 0 i b D E i I C 8 + P E V u d H J 5 I F R 5 c G U 9 I l J l Y 2 9 2 Z X J 5 V G F y Z 2 V 0 U m 9 3 I i B W Y W x 1 Z T 0 i b D Y 0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M x O D k 1 O G M t O D B l Y S 0 0 N j B k L T k z Y j c t M j J k M j U y O D Z j Z D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A 0 O j U w O j M x L j k w O T A 4 O D Z a I i A v P j x F b n R y e S B U e X B l P S J G a W x s Q 2 9 s d W 1 u V H l w Z X M i I F Z h b H V l P S J z Q m d Z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U 5 O R V h V U k U g 4 o C T I E E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2 h h b m d l Z C B U e X B l L n t D b 2 x 1 b W 4 x L D B 9 J n F 1 b 3 Q 7 L C Z x d W 9 0 O 1 N l Y 3 R p b 2 4 x L 1 B h Z 2 U w M D E v Q 2 h h b m d l Z C B U e X B l L n t D b 2 x 1 b W 4 y L D F 9 J n F 1 b 3 Q 7 L C Z x d W 9 0 O 1 N l Y 3 R p b 2 4 x L 1 B h Z 2 U w M D E v Q 2 h h b m d l Z C B U e X B l L n t D b 2 x 1 b W 4 z L D J 9 J n F 1 b 3 Q 7 L C Z x d W 9 0 O 1 N l Y 3 R p b 2 4 x L 1 B h Z 2 U w M D E v Q 2 h h b m d l Z C B U e X B l L n t B T k 5 F W F V S R S D i g J M g Q S w z f S Z x d W 9 0 O y w m c X V v d D t T Z W N 0 a W 9 u M S 9 Q Y W d l M D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U 5 O R V h V U k U g 4 o C T I E E s M 3 0 m c X V v d D s s J n F 1 b 3 Q 7 U 2 V j d G l v b j E v U G F n Z T A w M S 9 D a G F u Z 2 V k I F R 5 c G U u e 0 N v b H V t b j U s N H 0 m c X V v d D t d L C Z x d W 9 0 O 1 J l b G F 0 a W 9 u c 2 h p c E l u Z m 8 m c X V v d D s 6 W 1 1 9 I i A v P j x F b n R y e S B U e X B l P S J S Z W N v d m V y e V R h c m d l d F N o Z W V 0 I i B W Y W x 1 Z T 0 i c 0 l u Z G l h b l N 0 d W R l b n R N b 2 J p b G l 0 e S I g L z 4 8 R W 5 0 c n k g V H l w Z T 0 i U m V j b 3 Z l c n l U Y X J n Z X R D b 2 x 1 b W 4 i I F Z h b H V l P S J s M S I g L z 4 8 R W 5 0 c n k g V H l w Z T 0 i U m V j b 3 Z l c n l U Y X J n Z X R S b 3 c i I F Z h b H V l P S J s N z U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O D M y O T I z L T I 2 O W U t N D U 0 N i 1 i Y z I 0 L W U w Y T k x N m I 4 O T k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R B d 0 0 9 I i A v P j x F b n R y e S B U e X B l P S J G a W x s T G F z d F V w Z G F 0 Z W Q i I F Z h b H V l P S J k M j A y N C 0 x M S 0 y N V Q w N D o 0 N z o y N S 4 x N T I 2 N D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W d l M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Y m F k N T R m L W Y 3 Y W Y t N D R k Z S 1 h M T J h L W R k N 2 Q 4 Y 2 Z l O T E 1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y w m c X V v d D t T Z W N 0 a W 9 u M S 9 Q Y W d l M D A z L 0 N o Y W 5 n Z W Q g V H l w Z S 5 7 Q 2 9 s d W 1 u M y w y f S Z x d W 9 0 O y w m c X V v d D t T Z W N 0 a W 9 u M S 9 Q Y W d l M D A z L 0 N o Y W 5 n Z W Q g V H l w Z S 5 7 Q 2 9 s d W 1 u N C w z f S Z x d W 9 0 O y w m c X V v d D t T Z W N 0 a W 9 u M S 9 Q Y W d l M D A z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y w m c X V v d D t T Z W N 0 a W 9 u M S 9 Q Y W d l M D A z L 0 N o Y W 5 n Z W Q g V H l w Z S 5 7 Q 2 9 s d W 1 u M y w y f S Z x d W 9 0 O y w m c X V v d D t T Z W N 0 a W 9 u M S 9 Q Y W d l M D A z L 0 N o Y W 5 n Z W Q g V H l w Z S 5 7 Q 2 9 s d W 1 u N C w z f S Z x d W 9 0 O y w m c X V v d D t T Z W N 0 a W 9 u M S 9 Q Y W d l M D A z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B d 0 0 9 I i A v P j x F b n R y e S B U e X B l P S J G a W x s T G F z d F V w Z G F 0 Z W Q i I F Z h b H V l P S J k M j A y N C 0 x M S 0 y N V Q w N D o 0 N z o y N S 4 x N T Y 3 M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W d l M D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8 y W H 4 B f s 5 O l M s u d G s m 5 + g A A A A A A g A A A A A A E G Y A A A A B A A A g A A A A I 6 4 j I 8 F 6 N X y D Y g U n f Z k R 4 k c x 2 1 O l Y C A q O s 3 k E 5 B r q 4 M A A A A A D o A A A A A C A A A g A A A A j C D s p d T L g R Q R 6 a Y f p T v b h j m a t 7 n 8 o L 0 X / D q E 9 P n U 4 / 1 Q A A A A s W O a a w I O o J W 3 s 7 2 J K Z 6 7 2 T m M R H t X 1 4 i r i U s 3 N O j 3 L H D w E j z a u E N / 4 U / T 7 8 h 4 t O x s 8 5 l k x l K X 0 D s 0 / j J / M C a t w 7 p f d N b c i h Z X 7 Y I W T f + C K 1 Z A A A A A G 2 0 J z x P 7 U V Z R 1 G x z 0 F M e w y p F q n 5 u w B Y q i l u C b z 0 S 4 c + 1 t r k i / p 7 6 7 q V z k E P r 2 g / X X i W l 0 M K d J 8 Y L x p y x w q f A p g = = < / D a t a M a s h u p > 
</file>

<file path=customXml/itemProps1.xml><?xml version="1.0" encoding="utf-8"?>
<ds:datastoreItem xmlns:ds="http://schemas.openxmlformats.org/officeDocument/2006/customXml" ds:itemID="{97BF81ED-3702-46C9-A963-D64C714E28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2023_AllData</vt:lpstr>
      <vt:lpstr>2023_Score</vt:lpstr>
      <vt:lpstr>2022_AllData</vt:lpstr>
      <vt:lpstr>Innovation2024</vt:lpstr>
      <vt:lpstr>IndianStudentMobility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Girisha Jain</dc:creator>
  <cp:keywords/>
  <dc:description/>
  <cp:lastModifiedBy>Girisha Jain | AP22235150001</cp:lastModifiedBy>
  <cp:revision/>
  <dcterms:created xsi:type="dcterms:W3CDTF">2024-06-15T06:07:10Z</dcterms:created>
  <dcterms:modified xsi:type="dcterms:W3CDTF">2024-12-11T10:03:46Z</dcterms:modified>
  <cp:category/>
  <cp:contentStatus/>
</cp:coreProperties>
</file>