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ocument\"/>
    </mc:Choice>
  </mc:AlternateContent>
  <xr:revisionPtr revIDLastSave="0" documentId="13_ncr:1_{549E4FEF-0775-4FAB-BCD1-F1EDA7B681CF}" xr6:coauthVersionLast="47" xr6:coauthVersionMax="47" xr10:uidLastSave="{00000000-0000-0000-0000-000000000000}"/>
  <bookViews>
    <workbookView xWindow="-120" yWindow="-120" windowWidth="29040" windowHeight="15720" activeTab="2" xr2:uid="{0775FD94-75E9-496A-958B-BEA58CD2AD4F}"/>
  </bookViews>
  <sheets>
    <sheet name="Portfolio" sheetId="9" r:id="rId1"/>
    <sheet name="Summary" sheetId="1" r:id="rId2"/>
    <sheet name="Dashboard" sheetId="13" r:id="rId3"/>
    <sheet name="Trade" sheetId="6" r:id="rId4"/>
    <sheet name="Data" sheetId="11" r:id="rId5"/>
  </sheets>
  <definedNames>
    <definedName name="_xlchart.v1.0" hidden="1">Dashboard!$C$7:$C$16</definedName>
    <definedName name="_xlchart.v1.1" hidden="1">Dashboard!$G$6</definedName>
    <definedName name="_xlchart.v1.2" hidden="1">Dashboard!$G$7:$G$16</definedName>
    <definedName name="ExternalData_1" localSheetId="4" hidden="1">Data!$D$8:$F$18</definedName>
    <definedName name="tickerpair">Trade!$C$2:$C$46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1" l="1"/>
  <c r="G10" i="11"/>
  <c r="G11" i="11"/>
  <c r="G12" i="11"/>
  <c r="G13" i="11"/>
  <c r="G14" i="11"/>
  <c r="G15" i="11"/>
  <c r="G16" i="11"/>
  <c r="G17" i="11"/>
  <c r="G18" i="11"/>
  <c r="L2" i="6" a="1"/>
  <c r="L2" i="6" s="1"/>
  <c r="I20" i="13"/>
  <c r="B20" i="13"/>
  <c r="K2" i="1"/>
  <c r="F9" i="9" l="1"/>
  <c r="E14" i="13" s="1"/>
  <c r="F7" i="9"/>
  <c r="E12" i="13" s="1"/>
  <c r="M6" i="6"/>
  <c r="M7" i="6"/>
  <c r="M10" i="6"/>
  <c r="M11" i="6"/>
  <c r="B3" i="9" a="1"/>
  <c r="B3" i="9" s="1"/>
  <c r="B4" i="9" a="1"/>
  <c r="B4" i="9" s="1"/>
  <c r="B5" i="9" a="1"/>
  <c r="B5" i="9" s="1"/>
  <c r="B6" i="9" a="1"/>
  <c r="B6" i="9" s="1"/>
  <c r="B7" i="9" a="1"/>
  <c r="B7" i="9" s="1"/>
  <c r="B8" i="9" a="1"/>
  <c r="B8" i="9" s="1"/>
  <c r="B9" i="9" a="1"/>
  <c r="B9" i="9" s="1"/>
  <c r="B10" i="9" a="1"/>
  <c r="B10" i="9" s="1"/>
  <c r="B11" i="9" a="1"/>
  <c r="B11" i="9" s="1"/>
  <c r="B2" i="9" a="1"/>
  <c r="B2" i="9" s="1"/>
  <c r="F2" i="9"/>
  <c r="F8" i="9"/>
  <c r="E13" i="13" s="1"/>
  <c r="F10" i="9"/>
  <c r="E15" i="13" s="1"/>
  <c r="F11" i="9"/>
  <c r="E16" i="13" s="1"/>
  <c r="F3" i="9"/>
  <c r="E8" i="13" s="1"/>
  <c r="F5" i="9"/>
  <c r="E10" i="13" s="1"/>
  <c r="F6" i="9"/>
  <c r="E11" i="13" s="1"/>
  <c r="F4" i="9"/>
  <c r="E9" i="13" s="1"/>
  <c r="L2" i="1"/>
  <c r="L4" i="1"/>
  <c r="K4" i="1" s="1"/>
  <c r="I3" i="6"/>
  <c r="I4" i="6"/>
  <c r="J4" i="6" s="1"/>
  <c r="I5" i="6"/>
  <c r="I6" i="6"/>
  <c r="I7" i="6"/>
  <c r="I8" i="6"/>
  <c r="J8" i="6" s="1"/>
  <c r="I9" i="6"/>
  <c r="I10" i="6"/>
  <c r="I11" i="6"/>
  <c r="I12" i="6"/>
  <c r="J12" i="6" s="1"/>
  <c r="I13" i="6"/>
  <c r="I14" i="6"/>
  <c r="I15" i="6"/>
  <c r="I16" i="6"/>
  <c r="J16" i="6" s="1"/>
  <c r="I17" i="6"/>
  <c r="I18" i="6"/>
  <c r="I19" i="6"/>
  <c r="I20" i="6"/>
  <c r="J20" i="6" s="1"/>
  <c r="I2" i="6"/>
  <c r="E2" i="9"/>
  <c r="D7" i="13" s="1"/>
  <c r="E5" i="9"/>
  <c r="D10" i="13" s="1"/>
  <c r="E8" i="9"/>
  <c r="D13" i="13" s="1"/>
  <c r="E10" i="9"/>
  <c r="D15" i="13" s="1"/>
  <c r="E4" i="9"/>
  <c r="D9" i="13" s="1"/>
  <c r="E6" i="9"/>
  <c r="D11" i="13" s="1"/>
  <c r="E9" i="9"/>
  <c r="D14" i="13" s="1"/>
  <c r="E3" i="9"/>
  <c r="D8" i="13" s="1"/>
  <c r="E11" i="9"/>
  <c r="D16" i="13" s="1"/>
  <c r="E7" i="9"/>
  <c r="D12" i="13" s="1"/>
  <c r="F20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H14" i="1"/>
  <c r="H15" i="1"/>
  <c r="H16" i="1"/>
  <c r="H9" i="13" l="1"/>
  <c r="H16" i="13"/>
  <c r="H11" i="13"/>
  <c r="H15" i="13"/>
  <c r="H10" i="13"/>
  <c r="H13" i="13"/>
  <c r="H12" i="13"/>
  <c r="H8" i="13"/>
  <c r="H14" i="13"/>
  <c r="I2" i="9"/>
  <c r="E7" i="13"/>
  <c r="H7" i="13" s="1"/>
  <c r="M2" i="6"/>
  <c r="Q2" i="6" s="1"/>
  <c r="M9" i="6"/>
  <c r="M5" i="6"/>
  <c r="M3" i="6"/>
  <c r="M8" i="6"/>
  <c r="Q8" i="6" s="1"/>
  <c r="M4" i="6"/>
  <c r="Q4" i="6" s="1"/>
  <c r="I9" i="9"/>
  <c r="I5" i="9"/>
  <c r="I6" i="9"/>
  <c r="I10" i="9"/>
  <c r="I11" i="9"/>
  <c r="I4" i="9"/>
  <c r="I8" i="9"/>
  <c r="I7" i="9"/>
  <c r="I3" i="9"/>
  <c r="Q10" i="6"/>
  <c r="Q6" i="6"/>
  <c r="Q11" i="6"/>
  <c r="Q7" i="6"/>
  <c r="J17" i="6"/>
  <c r="J13" i="6"/>
  <c r="J9" i="6"/>
  <c r="J5" i="6"/>
  <c r="J19" i="6"/>
  <c r="J15" i="6"/>
  <c r="J11" i="6"/>
  <c r="J7" i="6"/>
  <c r="J3" i="6"/>
  <c r="J18" i="6"/>
  <c r="J14" i="6"/>
  <c r="J10" i="6"/>
  <c r="J6" i="6"/>
  <c r="J2" i="6"/>
  <c r="O4" i="6" l="1"/>
  <c r="S4" i="6" s="1"/>
  <c r="N4" i="6"/>
  <c r="K16" i="13"/>
  <c r="K10" i="13"/>
  <c r="K12" i="13"/>
  <c r="K14" i="13"/>
  <c r="K13" i="13"/>
  <c r="K9" i="13"/>
  <c r="K15" i="13"/>
  <c r="K7" i="13"/>
  <c r="K11" i="13"/>
  <c r="K8" i="13"/>
  <c r="L2" i="9"/>
  <c r="P4" i="6"/>
  <c r="R4" i="6" s="1"/>
  <c r="G2" i="9" s="1"/>
  <c r="H2" i="9" s="1"/>
  <c r="K7" i="1"/>
  <c r="K20" i="13" s="1"/>
  <c r="K9" i="1"/>
  <c r="L9" i="1" s="1"/>
  <c r="L9" i="9"/>
  <c r="L8" i="9"/>
  <c r="L3" i="9"/>
  <c r="L11" i="9"/>
  <c r="L4" i="9"/>
  <c r="L6" i="9"/>
  <c r="L7" i="9"/>
  <c r="L10" i="9"/>
  <c r="L5" i="9"/>
  <c r="N5" i="6"/>
  <c r="Q5" i="6"/>
  <c r="N3" i="6"/>
  <c r="Q3" i="6"/>
  <c r="N9" i="6"/>
  <c r="Q9" i="6"/>
  <c r="P11" i="6"/>
  <c r="O3" i="6"/>
  <c r="P3" i="6"/>
  <c r="O5" i="6"/>
  <c r="P5" i="6"/>
  <c r="P2" i="6"/>
  <c r="P8" i="6"/>
  <c r="O9" i="6"/>
  <c r="P9" i="6"/>
  <c r="P10" i="6"/>
  <c r="O7" i="6"/>
  <c r="P7" i="6"/>
  <c r="P6" i="6"/>
  <c r="N7" i="6"/>
  <c r="O6" i="6"/>
  <c r="N6" i="6"/>
  <c r="O11" i="6"/>
  <c r="N11" i="6"/>
  <c r="O2" i="6"/>
  <c r="N2" i="6"/>
  <c r="N8" i="6"/>
  <c r="O8" i="6"/>
  <c r="O10" i="6"/>
  <c r="N10" i="6"/>
  <c r="F7" i="13" l="1"/>
  <c r="G7" i="13" s="1"/>
  <c r="J2" i="9"/>
  <c r="K2" i="9" s="1"/>
  <c r="I7" i="13"/>
  <c r="J7" i="13" s="1"/>
  <c r="T4" i="6"/>
  <c r="K5" i="1" s="1"/>
  <c r="G20" i="13" s="1"/>
  <c r="R3" i="6"/>
  <c r="F13" i="13" s="1"/>
  <c r="R11" i="6"/>
  <c r="F12" i="13" s="1"/>
  <c r="R2" i="6"/>
  <c r="R6" i="6"/>
  <c r="R9" i="6"/>
  <c r="R5" i="6"/>
  <c r="R10" i="6"/>
  <c r="F16" i="13" s="1"/>
  <c r="G7" i="9"/>
  <c r="H7" i="9" s="1"/>
  <c r="R7" i="6"/>
  <c r="R8" i="6"/>
  <c r="F14" i="13" s="1"/>
  <c r="G12" i="13" l="1"/>
  <c r="I12" i="13"/>
  <c r="G13" i="13"/>
  <c r="I13" i="13"/>
  <c r="G4" i="9"/>
  <c r="H4" i="9" s="1"/>
  <c r="F9" i="13"/>
  <c r="G16" i="13"/>
  <c r="I16" i="13"/>
  <c r="G8" i="9"/>
  <c r="H8" i="9" s="1"/>
  <c r="F10" i="13"/>
  <c r="G14" i="13"/>
  <c r="I14" i="13"/>
  <c r="G10" i="9"/>
  <c r="H10" i="9" s="1"/>
  <c r="F15" i="13"/>
  <c r="K8" i="1"/>
  <c r="L8" i="1" s="1"/>
  <c r="G6" i="9"/>
  <c r="H6" i="9" s="1"/>
  <c r="F11" i="13"/>
  <c r="G3" i="9"/>
  <c r="H3" i="9" s="1"/>
  <c r="F8" i="13"/>
  <c r="L5" i="1"/>
  <c r="G9" i="9"/>
  <c r="H9" i="9" s="1"/>
  <c r="G11" i="9"/>
  <c r="H11" i="9" s="1"/>
  <c r="J4" i="9"/>
  <c r="K4" i="9" s="1"/>
  <c r="J10" i="9"/>
  <c r="K10" i="9" s="1"/>
  <c r="J7" i="9"/>
  <c r="K7" i="9" s="1"/>
  <c r="G5" i="9"/>
  <c r="H5" i="9" s="1"/>
  <c r="J8" i="9" l="1"/>
  <c r="K8" i="9" s="1"/>
  <c r="J14" i="13"/>
  <c r="J16" i="13"/>
  <c r="J13" i="13"/>
  <c r="J12" i="13"/>
  <c r="J3" i="9"/>
  <c r="K3" i="9" s="1"/>
  <c r="J9" i="9"/>
  <c r="K9" i="9" s="1"/>
  <c r="G8" i="13"/>
  <c r="I8" i="13"/>
  <c r="J8" i="13" s="1"/>
  <c r="J6" i="9"/>
  <c r="K6" i="9" s="1"/>
  <c r="G15" i="13"/>
  <c r="I15" i="13"/>
  <c r="G10" i="13"/>
  <c r="I10" i="13"/>
  <c r="G9" i="13"/>
  <c r="I9" i="13"/>
  <c r="G11" i="13"/>
  <c r="I11" i="13"/>
  <c r="J11" i="9"/>
  <c r="K11" i="9" s="1"/>
  <c r="J5" i="9"/>
  <c r="J11" i="13" l="1"/>
  <c r="J10" i="13"/>
  <c r="J9" i="13"/>
  <c r="J15" i="13"/>
  <c r="K6" i="1"/>
  <c r="K5" i="9"/>
  <c r="H66" i="13" s="1"/>
  <c r="K11" i="1" l="1"/>
  <c r="L11" i="1" s="1"/>
  <c r="H68" i="13"/>
  <c r="L6" i="1"/>
  <c r="E20" i="13"/>
  <c r="K10" i="1"/>
  <c r="L1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0A4488-F789-4B78-927E-5D72AC513F4E}" keepAlive="1" interval="30" name="Query - Table 2 (5)" description="Connection to the 'Table 2 (5)' query in the workbook." type="5" refreshedVersion="8" background="1" refreshOnLoad="1" saveData="1">
    <dbPr connection="Provider=Microsoft.Mashup.OleDb.1;Data Source=$Workbook$;Location=&quot;Table 2 (5)&quot;;Extended Properties=&quot;&quot;" command="SELECT * FROM [Table 2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<sst xmlns="http://schemas.openxmlformats.org/spreadsheetml/2006/main" count="199" uniqueCount="115">
  <si>
    <t>Allocation</t>
  </si>
  <si>
    <t>Pair</t>
  </si>
  <si>
    <t>Side</t>
  </si>
  <si>
    <t>Price</t>
  </si>
  <si>
    <t>Executed</t>
  </si>
  <si>
    <t>Amount</t>
  </si>
  <si>
    <t>Fee</t>
  </si>
  <si>
    <t>BUY</t>
  </si>
  <si>
    <t>SELL</t>
  </si>
  <si>
    <t>BTC</t>
  </si>
  <si>
    <t>Date</t>
  </si>
  <si>
    <t>Invested Date</t>
  </si>
  <si>
    <t>Invested RS</t>
  </si>
  <si>
    <t>Debited Date</t>
  </si>
  <si>
    <t>Coin Name</t>
  </si>
  <si>
    <t>$27,500</t>
  </si>
  <si>
    <t>$550</t>
  </si>
  <si>
    <t>ETH</t>
  </si>
  <si>
    <t>$1,800</t>
  </si>
  <si>
    <t>$900</t>
  </si>
  <si>
    <t>ADA</t>
  </si>
  <si>
    <t>$0.40</t>
  </si>
  <si>
    <t>$400</t>
  </si>
  <si>
    <t>$26,500</t>
  </si>
  <si>
    <t>$397.50</t>
  </si>
  <si>
    <t>SOL</t>
  </si>
  <si>
    <t>$20</t>
  </si>
  <si>
    <t>$600</t>
  </si>
  <si>
    <t>$1,850</t>
  </si>
  <si>
    <t>$555</t>
  </si>
  <si>
    <t>DOT</t>
  </si>
  <si>
    <t>$4.50</t>
  </si>
  <si>
    <t>$42,000</t>
  </si>
  <si>
    <t>$420</t>
  </si>
  <si>
    <t>LINK</t>
  </si>
  <si>
    <t>$7</t>
  </si>
  <si>
    <t>$700</t>
  </si>
  <si>
    <t>LTC</t>
  </si>
  <si>
    <t>$80</t>
  </si>
  <si>
    <t>$800</t>
  </si>
  <si>
    <t>UNI</t>
  </si>
  <si>
    <t>$5</t>
  </si>
  <si>
    <t>$500</t>
  </si>
  <si>
    <t>AVAX</t>
  </si>
  <si>
    <t>$10</t>
  </si>
  <si>
    <t>XLM</t>
  </si>
  <si>
    <t>$0.10</t>
  </si>
  <si>
    <t>$63,800</t>
  </si>
  <si>
    <t>$638</t>
  </si>
  <si>
    <t>$2,500</t>
  </si>
  <si>
    <t>Coin</t>
  </si>
  <si>
    <t>$521.37</t>
  </si>
  <si>
    <t>$92643.21</t>
  </si>
  <si>
    <t>$94488.44</t>
  </si>
  <si>
    <t>$840.25</t>
  </si>
  <si>
    <t>$84025.12</t>
  </si>
  <si>
    <t>S.No</t>
  </si>
  <si>
    <t>Holding</t>
  </si>
  <si>
    <t>Current value</t>
  </si>
  <si>
    <t>DCA value</t>
  </si>
  <si>
    <t>ROI</t>
  </si>
  <si>
    <t>DCA</t>
  </si>
  <si>
    <t>Realized Profit</t>
  </si>
  <si>
    <t xml:space="preserve"> Cashed Profit</t>
  </si>
  <si>
    <t>Notes</t>
  </si>
  <si>
    <t>Total Buy</t>
  </si>
  <si>
    <t>Total Sell</t>
  </si>
  <si>
    <t>Executed Buy</t>
  </si>
  <si>
    <t>Executed Sell</t>
  </si>
  <si>
    <t>Avg Sell Price</t>
  </si>
  <si>
    <t>INR</t>
  </si>
  <si>
    <t>USDT</t>
  </si>
  <si>
    <t>Summary</t>
  </si>
  <si>
    <t>Total Fees</t>
  </si>
  <si>
    <t>Profit Reinvested</t>
  </si>
  <si>
    <t>INR/USDT</t>
  </si>
  <si>
    <t>Total Invested USDT</t>
  </si>
  <si>
    <t>Bitcoin</t>
  </si>
  <si>
    <t>Ethereum</t>
  </si>
  <si>
    <t>Solana</t>
  </si>
  <si>
    <t>Cardano</t>
  </si>
  <si>
    <t>Chainlink</t>
  </si>
  <si>
    <t>Avalanche</t>
  </si>
  <si>
    <t>Stellar</t>
  </si>
  <si>
    <t>Litecoin</t>
  </si>
  <si>
    <t>Polkadot</t>
  </si>
  <si>
    <t>Uniswap</t>
  </si>
  <si>
    <t>$0.38</t>
  </si>
  <si>
    <t>CORRECTED</t>
  </si>
  <si>
    <t xml:space="preserve">Unrealized Value </t>
  </si>
  <si>
    <t>Purchased value</t>
  </si>
  <si>
    <t>Best Performance</t>
  </si>
  <si>
    <t>Worst Performance</t>
  </si>
  <si>
    <t>Price USDT</t>
  </si>
  <si>
    <t>Amount USDT</t>
  </si>
  <si>
    <t>Unrealized Profit/Loss</t>
  </si>
  <si>
    <t>Total Unrealized Profit</t>
  </si>
  <si>
    <t>Unrealized ROI</t>
  </si>
  <si>
    <t>Total Realized Profit</t>
  </si>
  <si>
    <t>Column3</t>
  </si>
  <si>
    <t>Column2</t>
  </si>
  <si>
    <t>Column4</t>
  </si>
  <si>
    <t>Cryptocurrency Portfolio Dashboard</t>
  </si>
  <si>
    <t>Profit on BTC 550 USDT</t>
  </si>
  <si>
    <t>$4.17</t>
  </si>
  <si>
    <t>$14.14</t>
  </si>
  <si>
    <t>$21.27</t>
  </si>
  <si>
    <t>$6.46</t>
  </si>
  <si>
    <t>Total Profit withdrawn</t>
  </si>
  <si>
    <t>$105,360.89</t>
  </si>
  <si>
    <t>$2,615.15</t>
  </si>
  <si>
    <t>$161.51</t>
  </si>
  <si>
    <t>$0.6946</t>
  </si>
  <si>
    <t>$0.2717</t>
  </si>
  <si>
    <t>$89.29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</si>
</sst>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8" formatCode="&quot;₹&quot;\ #,##0.00;[Red]&quot;₹&quot;\ \-#,##0.00"/>
    <numFmt numFmtId="44" formatCode="_ &quot;₹&quot;\ * #,##0.00_ ;_ &quot;₹&quot;\ * \-#,##0.00_ ;_ &quot;₹&quot;\ * &quot;-&quot;??_ ;_ @_ "/>
    <numFmt numFmtId="164" formatCode="[$-F800]dddd\,\ mmmm\ dd\,\ yyyy"/>
    <numFmt numFmtId="165" formatCode="&quot;₹&quot;\ #,##0"/>
    <numFmt numFmtId="166" formatCode="0.00000"/>
    <numFmt numFmtId="167" formatCode="[$-14009]dd\ mmmm\ yyyy;@"/>
    <numFmt numFmtId="168" formatCode="_-[$$-409]* #,##0.00_ ;_-[$$-409]* \-#,##0.00\ ;_-[$$-409]* &quot;-&quot;??_ ;_-@_ "/>
    <numFmt numFmtId="169" formatCode="_-[$$-1009]* #,##0.00_-;\-[$$-1009]* #,##0.00_-;_-[$$-1009]* &quot;-&quot;??_-;_-@_-"/>
    <numFmt numFmtId="170" formatCode="&quot;₹&quot;\ #,##0.00"/>
    <numFmt numFmtId="171" formatCode="_ [$₹-4009]\ * #,##0_ ;_ [$₹-4009]\ * \-#,##0_ ;_ [$₹-4009]\ * &quot;-&quot;??_ ;_ @_ "/>
    <numFmt numFmtId="172" formatCode="0.000"/>
    <numFmt numFmtId="173" formatCode="0.0000"/>
    <numFmt numFmtId="174" formatCode="_-[$$-409]* #,##0_ ;_-[$$-409]* \-#,##0\ ;_-[$$-409]* &quot;-&quot;??_ ;_-@_ "/>
    <numFmt numFmtId="175" formatCode="[$-14009]dd/mm/yy;@"/>
    <numFmt numFmtId="176" formatCode="_-[$$-409]* #,##0.0_ ;_-[$$-409]* \-#,##0.0\ ;_-[$$-409]* &quot;-&quot;??_ ;_-@_ "/>
    <numFmt numFmtId="177" formatCode="0.0%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theme="8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8"/>
      </top>
      <bottom/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1" fillId="6" borderId="0" applyNumberFormat="0" applyBorder="0" applyAlignment="0" applyProtection="0"/>
    <xf numFmtId="0" fontId="1" fillId="0" borderId="1" applyNumberFormat="0" applyFill="0" applyAlignment="0" applyProtection="0"/>
    <xf numFmtId="0" fontId="17" fillId="16" borderId="0" applyNumberFormat="0" applyBorder="0" applyAlignment="0" applyProtection="0"/>
  </cellStyleXfs>
  <cellXfs count="120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64" fontId="0" fillId="3" borderId="0" xfId="0" applyNumberFormat="1" applyFill="1"/>
    <xf numFmtId="0" fontId="8" fillId="0" borderId="0" xfId="0" applyFont="1" applyAlignment="1">
      <alignment horizontal="center"/>
    </xf>
    <xf numFmtId="0" fontId="8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168" fontId="8" fillId="0" borderId="0" xfId="2" applyNumberFormat="1" applyFont="1"/>
    <xf numFmtId="169" fontId="8" fillId="0" borderId="0" xfId="0" applyNumberFormat="1" applyFont="1"/>
    <xf numFmtId="170" fontId="8" fillId="0" borderId="0" xfId="0" applyNumberFormat="1" applyFont="1"/>
    <xf numFmtId="168" fontId="8" fillId="0" borderId="0" xfId="0" applyNumberFormat="1" applyFont="1"/>
    <xf numFmtId="168" fontId="8" fillId="0" borderId="0" xfId="0" applyNumberFormat="1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4" fontId="8" fillId="0" borderId="0" xfId="0" applyNumberFormat="1" applyFont="1" applyAlignment="1">
      <alignment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  <xf numFmtId="171" fontId="10" fillId="3" borderId="0" xfId="1" applyNumberFormat="1" applyFont="1" applyFill="1" applyAlignment="1">
      <alignment horizontal="center"/>
    </xf>
    <xf numFmtId="171" fontId="8" fillId="3" borderId="0" xfId="0" applyNumberFormat="1" applyFont="1" applyFill="1" applyAlignment="1">
      <alignment horizontal="center"/>
    </xf>
    <xf numFmtId="171" fontId="8" fillId="0" borderId="0" xfId="0" applyNumberFormat="1" applyFont="1" applyAlignment="1">
      <alignment horizontal="center"/>
    </xf>
    <xf numFmtId="44" fontId="8" fillId="0" borderId="0" xfId="2" applyFont="1" applyAlignment="1">
      <alignment horizontal="center" vertical="center"/>
    </xf>
    <xf numFmtId="44" fontId="8" fillId="0" borderId="0" xfId="2" applyFont="1" applyAlignment="1">
      <alignment vertical="center" wrapText="1"/>
    </xf>
    <xf numFmtId="44" fontId="8" fillId="0" borderId="0" xfId="2" applyFont="1"/>
    <xf numFmtId="44" fontId="8" fillId="0" borderId="0" xfId="2" applyFon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8" fillId="0" borderId="0" xfId="0" applyNumberFormat="1" applyFont="1"/>
    <xf numFmtId="174" fontId="8" fillId="0" borderId="0" xfId="0" applyNumberFormat="1" applyFont="1" applyAlignment="1">
      <alignment horizontal="center" vertical="center"/>
    </xf>
    <xf numFmtId="174" fontId="8" fillId="0" borderId="0" xfId="0" applyNumberFormat="1" applyFont="1"/>
    <xf numFmtId="174" fontId="8" fillId="0" borderId="0" xfId="0" applyNumberFormat="1" applyFont="1" applyAlignment="1">
      <alignment horizontal="center"/>
    </xf>
    <xf numFmtId="174" fontId="0" fillId="0" borderId="0" xfId="0" applyNumberFormat="1"/>
    <xf numFmtId="170" fontId="6" fillId="0" borderId="0" xfId="0" applyNumberFormat="1" applyFont="1" applyAlignment="1">
      <alignment horizontal="center"/>
    </xf>
    <xf numFmtId="173" fontId="6" fillId="0" borderId="0" xfId="0" applyNumberFormat="1" applyFont="1"/>
    <xf numFmtId="174" fontId="6" fillId="0" borderId="0" xfId="0" applyNumberFormat="1" applyFont="1"/>
    <xf numFmtId="1" fontId="6" fillId="0" borderId="0" xfId="0" applyNumberFormat="1" applyFont="1"/>
    <xf numFmtId="168" fontId="6" fillId="0" borderId="0" xfId="0" applyNumberFormat="1" applyFont="1"/>
    <xf numFmtId="166" fontId="6" fillId="0" borderId="0" xfId="0" applyNumberFormat="1" applyFont="1"/>
    <xf numFmtId="164" fontId="5" fillId="3" borderId="0" xfId="0" applyNumberFormat="1" applyFont="1" applyFill="1" applyAlignment="1">
      <alignment horizontal="center"/>
    </xf>
    <xf numFmtId="175" fontId="5" fillId="0" borderId="0" xfId="0" applyNumberFormat="1" applyFont="1" applyAlignment="1">
      <alignment horizontal="center"/>
    </xf>
    <xf numFmtId="175" fontId="8" fillId="3" borderId="0" xfId="0" applyNumberFormat="1" applyFont="1" applyFill="1" applyAlignment="1">
      <alignment horizontal="center"/>
    </xf>
    <xf numFmtId="1" fontId="8" fillId="0" borderId="0" xfId="0" applyNumberFormat="1" applyFont="1" applyAlignment="1">
      <alignment horizontal="center"/>
    </xf>
    <xf numFmtId="175" fontId="8" fillId="0" borderId="0" xfId="0" applyNumberFormat="1" applyFont="1" applyAlignment="1">
      <alignment horizontal="center"/>
    </xf>
    <xf numFmtId="175" fontId="8" fillId="0" borderId="0" xfId="0" applyNumberFormat="1" applyFont="1" applyAlignment="1">
      <alignment horizontal="center" vertical="center" wrapText="1"/>
    </xf>
    <xf numFmtId="1" fontId="8" fillId="0" borderId="0" xfId="2" applyNumberFormat="1" applyFont="1" applyAlignment="1">
      <alignment horizontal="center"/>
    </xf>
    <xf numFmtId="174" fontId="8" fillId="0" borderId="0" xfId="0" applyNumberFormat="1" applyFont="1" applyAlignment="1">
      <alignment horizontal="left"/>
    </xf>
    <xf numFmtId="174" fontId="8" fillId="0" borderId="0" xfId="2" applyNumberFormat="1" applyFont="1"/>
    <xf numFmtId="171" fontId="8" fillId="0" borderId="0" xfId="2" applyNumberFormat="1" applyFont="1"/>
    <xf numFmtId="176" fontId="6" fillId="0" borderId="0" xfId="0" applyNumberFormat="1" applyFont="1"/>
    <xf numFmtId="9" fontId="6" fillId="0" borderId="0" xfId="3" applyFont="1" applyAlignment="1">
      <alignment horizontal="center"/>
    </xf>
    <xf numFmtId="9" fontId="6" fillId="0" borderId="0" xfId="3" applyFont="1"/>
    <xf numFmtId="9" fontId="0" fillId="0" borderId="0" xfId="3" applyFont="1"/>
    <xf numFmtId="9" fontId="0" fillId="0" borderId="0" xfId="3" applyFont="1" applyAlignment="1">
      <alignment horizontal="center"/>
    </xf>
    <xf numFmtId="9" fontId="6" fillId="3" borderId="0" xfId="3" applyFont="1" applyFill="1"/>
    <xf numFmtId="9" fontId="0" fillId="3" borderId="0" xfId="3" applyFont="1" applyFill="1"/>
    <xf numFmtId="0" fontId="12" fillId="0" borderId="1" xfId="5" applyFont="1" applyAlignment="1">
      <alignment horizontal="center" vertical="center"/>
    </xf>
    <xf numFmtId="171" fontId="8" fillId="0" borderId="0" xfId="2" applyNumberFormat="1" applyFont="1" applyAlignment="1">
      <alignment wrapText="1"/>
    </xf>
    <xf numFmtId="174" fontId="8" fillId="0" borderId="0" xfId="0" applyNumberFormat="1" applyFont="1" applyAlignment="1">
      <alignment horizontal="center" wrapText="1"/>
    </xf>
    <xf numFmtId="174" fontId="12" fillId="0" borderId="1" xfId="5" applyNumberFormat="1" applyFont="1" applyAlignment="1">
      <alignment horizontal="center" vertical="center"/>
    </xf>
    <xf numFmtId="0" fontId="12" fillId="0" borderId="1" xfId="5" applyFont="1" applyAlignment="1">
      <alignment horizontal="center" vertical="center" wrapText="1"/>
    </xf>
    <xf numFmtId="9" fontId="12" fillId="0" borderId="1" xfId="5" applyNumberFormat="1" applyFont="1" applyAlignment="1">
      <alignment horizontal="center" vertical="center"/>
    </xf>
    <xf numFmtId="9" fontId="8" fillId="0" borderId="0" xfId="3" applyFont="1" applyAlignment="1">
      <alignment horizontal="center"/>
    </xf>
    <xf numFmtId="0" fontId="8" fillId="0" borderId="0" xfId="0" applyFont="1" applyAlignment="1">
      <alignment horizontal="center" vertical="center"/>
    </xf>
    <xf numFmtId="165" fontId="8" fillId="0" borderId="0" xfId="2" applyNumberFormat="1" applyFont="1" applyAlignment="1">
      <alignment horizontal="center" vertical="center"/>
    </xf>
    <xf numFmtId="9" fontId="10" fillId="2" borderId="0" xfId="1" applyNumberFormat="1" applyFont="1" applyAlignment="1">
      <alignment wrapText="1"/>
    </xf>
    <xf numFmtId="9" fontId="13" fillId="6" borderId="0" xfId="4" applyNumberFormat="1" applyFont="1" applyAlignment="1">
      <alignment wrapText="1"/>
    </xf>
    <xf numFmtId="0" fontId="6" fillId="7" borderId="0" xfId="0" applyFont="1" applyFill="1"/>
    <xf numFmtId="0" fontId="6" fillId="0" borderId="2" xfId="0" applyFont="1" applyBorder="1"/>
    <xf numFmtId="172" fontId="8" fillId="0" borderId="0" xfId="0" applyNumberFormat="1" applyFont="1"/>
    <xf numFmtId="2" fontId="8" fillId="0" borderId="0" xfId="0" applyNumberFormat="1" applyFont="1"/>
    <xf numFmtId="176" fontId="8" fillId="0" borderId="0" xfId="0" applyNumberFormat="1" applyFont="1"/>
    <xf numFmtId="0" fontId="7" fillId="0" borderId="1" xfId="5" applyFont="1" applyAlignment="1">
      <alignment horizontal="center" vertical="center"/>
    </xf>
    <xf numFmtId="175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4" fontId="7" fillId="0" borderId="0" xfId="2" applyFont="1" applyAlignment="1">
      <alignment horizontal="center" vertical="center" wrapText="1"/>
    </xf>
    <xf numFmtId="174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74" fontId="8" fillId="0" borderId="0" xfId="0" applyNumberFormat="1" applyFont="1" applyAlignment="1">
      <alignment vertical="center" wrapText="1"/>
    </xf>
    <xf numFmtId="8" fontId="8" fillId="0" borderId="0" xfId="0" applyNumberFormat="1" applyFont="1" applyAlignment="1">
      <alignment vertical="center" wrapText="1"/>
    </xf>
    <xf numFmtId="171" fontId="7" fillId="5" borderId="1" xfId="5" applyNumberFormat="1" applyFont="1" applyFill="1" applyAlignment="1">
      <alignment horizontal="center" vertical="center"/>
    </xf>
    <xf numFmtId="164" fontId="7" fillId="5" borderId="1" xfId="5" applyNumberFormat="1" applyFont="1" applyFill="1" applyAlignment="1">
      <alignment horizontal="center" vertical="center"/>
    </xf>
    <xf numFmtId="0" fontId="7" fillId="3" borderId="1" xfId="5" applyFont="1" applyFill="1" applyAlignment="1">
      <alignment horizontal="center" vertical="center"/>
    </xf>
    <xf numFmtId="171" fontId="7" fillId="4" borderId="1" xfId="5" applyNumberFormat="1" applyFont="1" applyFill="1" applyAlignment="1">
      <alignment horizontal="center" vertical="center"/>
    </xf>
    <xf numFmtId="167" fontId="7" fillId="4" borderId="1" xfId="5" applyNumberFormat="1" applyFont="1" applyFill="1" applyAlignment="1">
      <alignment horizontal="center" vertical="center"/>
    </xf>
    <xf numFmtId="174" fontId="7" fillId="3" borderId="1" xfId="5" applyNumberFormat="1" applyFont="1" applyFill="1" applyAlignment="1">
      <alignment horizontal="center" vertical="center"/>
    </xf>
    <xf numFmtId="171" fontId="7" fillId="0" borderId="1" xfId="5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75" fontId="7" fillId="0" borderId="1" xfId="5" applyNumberFormat="1" applyFont="1" applyAlignment="1">
      <alignment horizontal="left" vertical="center"/>
    </xf>
    <xf numFmtId="0" fontId="7" fillId="0" borderId="1" xfId="5" applyFont="1" applyAlignment="1">
      <alignment horizontal="left" vertical="center"/>
    </xf>
    <xf numFmtId="168" fontId="7" fillId="0" borderId="1" xfId="5" applyNumberFormat="1" applyFont="1" applyAlignment="1">
      <alignment horizontal="left" vertical="center"/>
    </xf>
    <xf numFmtId="44" fontId="7" fillId="0" borderId="1" xfId="5" applyNumberFormat="1" applyFont="1" applyAlignment="1">
      <alignment horizontal="left" vertical="center"/>
    </xf>
    <xf numFmtId="174" fontId="7" fillId="0" borderId="1" xfId="5" applyNumberFormat="1" applyFont="1" applyAlignment="1">
      <alignment horizontal="left" vertical="center"/>
    </xf>
    <xf numFmtId="1" fontId="7" fillId="0" borderId="1" xfId="5" applyNumberFormat="1" applyFont="1" applyAlignment="1">
      <alignment horizontal="left" vertical="center"/>
    </xf>
    <xf numFmtId="177" fontId="6" fillId="0" borderId="0" xfId="3" applyNumberFormat="1" applyFont="1"/>
    <xf numFmtId="0" fontId="6" fillId="0" borderId="0" xfId="0" applyFont="1" applyAlignment="1">
      <alignment horizontal="center" vertical="center" wrapText="1"/>
    </xf>
    <xf numFmtId="0" fontId="0" fillId="13" borderId="0" xfId="0" applyFill="1"/>
    <xf numFmtId="0" fontId="6" fillId="13" borderId="0" xfId="0" applyFont="1" applyFill="1" applyAlignment="1">
      <alignment horizontal="center" vertical="center"/>
    </xf>
    <xf numFmtId="0" fontId="6" fillId="13" borderId="0" xfId="0" applyFont="1" applyFill="1" applyAlignment="1">
      <alignment vertical="center"/>
    </xf>
    <xf numFmtId="0" fontId="6" fillId="13" borderId="0" xfId="0" applyFont="1" applyFill="1"/>
    <xf numFmtId="168" fontId="6" fillId="13" borderId="0" xfId="0" applyNumberFormat="1" applyFont="1" applyFill="1"/>
    <xf numFmtId="174" fontId="6" fillId="13" borderId="0" xfId="0" applyNumberFormat="1" applyFont="1" applyFill="1"/>
    <xf numFmtId="9" fontId="6" fillId="13" borderId="0" xfId="3" applyFont="1" applyFill="1" applyAlignment="1">
      <alignment horizontal="center"/>
    </xf>
    <xf numFmtId="177" fontId="6" fillId="13" borderId="0" xfId="3" applyNumberFormat="1" applyFont="1" applyFill="1" applyAlignment="1">
      <alignment horizontal="center"/>
    </xf>
    <xf numFmtId="0" fontId="17" fillId="16" borderId="0" xfId="6"/>
    <xf numFmtId="0" fontId="17" fillId="16" borderId="0" xfId="6" applyAlignment="1">
      <alignment horizontal="center" vertical="center"/>
    </xf>
    <xf numFmtId="44" fontId="12" fillId="14" borderId="0" xfId="2" applyFont="1" applyFill="1" applyBorder="1" applyAlignment="1">
      <alignment horizontal="center" vertical="center"/>
    </xf>
    <xf numFmtId="174" fontId="12" fillId="15" borderId="3" xfId="0" applyNumberFormat="1" applyFont="1" applyFill="1" applyBorder="1" applyAlignment="1">
      <alignment horizontal="center" vertical="center"/>
    </xf>
    <xf numFmtId="174" fontId="12" fillId="15" borderId="0" xfId="0" applyNumberFormat="1" applyFont="1" applyFill="1" applyAlignment="1">
      <alignment horizontal="center" vertical="center"/>
    </xf>
    <xf numFmtId="0" fontId="16" fillId="13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74" fontId="14" fillId="8" borderId="0" xfId="0" applyNumberFormat="1" applyFont="1" applyFill="1" applyAlignment="1">
      <alignment horizontal="center" vertical="center"/>
    </xf>
    <xf numFmtId="174" fontId="14" fillId="9" borderId="0" xfId="0" applyNumberFormat="1" applyFont="1" applyFill="1" applyAlignment="1">
      <alignment horizontal="center" vertical="center"/>
    </xf>
    <xf numFmtId="174" fontId="14" fillId="10" borderId="0" xfId="0" applyNumberFormat="1" applyFont="1" applyFill="1" applyAlignment="1">
      <alignment horizontal="center" vertical="center"/>
    </xf>
    <xf numFmtId="174" fontId="14" fillId="11" borderId="0" xfId="2" applyNumberFormat="1" applyFont="1" applyFill="1" applyAlignment="1">
      <alignment horizontal="center" vertical="center"/>
    </xf>
    <xf numFmtId="9" fontId="14" fillId="12" borderId="0" xfId="3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</cellXfs>
  <cellStyles count="7">
    <cellStyle name="Bad" xfId="4" builtinId="27"/>
    <cellStyle name="Currency" xfId="2" builtinId="4"/>
    <cellStyle name="Good" xfId="1" builtinId="26"/>
    <cellStyle name="Neutral" xfId="6" builtinId="28"/>
    <cellStyle name="Normal" xfId="0" builtinId="0"/>
    <cellStyle name="Percent" xfId="3" builtinId="5"/>
    <cellStyle name="Total" xfId="5" builtinId="25"/>
  </cellStyles>
  <dxfs count="75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/>
        <i val="0"/>
        <color theme="9"/>
      </font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4" formatCode="_-[$$-409]* #,##0_ ;_-[$$-409]* \-#,##0\ ;_-[$$-409]* &quot;-&quot;??_ ;_-@_ 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0.000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4" formatCode="_-[$$-409]* #,##0_ ;_-[$$-409]* \-#,##0\ ;_-[$$-409]* &quot;-&quot;??_ ;_-@_ 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0.00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4" formatCode="_-[$$-409]* #,##0_ ;_-[$$-409]* \-#,##0\ ;_-[$$-409]* &quot;-&quot;??_ ;_-@_ 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168" formatCode="_-[$$-409]* #,##0.00_ ;_-[$$-409]* \-#,##0.00\ ;_-[$$-409]* &quot;-&quot;??_ ;_-@_ 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_-[$$-409]* #,##0.00_ ;_-[$$-409]* \-#,##0.00\ ;_-[$$-409]* &quot;-&quot;??_ ;_-@_ "/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5" formatCode="[$-14009]dd/mm/yy;@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4" formatCode="_-[$$-409]* #,##0_ ;_-[$$-409]* \-#,##0\ ;_-[$$-409]* &quot;-&quot;??_ ;_-@_ "/>
      <fill>
        <patternFill patternType="solid">
          <fgColor indexed="64"/>
          <bgColor theme="7" tint="0.5999938962981048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4" formatCode="_-[$$-409]* #,##0_ ;_-[$$-409]* \-#,##0\ ;_-[$$-409]* &quot;-&quot;??_ ;_-@_ "/>
      <fill>
        <patternFill patternType="solid">
          <fgColor indexed="64"/>
          <bgColor theme="7" tint="0.5999938962981048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4" formatCode="_-[$$-409]* #,##0_ ;_-[$$-409]* \-#,##0\ ;_-[$$-409]* &quot;-&quot;??_ ;_-@_ "/>
      <fill>
        <patternFill patternType="solid">
          <fgColor indexed="64"/>
          <bgColor theme="7" tint="0.5999938962981048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4" formatCode="_-[$$-409]* #,##0_ ;_-[$$-409]* \-#,##0\ ;_-[$$-409]* &quot;-&quot;??_ ;_-@_ "/>
      <fill>
        <patternFill patternType="solid">
          <fgColor indexed="64"/>
          <bgColor theme="7" tint="0.5999938962981048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8" formatCode="_-[$$-409]* #,##0.00_ ;_-[$$-409]* \-#,##0.00\ ;_-[$$-409]* &quot;-&quot;??_ ;_-@_ "/>
      <fill>
        <patternFill patternType="solid">
          <fgColor indexed="64"/>
          <bgColor theme="7" tint="0.5999938962981048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5999938962981048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1" formatCode="_ [$₹-4009]\ * #,##0_ ;_ [$₹-4009]\ * \-#,##0_ ;_ [$₹-400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4" formatCode="_-[$$-409]* #,##0_ ;_-[$$-409]* \-#,##0\ ;_-[$$-409]* &quot;-&quot;??_ ;_-@_ 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175" formatCode="[$-14009]dd/mm/yy;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171" formatCode="_ [$₹-4009]\ * #,##0_ ;_ [$₹-4009]\ * \-#,##0_ ;_ [$₹-4009]\ * &quot;-&quot;??_ ;_ @_ 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-F800]dddd\,\ mmmm\ dd\,\ 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175" formatCode="[$-14009]dd/mm/yy;@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171" formatCode="_ [$₹-4009]\ * #,##0_ ;_ [$₹-4009]\ * \-#,##0_ ;_ [$₹-4009]\ * &quot;-&quot;??_ ;_ @_ 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4" formatCode="_-[$$-409]* #,##0_ ;_-[$$-409]* \-#,##0\ ;_-[$$-409]* &quot;-&quot;??_ ;_-@_ 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4" formatCode="_-[$$-409]* #,##0_ ;_-[$$-409]* \-#,##0\ ;_-[$$-409]* &quot;-&quot;??_ ;_-@_ 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4" formatCode="_-[$$-409]* #,##0_ ;_-[$$-409]* \-#,##0\ ;_-[$$-409]* &quot;-&quot;??_ ;_-@_ 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4" formatCode="_-[$$-409]* #,##0_ ;_-[$$-409]* \-#,##0\ ;_-[$$-409]* &quot;-&quot;??_ ;_-@_ 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65A0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5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IN" sz="1400">
                <a:solidFill>
                  <a:srgbClr val="002060"/>
                </a:solidFill>
              </a:rPr>
              <a:t>unrealized</a:t>
            </a:r>
            <a:r>
              <a:rPr lang="en-IN" sz="1400" baseline="0">
                <a:solidFill>
                  <a:srgbClr val="002060"/>
                </a:solidFill>
              </a:rPr>
              <a:t> roi</a:t>
            </a:r>
            <a:endParaRPr lang="en-IN" sz="1400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5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70553735705459E-2"/>
          <c:y val="5.5381760142533674E-2"/>
          <c:w val="0.90067401394170188"/>
          <c:h val="0.85940919521244907"/>
        </c:manualLayout>
      </c:layout>
      <c:barChart>
        <c:barDir val="bar"/>
        <c:grouping val="clustered"/>
        <c:varyColors val="0"/>
        <c:ser>
          <c:idx val="0"/>
          <c:order val="0"/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dLbl>
              <c:idx val="8"/>
              <c:layout>
                <c:manualLayout>
                  <c:x val="-0.10649867889926208"/>
                  <c:y val="-2.1751067105716603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38E-453C-8020-2FECA903FD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Dashboard!$C$7:$C$16</c:f>
              <c:strCache>
                <c:ptCount val="10"/>
                <c:pt idx="0">
                  <c:v>BTC</c:v>
                </c:pt>
                <c:pt idx="1">
                  <c:v>SOL</c:v>
                </c:pt>
                <c:pt idx="2">
                  <c:v>ETH</c:v>
                </c:pt>
                <c:pt idx="3">
                  <c:v>ADA</c:v>
                </c:pt>
                <c:pt idx="4">
                  <c:v>LINK</c:v>
                </c:pt>
                <c:pt idx="5">
                  <c:v>XLM</c:v>
                </c:pt>
                <c:pt idx="6">
                  <c:v>AVAX</c:v>
                </c:pt>
                <c:pt idx="7">
                  <c:v>LTC</c:v>
                </c:pt>
                <c:pt idx="8">
                  <c:v>DOT</c:v>
                </c:pt>
                <c:pt idx="9">
                  <c:v>UNI</c:v>
                </c:pt>
              </c:strCache>
            </c:strRef>
          </c:cat>
          <c:val>
            <c:numRef>
              <c:f>Dashboard!$J$7:$J$16</c:f>
              <c:numCache>
                <c:formatCode>0%</c:formatCode>
                <c:ptCount val="10"/>
                <c:pt idx="0">
                  <c:v>1.4070501034255101</c:v>
                </c:pt>
                <c:pt idx="1">
                  <c:v>7.0747925207479243</c:v>
                </c:pt>
                <c:pt idx="2">
                  <c:v>0.33763887038406137</c:v>
                </c:pt>
                <c:pt idx="3">
                  <c:v>0.78581519625815188</c:v>
                </c:pt>
                <c:pt idx="4">
                  <c:v>1.0198980101989803</c:v>
                </c:pt>
                <c:pt idx="5">
                  <c:v>1.7168283171682832</c:v>
                </c:pt>
                <c:pt idx="6">
                  <c:v>1.1268873112688731</c:v>
                </c:pt>
                <c:pt idx="7">
                  <c:v>0.11611338866113399</c:v>
                </c:pt>
                <c:pt idx="8" formatCode="0.0%">
                  <c:v>-7.3326000733260011E-2</c:v>
                </c:pt>
                <c:pt idx="9">
                  <c:v>0.29197080291970801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9E-48BA-AF64-4922C2AC1C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676039279"/>
        <c:axId val="676039759"/>
      </c:barChart>
      <c:catAx>
        <c:axId val="67603927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t" anchorCtr="1"/>
          <a:lstStyle/>
          <a:p>
            <a:pPr>
              <a:defRPr sz="700" b="1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039759"/>
        <c:crosses val="autoZero"/>
        <c:auto val="1"/>
        <c:lblAlgn val="ctr"/>
        <c:lblOffset val="100"/>
        <c:noMultiLvlLbl val="0"/>
      </c:catAx>
      <c:valAx>
        <c:axId val="676039759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039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0070C0"/>
                </a:solidFill>
              </a:rPr>
              <a:t>Purchase</a:t>
            </a:r>
            <a:r>
              <a:rPr lang="en-IN" b="1" baseline="0">
                <a:solidFill>
                  <a:srgbClr val="0070C0"/>
                </a:solidFill>
              </a:rPr>
              <a:t> value </a:t>
            </a:r>
            <a:r>
              <a:rPr lang="en-IN" b="1" baseline="0"/>
              <a:t>vs </a:t>
            </a:r>
            <a:r>
              <a:rPr lang="en-IN" b="1" baseline="0">
                <a:solidFill>
                  <a:srgbClr val="00B050"/>
                </a:solidFill>
              </a:rPr>
              <a:t>Unrealized value</a:t>
            </a:r>
            <a:endParaRPr lang="en-IN" b="1">
              <a:solidFill>
                <a:srgbClr val="00B05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212292213473316"/>
          <c:y val="0.17171296296296296"/>
          <c:w val="0.82991426071741037"/>
          <c:h val="0.72088764946048411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accent5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Dashboard!$C$7:$C$16</c:f>
              <c:strCache>
                <c:ptCount val="10"/>
                <c:pt idx="0">
                  <c:v>BTC</c:v>
                </c:pt>
                <c:pt idx="1">
                  <c:v>SOL</c:v>
                </c:pt>
                <c:pt idx="2">
                  <c:v>ETH</c:v>
                </c:pt>
                <c:pt idx="3">
                  <c:v>ADA</c:v>
                </c:pt>
                <c:pt idx="4">
                  <c:v>LINK</c:v>
                </c:pt>
                <c:pt idx="5">
                  <c:v>XLM</c:v>
                </c:pt>
                <c:pt idx="6">
                  <c:v>AVAX</c:v>
                </c:pt>
                <c:pt idx="7">
                  <c:v>LTC</c:v>
                </c:pt>
                <c:pt idx="8">
                  <c:v>DOT</c:v>
                </c:pt>
                <c:pt idx="9">
                  <c:v>UNI</c:v>
                </c:pt>
              </c:strCache>
            </c:strRef>
          </c:cat>
          <c:val>
            <c:numRef>
              <c:f>Dashboard!$G$7:$G$16</c:f>
              <c:numCache>
                <c:formatCode>_-[$$-409]* #,##0_ ;_-[$$-409]* \-#,##0\ ;_-[$$-409]* "-"??_ ;_-@_ </c:formatCode>
                <c:ptCount val="10"/>
                <c:pt idx="0">
                  <c:v>2352.8314134615384</c:v>
                </c:pt>
                <c:pt idx="1">
                  <c:v>600.05999999999995</c:v>
                </c:pt>
                <c:pt idx="2">
                  <c:v>1955.1955</c:v>
                </c:pt>
                <c:pt idx="3">
                  <c:v>900.09</c:v>
                </c:pt>
                <c:pt idx="4">
                  <c:v>700.06999999999994</c:v>
                </c:pt>
                <c:pt idx="5">
                  <c:v>500.05</c:v>
                </c:pt>
                <c:pt idx="6">
                  <c:v>500.05</c:v>
                </c:pt>
                <c:pt idx="7">
                  <c:v>800.08</c:v>
                </c:pt>
                <c:pt idx="8">
                  <c:v>900.09</c:v>
                </c:pt>
                <c:pt idx="9">
                  <c:v>500.05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A2-402E-9CA1-4952AD0920EA}"/>
            </c:ext>
          </c:extLst>
        </c:ser>
        <c:ser>
          <c:idx val="1"/>
          <c:order val="1"/>
          <c:spPr>
            <a:solidFill>
              <a:srgbClr val="92D050"/>
            </a:solidFill>
            <a:ln>
              <a:solidFill>
                <a:schemeClr val="accent6">
                  <a:lumMod val="75000"/>
                </a:schemeClr>
              </a:solidFill>
            </a:ln>
            <a:effectLst/>
            <a:sp3d>
              <a:contourClr>
                <a:schemeClr val="accent6">
                  <a:lumMod val="75000"/>
                </a:schemeClr>
              </a:contourClr>
            </a:sp3d>
          </c:spPr>
          <c:invertIfNegative val="0"/>
          <c:dLbls>
            <c:dLbl>
              <c:idx val="7"/>
              <c:layout>
                <c:manualLayout>
                  <c:x val="5.1730275897520286E-3"/>
                  <c:y val="-4.21402995463743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994-42B7-9EA3-672318655B3E}"/>
                </c:ext>
              </c:extLst>
            </c:dLbl>
            <c:dLbl>
              <c:idx val="8"/>
              <c:layout>
                <c:manualLayout>
                  <c:x val="1.81055965641321E-2"/>
                  <c:y val="-2.80935330309160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994-42B7-9EA3-672318655B3E}"/>
                </c:ext>
              </c:extLst>
            </c:dLbl>
            <c:dLbl>
              <c:idx val="9"/>
              <c:layout>
                <c:manualLayout>
                  <c:x val="2.8451651743636158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994-42B7-9EA3-672318655B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Dashboard!$C$7:$C$16</c:f>
              <c:strCache>
                <c:ptCount val="10"/>
                <c:pt idx="0">
                  <c:v>BTC</c:v>
                </c:pt>
                <c:pt idx="1">
                  <c:v>SOL</c:v>
                </c:pt>
                <c:pt idx="2">
                  <c:v>ETH</c:v>
                </c:pt>
                <c:pt idx="3">
                  <c:v>ADA</c:v>
                </c:pt>
                <c:pt idx="4">
                  <c:v>LINK</c:v>
                </c:pt>
                <c:pt idx="5">
                  <c:v>XLM</c:v>
                </c:pt>
                <c:pt idx="6">
                  <c:v>AVAX</c:v>
                </c:pt>
                <c:pt idx="7">
                  <c:v>LTC</c:v>
                </c:pt>
                <c:pt idx="8">
                  <c:v>DOT</c:v>
                </c:pt>
                <c:pt idx="9">
                  <c:v>UNI</c:v>
                </c:pt>
              </c:strCache>
            </c:strRef>
          </c:cat>
          <c:val>
            <c:numRef>
              <c:f>Dashboard!$H$7:$H$16</c:f>
              <c:numCache>
                <c:formatCode>_-[$$-409]* #,##0_ ;_-[$$-409]* \-#,##0\ ;_-[$$-409]* "-"??_ ;_-@_ </c:formatCode>
                <c:ptCount val="10"/>
                <c:pt idx="0">
                  <c:v>5663.1478375000006</c:v>
                </c:pt>
                <c:pt idx="1">
                  <c:v>4845.2999999999993</c:v>
                </c:pt>
                <c:pt idx="2">
                  <c:v>2615.15</c:v>
                </c:pt>
                <c:pt idx="3">
                  <c:v>1607.3044</c:v>
                </c:pt>
                <c:pt idx="4">
                  <c:v>1414</c:v>
                </c:pt>
                <c:pt idx="5">
                  <c:v>1358.5</c:v>
                </c:pt>
                <c:pt idx="6">
                  <c:v>1063.5</c:v>
                </c:pt>
                <c:pt idx="7">
                  <c:v>892.90000000000009</c:v>
                </c:pt>
                <c:pt idx="8">
                  <c:v>834</c:v>
                </c:pt>
                <c:pt idx="9">
                  <c:v>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A2-402E-9CA1-4952AD092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055819871"/>
        <c:axId val="1055825631"/>
        <c:axId val="0"/>
      </c:bar3DChart>
      <c:catAx>
        <c:axId val="10558198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825631"/>
        <c:crosses val="autoZero"/>
        <c:auto val="1"/>
        <c:lblAlgn val="ctr"/>
        <c:lblOffset val="100"/>
        <c:noMultiLvlLbl val="0"/>
      </c:catAx>
      <c:valAx>
        <c:axId val="1055825631"/>
        <c:scaling>
          <c:orientation val="minMax"/>
        </c:scaling>
        <c:delete val="0"/>
        <c:axPos val="l"/>
        <c:numFmt formatCode="_-[$$-409]* #,##0_ ;_-[$$-409]* \-#,##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819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kern="1200" spc="0" baseline="0">
                <a:solidFill>
                  <a:srgbClr val="00B050"/>
                </a:solidFill>
              </a:rPr>
              <a:t>Unrealized value / </a:t>
            </a:r>
            <a:r>
              <a:rPr lang="en-IN" sz="1400" b="1" i="0" u="none" strike="noStrike" kern="1200" spc="0" baseline="0">
                <a:solidFill>
                  <a:srgbClr val="00B0F0"/>
                </a:solidFill>
              </a:rPr>
              <a:t>Profit</a:t>
            </a:r>
            <a:endParaRPr lang="en-IN" sz="1800" b="1">
              <a:solidFill>
                <a:srgbClr val="00B0F0"/>
              </a:solidFill>
            </a:endParaRPr>
          </a:p>
        </c:rich>
      </c:tx>
      <c:layout>
        <c:manualLayout>
          <c:xMode val="edge"/>
          <c:yMode val="edge"/>
          <c:x val="0.4039374453193350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>
        <c:manualLayout>
          <c:layoutTarget val="inner"/>
          <c:xMode val="edge"/>
          <c:yMode val="edge"/>
          <c:x val="0.11562105770349151"/>
          <c:y val="2.5428331875182276E-2"/>
          <c:w val="0.88437894229650849"/>
          <c:h val="0.949311435825326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rgbClr val="065A0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Dashboard!$C$7:$C$16</c:f>
              <c:strCache>
                <c:ptCount val="10"/>
                <c:pt idx="0">
                  <c:v>BTC</c:v>
                </c:pt>
                <c:pt idx="1">
                  <c:v>SOL</c:v>
                </c:pt>
                <c:pt idx="2">
                  <c:v>ETH</c:v>
                </c:pt>
                <c:pt idx="3">
                  <c:v>ADA</c:v>
                </c:pt>
                <c:pt idx="4">
                  <c:v>LINK</c:v>
                </c:pt>
                <c:pt idx="5">
                  <c:v>XLM</c:v>
                </c:pt>
                <c:pt idx="6">
                  <c:v>AVAX</c:v>
                </c:pt>
                <c:pt idx="7">
                  <c:v>LTC</c:v>
                </c:pt>
                <c:pt idx="8">
                  <c:v>DOT</c:v>
                </c:pt>
                <c:pt idx="9">
                  <c:v>UNI</c:v>
                </c:pt>
              </c:strCache>
            </c:strRef>
          </c:cat>
          <c:val>
            <c:numRef>
              <c:f>Dashboard!$H$7:$H$16</c:f>
              <c:numCache>
                <c:formatCode>_-[$$-409]* #,##0_ ;_-[$$-409]* \-#,##0\ ;_-[$$-409]* "-"??_ ;_-@_ </c:formatCode>
                <c:ptCount val="10"/>
                <c:pt idx="0">
                  <c:v>5663.1478375000006</c:v>
                </c:pt>
                <c:pt idx="1">
                  <c:v>4845.2999999999993</c:v>
                </c:pt>
                <c:pt idx="2">
                  <c:v>2615.15</c:v>
                </c:pt>
                <c:pt idx="3">
                  <c:v>1607.3044</c:v>
                </c:pt>
                <c:pt idx="4">
                  <c:v>1414</c:v>
                </c:pt>
                <c:pt idx="5">
                  <c:v>1358.5</c:v>
                </c:pt>
                <c:pt idx="6">
                  <c:v>1063.5</c:v>
                </c:pt>
                <c:pt idx="7">
                  <c:v>892.90000000000009</c:v>
                </c:pt>
                <c:pt idx="8">
                  <c:v>834</c:v>
                </c:pt>
                <c:pt idx="9">
                  <c:v>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A-4150-9EF1-A15615A2B2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336374831"/>
        <c:axId val="1336372431"/>
      </c:barChart>
      <c:lineChart>
        <c:grouping val="stacked"/>
        <c:varyColors val="0"/>
        <c:ser>
          <c:idx val="1"/>
          <c:order val="1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5.0808506959799051E-17"/>
                  <c:y val="-2.72108940707034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F68-4A20-8B30-E328EB3D9730}"/>
                </c:ext>
              </c:extLst>
            </c:dLbl>
            <c:dLbl>
              <c:idx val="4"/>
              <c:layout>
                <c:manualLayout>
                  <c:x val="0"/>
                  <c:y val="-3.62811920942711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F68-4A20-8B30-E328EB3D9730}"/>
                </c:ext>
              </c:extLst>
            </c:dLbl>
            <c:dLbl>
              <c:idx val="7"/>
              <c:layout>
                <c:manualLayout>
                  <c:x val="2.7725026245994334E-3"/>
                  <c:y val="-3.67919851412526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F68-4A20-8B30-E328EB3D9730}"/>
                </c:ext>
              </c:extLst>
            </c:dLbl>
            <c:dLbl>
              <c:idx val="8"/>
              <c:layout>
                <c:manualLayout>
                  <c:x val="1.0165725521535889E-16"/>
                  <c:y val="-5.97869758545354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F68-4A20-8B30-E328EB3D97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Dashboard!$C$7:$C$16</c:f>
              <c:strCache>
                <c:ptCount val="10"/>
                <c:pt idx="0">
                  <c:v>BTC</c:v>
                </c:pt>
                <c:pt idx="1">
                  <c:v>SOL</c:v>
                </c:pt>
                <c:pt idx="2">
                  <c:v>ETH</c:v>
                </c:pt>
                <c:pt idx="3">
                  <c:v>ADA</c:v>
                </c:pt>
                <c:pt idx="4">
                  <c:v>LINK</c:v>
                </c:pt>
                <c:pt idx="5">
                  <c:v>XLM</c:v>
                </c:pt>
                <c:pt idx="6">
                  <c:v>AVAX</c:v>
                </c:pt>
                <c:pt idx="7">
                  <c:v>LTC</c:v>
                </c:pt>
                <c:pt idx="8">
                  <c:v>DOT</c:v>
                </c:pt>
                <c:pt idx="9">
                  <c:v>UNI</c:v>
                </c:pt>
              </c:strCache>
            </c:strRef>
          </c:cat>
          <c:val>
            <c:numRef>
              <c:f>Dashboard!$I$7:$I$16</c:f>
              <c:numCache>
                <c:formatCode>_-[$$-409]* #,##0_ ;_-[$$-409]* \-#,##0\ ;_-[$$-409]* "-"??_ ;_-@_ </c:formatCode>
                <c:ptCount val="10"/>
                <c:pt idx="0">
                  <c:v>3310.5516836538468</c:v>
                </c:pt>
                <c:pt idx="1">
                  <c:v>4245.2999999999993</c:v>
                </c:pt>
                <c:pt idx="2">
                  <c:v>660.15000000000009</c:v>
                </c:pt>
                <c:pt idx="3">
                  <c:v>707.30439999999999</c:v>
                </c:pt>
                <c:pt idx="4">
                  <c:v>714</c:v>
                </c:pt>
                <c:pt idx="5">
                  <c:v>858.5</c:v>
                </c:pt>
                <c:pt idx="6">
                  <c:v>563.5</c:v>
                </c:pt>
                <c:pt idx="7">
                  <c:v>92.900000000000091</c:v>
                </c:pt>
                <c:pt idx="8">
                  <c:v>-66</c:v>
                </c:pt>
                <c:pt idx="9">
                  <c:v>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CA-4150-9EF1-A15615A2B2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6374831"/>
        <c:axId val="1336372431"/>
      </c:lineChart>
      <c:catAx>
        <c:axId val="13363748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372431"/>
        <c:crosses val="autoZero"/>
        <c:auto val="1"/>
        <c:lblAlgn val="ctr"/>
        <c:lblOffset val="100"/>
        <c:noMultiLvlLbl val="0"/>
      </c:catAx>
      <c:valAx>
        <c:axId val="1336372431"/>
        <c:scaling>
          <c:orientation val="minMax"/>
        </c:scaling>
        <c:delete val="0"/>
        <c:axPos val="l"/>
        <c:numFmt formatCode="_-[$$-409]* #,##0_ ;_-[$$-409]* \-#,##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374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65A06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065A06"/>
                </a:solidFill>
              </a:rPr>
              <a:t>Unrealized Allocation</a:t>
            </a:r>
          </a:p>
        </c:rich>
      </c:tx>
      <c:layout>
        <c:manualLayout>
          <c:xMode val="edge"/>
          <c:yMode val="edge"/>
          <c:x val="0.25476685788732689"/>
          <c:y val="2.97007125820049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65A0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60D-4291-B17B-F49C67C3A8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60D-4291-B17B-F49C67C3A8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60D-4291-B17B-F49C67C3A8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60D-4291-B17B-F49C67C3A81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60D-4291-B17B-F49C67C3A81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60D-4291-B17B-F49C67C3A81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60D-4291-B17B-F49C67C3A81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60D-4291-B17B-F49C67C3A81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60D-4291-B17B-F49C67C3A81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60D-4291-B17B-F49C67C3A810}"/>
              </c:ext>
            </c:extLst>
          </c:dPt>
          <c:dLbls>
            <c:dLbl>
              <c:idx val="6"/>
              <c:layout>
                <c:manualLayout>
                  <c:x val="-8.0872775552817721E-4"/>
                  <c:y val="3.022689922376074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60D-4291-B17B-F49C67C3A810}"/>
                </c:ext>
              </c:extLst>
            </c:dLbl>
            <c:dLbl>
              <c:idx val="7"/>
              <c:layout>
                <c:manualLayout>
                  <c:x val="-6.9002898425596006E-3"/>
                  <c:y val="2.172316243415969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60D-4291-B17B-F49C67C3A810}"/>
                </c:ext>
              </c:extLst>
            </c:dLbl>
            <c:dLbl>
              <c:idx val="8"/>
              <c:layout>
                <c:manualLayout>
                  <c:x val="2.3276756310363464E-3"/>
                  <c:y val="-1.6865719663764519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60D-4291-B17B-F49C67C3A8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Dashboard!$C$7:$C$16</c:f>
              <c:strCache>
                <c:ptCount val="10"/>
                <c:pt idx="0">
                  <c:v>BTC</c:v>
                </c:pt>
                <c:pt idx="1">
                  <c:v>SOL</c:v>
                </c:pt>
                <c:pt idx="2">
                  <c:v>ETH</c:v>
                </c:pt>
                <c:pt idx="3">
                  <c:v>ADA</c:v>
                </c:pt>
                <c:pt idx="4">
                  <c:v>LINK</c:v>
                </c:pt>
                <c:pt idx="5">
                  <c:v>XLM</c:v>
                </c:pt>
                <c:pt idx="6">
                  <c:v>AVAX</c:v>
                </c:pt>
                <c:pt idx="7">
                  <c:v>LTC</c:v>
                </c:pt>
                <c:pt idx="8">
                  <c:v>DOT</c:v>
                </c:pt>
                <c:pt idx="9">
                  <c:v>UNI</c:v>
                </c:pt>
              </c:strCache>
            </c:strRef>
          </c:cat>
          <c:val>
            <c:numRef>
              <c:f>Dashboard!$K$7:$K$16</c:f>
              <c:numCache>
                <c:formatCode>0%</c:formatCode>
                <c:ptCount val="10"/>
                <c:pt idx="0">
                  <c:v>0.27044896476425001</c:v>
                </c:pt>
                <c:pt idx="1">
                  <c:v>0.2313918701353733</c:v>
                </c:pt>
                <c:pt idx="2">
                  <c:v>0.12488895407601626</c:v>
                </c:pt>
                <c:pt idx="3">
                  <c:v>7.6758337149983313E-2</c:v>
                </c:pt>
                <c:pt idx="4">
                  <c:v>6.7526903261184629E-2</c:v>
                </c:pt>
                <c:pt idx="5">
                  <c:v>6.4876448430211689E-2</c:v>
                </c:pt>
                <c:pt idx="6">
                  <c:v>5.0788445274589714E-2</c:v>
                </c:pt>
                <c:pt idx="7">
                  <c:v>4.2641281415779185E-2</c:v>
                </c:pt>
                <c:pt idx="8">
                  <c:v>3.9828456378944825E-2</c:v>
                </c:pt>
                <c:pt idx="9">
                  <c:v>3.0850339113667094E-2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0B-467D-9599-0E7942DE64A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55130701103224"/>
          <c:y val="0.16095651262427177"/>
          <c:w val="0.10696901363736104"/>
          <c:h val="0.7910063689753833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kern="1200" spc="0" baseline="0">
                <a:solidFill>
                  <a:srgbClr val="00B050"/>
                </a:solidFill>
              </a:rPr>
              <a:t>Purchased value / </a:t>
            </a:r>
            <a:r>
              <a:rPr lang="en-IN" sz="1400" b="1" i="0" u="none" strike="noStrike" kern="1200" spc="0" baseline="0">
                <a:solidFill>
                  <a:srgbClr val="00B0F0"/>
                </a:solidFill>
              </a:rPr>
              <a:t>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433917014756858E-2"/>
          <c:y val="0.14357600535569695"/>
          <c:w val="0.88146082132362946"/>
          <c:h val="0.83568277923592882"/>
        </c:manualLayout>
      </c:layout>
      <c:barChart>
        <c:barDir val="col"/>
        <c:grouping val="percent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Dashboard!$C$7:$C$16</c:f>
              <c:strCache>
                <c:ptCount val="10"/>
                <c:pt idx="0">
                  <c:v>BTC</c:v>
                </c:pt>
                <c:pt idx="1">
                  <c:v>SOL</c:v>
                </c:pt>
                <c:pt idx="2">
                  <c:v>ETH</c:v>
                </c:pt>
                <c:pt idx="3">
                  <c:v>ADA</c:v>
                </c:pt>
                <c:pt idx="4">
                  <c:v>LINK</c:v>
                </c:pt>
                <c:pt idx="5">
                  <c:v>XLM</c:v>
                </c:pt>
                <c:pt idx="6">
                  <c:v>AVAX</c:v>
                </c:pt>
                <c:pt idx="7">
                  <c:v>LTC</c:v>
                </c:pt>
                <c:pt idx="8">
                  <c:v>DOT</c:v>
                </c:pt>
                <c:pt idx="9">
                  <c:v>UNI</c:v>
                </c:pt>
              </c:strCache>
            </c:strRef>
          </c:cat>
          <c:val>
            <c:numRef>
              <c:f>Dashboard!$G$7:$G$16</c:f>
              <c:numCache>
                <c:formatCode>_-[$$-409]* #,##0_ ;_-[$$-409]* \-#,##0\ ;_-[$$-409]* "-"??_ ;_-@_ </c:formatCode>
                <c:ptCount val="10"/>
                <c:pt idx="0">
                  <c:v>2352.8314134615384</c:v>
                </c:pt>
                <c:pt idx="1">
                  <c:v>600.05999999999995</c:v>
                </c:pt>
                <c:pt idx="2">
                  <c:v>1955.1955</c:v>
                </c:pt>
                <c:pt idx="3">
                  <c:v>900.09</c:v>
                </c:pt>
                <c:pt idx="4">
                  <c:v>700.06999999999994</c:v>
                </c:pt>
                <c:pt idx="5">
                  <c:v>500.05</c:v>
                </c:pt>
                <c:pt idx="6">
                  <c:v>500.05</c:v>
                </c:pt>
                <c:pt idx="7">
                  <c:v>800.08</c:v>
                </c:pt>
                <c:pt idx="8">
                  <c:v>900.09</c:v>
                </c:pt>
                <c:pt idx="9">
                  <c:v>500.05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82-4371-B92F-11FF35072C92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8"/>
              <c:layout>
                <c:manualLayout>
                  <c:x val="3.8684208923157527E-2"/>
                  <c:y val="7.40740740740742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882-4371-B92F-11FF35072C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Dashboard!$C$7:$C$16</c:f>
              <c:strCache>
                <c:ptCount val="10"/>
                <c:pt idx="0">
                  <c:v>BTC</c:v>
                </c:pt>
                <c:pt idx="1">
                  <c:v>SOL</c:v>
                </c:pt>
                <c:pt idx="2">
                  <c:v>ETH</c:v>
                </c:pt>
                <c:pt idx="3">
                  <c:v>ADA</c:v>
                </c:pt>
                <c:pt idx="4">
                  <c:v>LINK</c:v>
                </c:pt>
                <c:pt idx="5">
                  <c:v>XLM</c:v>
                </c:pt>
                <c:pt idx="6">
                  <c:v>AVAX</c:v>
                </c:pt>
                <c:pt idx="7">
                  <c:v>LTC</c:v>
                </c:pt>
                <c:pt idx="8">
                  <c:v>DOT</c:v>
                </c:pt>
                <c:pt idx="9">
                  <c:v>UNI</c:v>
                </c:pt>
              </c:strCache>
            </c:strRef>
          </c:cat>
          <c:val>
            <c:numRef>
              <c:f>Dashboard!$I$7:$I$16</c:f>
              <c:numCache>
                <c:formatCode>_-[$$-409]* #,##0_ ;_-[$$-409]* \-#,##0\ ;_-[$$-409]* "-"??_ ;_-@_ </c:formatCode>
                <c:ptCount val="10"/>
                <c:pt idx="0">
                  <c:v>3310.5516836538468</c:v>
                </c:pt>
                <c:pt idx="1">
                  <c:v>4245.2999999999993</c:v>
                </c:pt>
                <c:pt idx="2">
                  <c:v>660.15000000000009</c:v>
                </c:pt>
                <c:pt idx="3">
                  <c:v>707.30439999999999</c:v>
                </c:pt>
                <c:pt idx="4">
                  <c:v>714</c:v>
                </c:pt>
                <c:pt idx="5">
                  <c:v>858.5</c:v>
                </c:pt>
                <c:pt idx="6">
                  <c:v>563.5</c:v>
                </c:pt>
                <c:pt idx="7">
                  <c:v>92.900000000000091</c:v>
                </c:pt>
                <c:pt idx="8">
                  <c:v>-66</c:v>
                </c:pt>
                <c:pt idx="9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82-4371-B92F-11FF35072C9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58746159"/>
        <c:axId val="258740399"/>
      </c:barChart>
      <c:catAx>
        <c:axId val="25874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740399"/>
        <c:crosses val="autoZero"/>
        <c:auto val="1"/>
        <c:lblAlgn val="ctr"/>
        <c:lblOffset val="100"/>
        <c:noMultiLvlLbl val="0"/>
      </c:catAx>
      <c:valAx>
        <c:axId val="258740399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746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total purchased value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cap="all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purchased value</a:t>
          </a:r>
        </a:p>
      </cx:txPr>
    </cx:title>
    <cx:plotArea>
      <cx:plotAreaRegion>
        <cx:series layoutId="treemap" uniqueId="{3111D972-285F-4F3D-8330-7CC5B2EC4649}">
          <cx:tx>
            <cx:txData>
              <cx:f>_xlchart.v1.1</cx:f>
              <cx:v>Purchased value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900">
                    <a:solidFill>
                      <a:srgbClr val="002060"/>
                    </a:solidFill>
                  </a:defRPr>
                </a:pPr>
                <a:endParaRPr lang="en-US" sz="900" b="1" i="0" u="none" strike="noStrike" baseline="0">
                  <a:solidFill>
                    <a:srgbClr val="002060"/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, </cx:separator>
          </cx:dataLabels>
          <cx:dataId val="0"/>
          <cx:layoutPr/>
        </cx:series>
      </cx:plotAreaRegion>
    </cx:plotArea>
  </cx:chart>
  <cx:spPr>
    <a:noFill/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6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714013</xdr:colOff>
      <xdr:row>17</xdr:row>
      <xdr:rowOff>7786</xdr:rowOff>
    </xdr:from>
    <xdr:to>
      <xdr:col>5</xdr:col>
      <xdr:colOff>18317</xdr:colOff>
      <xdr:row>18</xdr:row>
      <xdr:rowOff>60411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3536F0E-1094-489E-82BD-AFF52C6FB09C}"/>
            </a:ext>
          </a:extLst>
        </xdr:cNvPr>
        <xdr:cNvSpPr/>
      </xdr:nvSpPr>
      <xdr:spPr>
        <a:xfrm>
          <a:off x="2390047" y="3446861"/>
          <a:ext cx="962020" cy="244956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UNREALIZED</a:t>
          </a:r>
        </a:p>
      </xdr:txBody>
    </xdr:sp>
    <xdr:clientData/>
  </xdr:twoCellAnchor>
  <xdr:twoCellAnchor>
    <xdr:from>
      <xdr:col>5</xdr:col>
      <xdr:colOff>804411</xdr:colOff>
      <xdr:row>17</xdr:row>
      <xdr:rowOff>22174</xdr:rowOff>
    </xdr:from>
    <xdr:to>
      <xdr:col>7</xdr:col>
      <xdr:colOff>15465</xdr:colOff>
      <xdr:row>18</xdr:row>
      <xdr:rowOff>74799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7244843-2FCA-4615-BEE6-A9ED43C1DB68}"/>
            </a:ext>
          </a:extLst>
        </xdr:cNvPr>
        <xdr:cNvSpPr/>
      </xdr:nvSpPr>
      <xdr:spPr>
        <a:xfrm>
          <a:off x="4140882" y="3434845"/>
          <a:ext cx="903783" cy="24312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REALIZED</a:t>
          </a:r>
          <a:endParaRPr lang="en-IN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851755</xdr:colOff>
      <xdr:row>16</xdr:row>
      <xdr:rowOff>191900</xdr:rowOff>
    </xdr:from>
    <xdr:to>
      <xdr:col>9</xdr:col>
      <xdr:colOff>13738</xdr:colOff>
      <xdr:row>18</xdr:row>
      <xdr:rowOff>52193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6B5FA1D-669B-4EE6-9691-D8187C852600}"/>
            </a:ext>
          </a:extLst>
        </xdr:cNvPr>
        <xdr:cNvSpPr/>
      </xdr:nvSpPr>
      <xdr:spPr>
        <a:xfrm>
          <a:off x="5879856" y="3438643"/>
          <a:ext cx="787644" cy="244956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>
              <a:solidFill>
                <a:schemeClr val="bg1"/>
              </a:solidFill>
            </a:rPr>
            <a:t>ENCASHED</a:t>
          </a:r>
        </a:p>
      </xdr:txBody>
    </xdr:sp>
    <xdr:clientData/>
  </xdr:twoCellAnchor>
  <xdr:twoCellAnchor>
    <xdr:from>
      <xdr:col>9</xdr:col>
      <xdr:colOff>581575</xdr:colOff>
      <xdr:row>17</xdr:row>
      <xdr:rowOff>1407</xdr:rowOff>
    </xdr:from>
    <xdr:to>
      <xdr:col>11</xdr:col>
      <xdr:colOff>13738</xdr:colOff>
      <xdr:row>18</xdr:row>
      <xdr:rowOff>54032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3F8C3A-1685-476A-8B77-E25AD71C95E3}"/>
            </a:ext>
          </a:extLst>
        </xdr:cNvPr>
        <xdr:cNvSpPr/>
      </xdr:nvSpPr>
      <xdr:spPr>
        <a:xfrm>
          <a:off x="7235337" y="3440482"/>
          <a:ext cx="773906" cy="244956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 ROI</a:t>
          </a:r>
        </a:p>
      </xdr:txBody>
    </xdr:sp>
    <xdr:clientData/>
  </xdr:twoCellAnchor>
  <xdr:twoCellAnchor>
    <xdr:from>
      <xdr:col>0</xdr:col>
      <xdr:colOff>599892</xdr:colOff>
      <xdr:row>17</xdr:row>
      <xdr:rowOff>15994</xdr:rowOff>
    </xdr:from>
    <xdr:to>
      <xdr:col>2</xdr:col>
      <xdr:colOff>597742</xdr:colOff>
      <xdr:row>18</xdr:row>
      <xdr:rowOff>68619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3AC10263-9207-4229-AD74-6BD3A5227EFD}"/>
            </a:ext>
          </a:extLst>
        </xdr:cNvPr>
        <xdr:cNvSpPr/>
      </xdr:nvSpPr>
      <xdr:spPr>
        <a:xfrm>
          <a:off x="599892" y="3455069"/>
          <a:ext cx="1064833" cy="244956"/>
        </a:xfrm>
        <a:prstGeom prst="roundRect">
          <a:avLst>
            <a:gd name="adj" fmla="val 21211"/>
          </a:avLst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0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INVESTED</a:t>
          </a:r>
          <a:r>
            <a:rPr lang="en-IN" sz="1000" b="1">
              <a:solidFill>
                <a:schemeClr val="accent1">
                  <a:lumMod val="50000"/>
                </a:schemeClr>
              </a:solidFill>
            </a:rPr>
            <a:t> </a:t>
          </a:r>
        </a:p>
      </xdr:txBody>
    </xdr:sp>
    <xdr:clientData/>
  </xdr:twoCellAnchor>
  <xdr:twoCellAnchor>
    <xdr:from>
      <xdr:col>0</xdr:col>
      <xdr:colOff>0</xdr:colOff>
      <xdr:row>21</xdr:row>
      <xdr:rowOff>46139</xdr:rowOff>
    </xdr:from>
    <xdr:to>
      <xdr:col>6</xdr:col>
      <xdr:colOff>126633</xdr:colOff>
      <xdr:row>35</xdr:row>
      <xdr:rowOff>91507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D919F7CA-2064-8B29-42B1-EBCD571496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131038</xdr:colOff>
      <xdr:row>21</xdr:row>
      <xdr:rowOff>46137</xdr:rowOff>
    </xdr:from>
    <xdr:to>
      <xdr:col>12</xdr:col>
      <xdr:colOff>596122</xdr:colOff>
      <xdr:row>35</xdr:row>
      <xdr:rowOff>91505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B84ED7BB-C0FA-85B4-37B0-9B0E4197EE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35</xdr:row>
      <xdr:rowOff>96384</xdr:rowOff>
    </xdr:from>
    <xdr:to>
      <xdr:col>6</xdr:col>
      <xdr:colOff>130479</xdr:colOff>
      <xdr:row>50</xdr:row>
      <xdr:rowOff>1655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5" name="Chart 34">
              <a:extLst>
                <a:ext uri="{FF2B5EF4-FFF2-40B4-BE49-F238E27FC236}">
                  <a16:creationId xmlns:a16="http://schemas.microsoft.com/office/drawing/2014/main" id="{739EB985-A95E-F69A-470A-34E618A39E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935334"/>
              <a:ext cx="4292904" cy="27627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183323</xdr:colOff>
      <xdr:row>35</xdr:row>
      <xdr:rowOff>130480</xdr:rowOff>
    </xdr:from>
    <xdr:to>
      <xdr:col>12</xdr:col>
      <xdr:colOff>596122</xdr:colOff>
      <xdr:row>50</xdr:row>
      <xdr:rowOff>19439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30A6B7E5-A365-B487-A34B-AD04DBE16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50</xdr:row>
      <xdr:rowOff>25920</xdr:rowOff>
    </xdr:from>
    <xdr:to>
      <xdr:col>6</xdr:col>
      <xdr:colOff>116632</xdr:colOff>
      <xdr:row>64</xdr:row>
      <xdr:rowOff>83458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9A6AED-D889-8948-10C2-4AE3BD5C0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123112</xdr:colOff>
      <xdr:row>50</xdr:row>
      <xdr:rowOff>11791</xdr:rowOff>
    </xdr:from>
    <xdr:to>
      <xdr:col>12</xdr:col>
      <xdr:colOff>602602</xdr:colOff>
      <xdr:row>64</xdr:row>
      <xdr:rowOff>90715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7C73BC0-5F82-FF45-8729-5076AFA1E3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7D11F3DC-0649-4619-9D80-8D9D917DE01E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3" tableColumnId="1"/>
      <queryTableField id="2" name="Column2" tableColumnId="2"/>
      <queryTableField id="3" name="Column4" tableColumnId="3"/>
      <queryTableField id="4" dataBound="0" tableColumnId="4"/>
    </queryTableFields>
  </queryTableRefresh>
</queryTable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36D0EF-E6B7-485C-BFFF-F041CFBD1E80}" name="Table4" displayName="Table4" ref="B1:L11" totalsRowShown="0" headerRowDxfId="74" dataDxfId="73">
  <autoFilter ref="B1:L11" xr:uid="{6036D0EF-E6B7-485C-BFFF-F041CFBD1E80}"/>
  <sortState xmlns:xlrd2="http://schemas.microsoft.com/office/spreadsheetml/2017/richdata2" ref="B2:L11">
    <sortCondition descending="1" ref="L1:L11"/>
  </sortState>
  <tableColumns count="11">
    <tableColumn id="1" xr3:uid="{425CBE7D-6F49-45C6-B849-C30450514F6B}" name="S.No" dataDxfId="72">
      <calculatedColumnFormula array="1">ROW(2:2)-1</calculatedColumnFormula>
    </tableColumn>
    <tableColumn id="2" xr3:uid="{87B9B9B7-CE00-4BD6-B634-67F458C48EB8}" name="Coin Name" dataDxfId="71"/>
    <tableColumn id="3" xr3:uid="{F06B1F83-761B-4589-A6FD-EAFEBCF68A03}" name="Coin" dataDxfId="70"/>
    <tableColumn id="4" xr3:uid="{1C0F21A6-1619-4B51-96B1-6801B0C50126}" name="Holding" dataDxfId="69"/>
    <tableColumn id="5" xr3:uid="{0CCE1430-E502-4ACC-930F-17366C1652AF}" name="Current value" dataDxfId="68">
      <calculatedColumnFormula>_xlfn.XLOOKUP(Table4[[#This Row],[Coin]],Table_2__5[Column3],Table_2__5[CORRECTED])</calculatedColumnFormula>
    </tableColumn>
    <tableColumn id="6" xr3:uid="{9153ED66-B551-4694-A625-B37ED1A578F5}" name="DCA value" dataDxfId="67">
      <calculatedColumnFormula>_xlfn.XLOOKUP(Table4[[#This Row],[Coin]],Table10[Coin],Table10[DCA])</calculatedColumnFormula>
    </tableColumn>
    <tableColumn id="12" xr3:uid="{A4A26144-0900-4E5D-BC6D-9ACCCDFA9557}" name="Purchased value" dataDxfId="66">
      <calculatedColumnFormula>Table4[[#This Row],[Holding]]*Table4[[#This Row],[DCA value]]*100.01%</calculatedColumnFormula>
    </tableColumn>
    <tableColumn id="7" xr3:uid="{FC61762A-3D8E-43C2-A442-0C8BC88979E7}" name="Unrealized Value " dataDxfId="65">
      <calculatedColumnFormula>Table4[[#This Row],[Holding]]*Table4[[#This Row],[Current value]]</calculatedColumnFormula>
    </tableColumn>
    <tableColumn id="11" xr3:uid="{FADC1AA0-EB77-47D0-81BB-A8C65787C2AA}" name="Unrealized Profit/Loss" dataDxfId="64">
      <calculatedColumnFormula>Table4[[#This Row],[Unrealized Value ]]-(Table4[[#This Row],[Holding]]*Table4[[#This Row],[DCA value]])</calculatedColumnFormula>
    </tableColumn>
    <tableColumn id="8" xr3:uid="{D95C24AA-158E-4521-B6C3-F54C371B3074}" name="ROI" dataDxfId="63" dataCellStyle="Percent">
      <calculatedColumnFormula>Table4[[#This Row],[Unrealized Profit/Loss]]/Table4[[#This Row],[Purchased value]]</calculatedColumnFormula>
    </tableColumn>
    <tableColumn id="10" xr3:uid="{E2CA450C-2D49-421A-96C0-F44227F97ED0}" name="Allocation" dataDxfId="62" dataCellStyle="Percent">
      <calculatedColumnFormula>Table4[[#This Row],[Unrealized Value ]]/SUM(Table4[[Unrealized Value ]])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0D8270-28E5-483A-B94B-07EA2FAE829D}" name="Table5" displayName="Table5" ref="C1:E18" totalsRowShown="0" headerRowDxfId="61" dataDxfId="60" headerRowCellStyle="Total">
  <autoFilter ref="C1:E18" xr:uid="{990D8270-28E5-483A-B94B-07EA2FAE829D}"/>
  <tableColumns count="3">
    <tableColumn id="1" xr3:uid="{DA483DC8-7888-44EA-BC1D-F6E14F82A6D4}" name=" Cashed Profit" dataDxfId="59" dataCellStyle="Good"/>
    <tableColumn id="2" xr3:uid="{B4FA3133-EB3B-476C-8E17-918DB4F5F9CB}" name="Debited Date" dataDxfId="58"/>
    <tableColumn id="3" xr3:uid="{CEE1AE0E-519D-4125-B86D-0033B6655637}" name="Notes" dataDxfId="5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F26360-62D8-47AA-BB36-6A54D385271B}" name="Table14" displayName="Table14" ref="G1:H18" totalsRowShown="0" headerRowDxfId="56" dataDxfId="55" headerRowCellStyle="Total">
  <autoFilter ref="G1:H18" xr:uid="{F8F26360-62D8-47AA-BB36-6A54D385271B}"/>
  <sortState xmlns:xlrd2="http://schemas.microsoft.com/office/spreadsheetml/2017/richdata2" ref="G2:H19">
    <sortCondition ref="H1:H19"/>
  </sortState>
  <tableColumns count="2">
    <tableColumn id="1" xr3:uid="{35330744-2E6E-4257-AB74-C84EF3222EA8}" name="Invested RS" dataDxfId="54"/>
    <tableColumn id="4" xr3:uid="{3E48A50C-5060-4B6C-9199-C8D689F0B06A}" name="Invested Date" dataDxfId="53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FFA94F-71CF-43E0-80AD-F9CFFB430A6F}" name="Table1" displayName="Table1" ref="J1:L12" totalsRowShown="0" headerRowDxfId="52" dataDxfId="51" headerRowCellStyle="Total">
  <autoFilter ref="J1:L12" xr:uid="{42FFA94F-71CF-43E0-80AD-F9CFFB430A6F}"/>
  <tableColumns count="3">
    <tableColumn id="1" xr3:uid="{22205F65-38C4-4C38-99B2-6DD98964763D}" name="Summary" dataDxfId="50"/>
    <tableColumn id="2" xr3:uid="{EB5F5D05-0E04-4496-9898-157E303B6B63}" name="USDT" dataDxfId="49" dataCellStyle="Currency"/>
    <tableColumn id="3" xr3:uid="{6AE47FB4-CD5C-485E-81DA-6BF49F647166}" name="INR" dataDxfId="48" dataCellStyle="Currency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64409B-DD7C-401F-96B5-EE3C66705832}" name="Table11" displayName="Table11" ref="C6:K16" headerRowDxfId="47" dataDxfId="46">
  <autoFilter ref="C6:K16" xr:uid="{8864409B-DD7C-401F-96B5-EE3C66705832}"/>
  <sortState xmlns:xlrd2="http://schemas.microsoft.com/office/spreadsheetml/2017/richdata2" ref="C7:M16">
    <sortCondition descending="1" ref="H6:H16"/>
  </sortState>
  <tableColumns count="9">
    <tableColumn id="1" xr3:uid="{0B21667F-2598-4D16-8FF4-EE9704346FBA}" name="Coin" totalsRowLabel="Total" dataDxfId="45"/>
    <tableColumn id="2" xr3:uid="{1891F342-0AF5-4065-948F-DB52CF13736E}" name="Holding" dataDxfId="44">
      <calculatedColumnFormula>_xlfn.XLOOKUP(Table11[[#This Row],[Coin]],Table4[Coin],Table4[Holding])</calculatedColumnFormula>
    </tableColumn>
    <tableColumn id="3" xr3:uid="{B447D406-817C-4A6C-A783-7F0CE2D16455}" name="Current value" dataDxfId="43">
      <calculatedColumnFormula>_xlfn.XLOOKUP(Table11[[#This Row],[Coin]],Table4[Coin],Table4[Current value])</calculatedColumnFormula>
    </tableColumn>
    <tableColumn id="4" xr3:uid="{3AF5A6E4-FF61-427B-9F97-DC2EE40C0A10}" name="DCA value" dataDxfId="42">
      <calculatedColumnFormula>_xlfn.XLOOKUP(Table11[[#This Row],[Coin]],Table10[Coin],Table10[DCA])</calculatedColumnFormula>
    </tableColumn>
    <tableColumn id="5" xr3:uid="{0F8DD5FB-BF8C-4581-BD36-3B00147B11BD}" name="Purchased value" dataDxfId="41">
      <calculatedColumnFormula>Table11[[#This Row],[Holding]]*Table11[[#This Row],[DCA value]]*100.01%</calculatedColumnFormula>
    </tableColumn>
    <tableColumn id="6" xr3:uid="{E85C0639-490C-49F0-9037-B51E66F0AD8E}" name="Unrealized Value " dataDxfId="40">
      <calculatedColumnFormula>Table11[[#This Row],[Holding]]*Table11[[#This Row],[Current value]]</calculatedColumnFormula>
    </tableColumn>
    <tableColumn id="7" xr3:uid="{AD7EA5C6-AC44-481E-9516-BC229A796944}" name="Unrealized Profit/Loss" dataDxfId="39">
      <calculatedColumnFormula>Table11[[#This Row],[Unrealized Value ]]-(Table11[[#This Row],[Holding]]*Table11[[#This Row],[DCA value]])</calculatedColumnFormula>
    </tableColumn>
    <tableColumn id="8" xr3:uid="{53648BC4-E172-4157-9350-6A2299E258F7}" name="ROI" dataDxfId="38" dataCellStyle="Percent">
      <calculatedColumnFormula>Table11[[#This Row],[Unrealized Profit/Loss]]/Table11[[#This Row],[Purchased value]]</calculatedColumnFormula>
    </tableColumn>
    <tableColumn id="9" xr3:uid="{A16A0CAE-E76C-4765-8DFE-016FB5FE860B}" name="Allocation" dataDxfId="37" dataCellStyle="Percent">
      <calculatedColumnFormula>Table11[[#This Row],[Unrealized Value ]]/SUM(Table11[[Unrealized Value ]])</calculatedColumnFormula>
    </tableColumn>
  </tableColumns>
  <tableStyleInfo name="TableStyleMedium15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C7928E-C4EB-49AD-B432-3C63FF1F126D}" name="Table7" displayName="Table7" ref="B1:J20" totalsRowShown="0" headerRowDxfId="36" dataDxfId="35">
  <autoFilter ref="B1:J20" xr:uid="{0CC7928E-C4EB-49AD-B432-3C63FF1F126D}"/>
  <sortState xmlns:xlrd2="http://schemas.microsoft.com/office/spreadsheetml/2017/richdata2" ref="B2:J20">
    <sortCondition ref="B1:B20"/>
  </sortState>
  <tableColumns count="9">
    <tableColumn id="1" xr3:uid="{C03EA31B-613B-49AF-AFD4-7E670CA12F1D}" name="Date" dataDxfId="34"/>
    <tableColumn id="2" xr3:uid="{E8ABC0A7-AF0C-49A5-8967-82C3D8EDD38B}" name="Pair" dataDxfId="33"/>
    <tableColumn id="3" xr3:uid="{6A6124C5-6672-4FC9-8B31-68230AB3A7A0}" name="Side" dataDxfId="32"/>
    <tableColumn id="4" xr3:uid="{0FEB339C-9CFF-49D6-8520-C66C5E10ACC7}" name="Price" dataDxfId="31"/>
    <tableColumn id="11" xr3:uid="{E7CC0E8F-8217-4932-B3A2-A120EE58CF34}" name="Price USDT" dataDxfId="30">
      <calculatedColumnFormula>RIGHT(Table7[[#This Row],[Price]],LEN(Table7[[#This Row],[Price]])-1)</calculatedColumnFormula>
    </tableColumn>
    <tableColumn id="5" xr3:uid="{08180D33-6384-441C-A8DE-349851EF6F2B}" name="Executed" dataDxfId="29"/>
    <tableColumn id="6" xr3:uid="{4E7EAEA8-6D6F-43BE-92DD-121AF2510C22}" name="Amount" dataDxfId="28" dataCellStyle="Currency"/>
    <tableColumn id="10" xr3:uid="{45347F89-A1B2-47EF-98FE-6F9E464226EA}" name="Amount USDT" dataDxfId="27">
      <calculatedColumnFormula>INT(RIGHT(Table7[[#This Row],[Amount]],LEN(Table7[[#This Row],[Amount]])-1))</calculatedColumnFormula>
    </tableColumn>
    <tableColumn id="7" xr3:uid="{57613F1D-F30E-4A52-804C-40BE8437A5BC}" name="Fee" dataDxfId="26" dataCellStyle="Currency">
      <calculatedColumnFormula>Table7[[#This Row],[Amount USDT]]*0.001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9AFE21-40DA-4265-B927-B884F65EAF2F}" name="Table10" displayName="Table10" ref="M1:T12" totalsRowShown="0" headerRowDxfId="25" dataDxfId="24" headerRowCellStyle="Total">
  <autoFilter ref="M1:T12" xr:uid="{F09AFE21-40DA-4265-B927-B884F65EAF2F}"/>
  <sortState xmlns:xlrd2="http://schemas.microsoft.com/office/spreadsheetml/2017/richdata2" ref="M2:U12">
    <sortCondition descending="1" ref="Q1:Q12"/>
  </sortState>
  <tableColumns count="8">
    <tableColumn id="1" xr3:uid="{397CDBC6-972B-48F5-B7B1-742B75113097}" name="Coin" dataDxfId="23">
      <calculatedColumnFormula>L2</calculatedColumnFormula>
    </tableColumn>
    <tableColumn id="2" xr3:uid="{7CB4BC21-0A87-47EB-9158-2D42D9549B6F}" name="Total Buy" dataDxfId="22">
      <calculatedColumnFormula>SUMIFS(Table7[Amount USDT],Table7[Pair],M2,Table7[Side],"BUY")</calculatedColumnFormula>
    </tableColumn>
    <tableColumn id="3" xr3:uid="{65D35763-0A8D-43FE-93C5-9F1BF9BCAE79}" name="Total Sell" dataDxfId="21">
      <calculatedColumnFormula>SUMIFS(Table7[Amount USDT],Table7[Pair],M2,Table7[Side],"SELL")</calculatedColumnFormula>
    </tableColumn>
    <tableColumn id="5" xr3:uid="{D80BA543-599B-4222-8434-95DECE0E1F3E}" name="Executed Buy" dataDxfId="20">
      <calculatedColumnFormula>SUMIFS(Table7[Executed],Table7[Pair],M2,Table7[Side],"BUY")</calculatedColumnFormula>
    </tableColumn>
    <tableColumn id="6" xr3:uid="{9F5C6A92-1331-4C77-88B9-4CB743920F81}" name="Executed Sell" dataDxfId="19">
      <calculatedColumnFormula>SUMIFS(Table7[Executed],Table7[Pair],M2,Table7[Side],"SELL")</calculatedColumnFormula>
    </tableColumn>
    <tableColumn id="4" xr3:uid="{3ABF521F-90C3-477F-B693-FF2F40899F10}" name="DCA" dataDxfId="18">
      <calculatedColumnFormula>Table10[[#This Row],[Total Buy]]/Table10[[#This Row],[Executed Buy]]</calculatedColumnFormula>
    </tableColumn>
    <tableColumn id="8" xr3:uid="{7FE78E29-BC04-4C57-A63C-6C0F2371CF9A}" name="Avg Sell Price" dataDxfId="17"/>
    <tableColumn id="7" xr3:uid="{229A09F1-93A3-4183-B4E7-05FB74D6797E}" name="Realized Profit" dataDxfId="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326118-D309-4731-A15D-24BDAE589AC8}" name="Table_2__5" displayName="Table_2__5" ref="D8:G18" tableType="queryTable" totalsRowShown="0" headerRowDxfId="15" dataDxfId="14">
  <autoFilter ref="D8:G18" xr:uid="{3F326118-D309-4731-A15D-24BDAE589AC8}"/>
  <tableColumns count="4">
    <tableColumn id="1" xr3:uid="{9E7652E2-A88D-48A0-9905-402A0A80B2C2}" uniqueName="1" name="Column3" queryTableFieldId="1" dataDxfId="3"/>
    <tableColumn id="2" xr3:uid="{4BD74DDC-236E-4F3D-ACB5-753ECB016B77}" uniqueName="2" name="Column2" queryTableFieldId="2" dataDxfId="2"/>
    <tableColumn id="3" xr3:uid="{FF3DC12E-4976-45AD-B166-E9F8A3BCCABD}" uniqueName="3" name="Column4" queryTableFieldId="3" dataDxfId="1"/>
    <tableColumn id="4" xr3:uid="{F086D33F-231A-4444-A21C-E346E1C18527}" uniqueName="4" name="CORRECTED" queryTableFieldId="4" dataDxfId="0">
      <calculatedColumnFormula>_xlfn.NUMBERVALUE(RIGHT(Table_2__5[[#This Row],[Column4]],LEN(Table_2__5[[#This Row],[Column4]])-1))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0162-CE91-4585-BA07-17BE01006F25}">
  <sheetPr>
    <tabColor rgb="FF92D050"/>
  </sheetPr>
  <dimension ref="B1:L19"/>
  <sheetViews>
    <sheetView showGridLines="0" zoomScale="159" zoomScaleNormal="99" workbookViewId="0">
      <pane ySplit="1" topLeftCell="A2" activePane="bottomLeft" state="frozen"/>
      <selection pane="bottomLeft" activeCell="K13" sqref="K13"/>
    </sheetView>
  </sheetViews>
  <sheetFormatPr defaultRowHeight="15" x14ac:dyDescent="0.25"/>
  <cols>
    <col min="2" max="2" width="7.85546875" style="28" customWidth="1"/>
    <col min="3" max="3" width="12.140625" customWidth="1"/>
    <col min="4" max="4" width="7.5703125" style="3" customWidth="1"/>
    <col min="5" max="5" width="8.140625" customWidth="1"/>
    <col min="6" max="6" width="13.42578125" style="34" customWidth="1"/>
    <col min="7" max="8" width="11.7109375" style="34" customWidth="1"/>
    <col min="9" max="9" width="13.85546875" customWidth="1"/>
    <col min="10" max="10" width="12.42578125" customWidth="1"/>
    <col min="11" max="11" width="9.140625" style="54" customWidth="1"/>
    <col min="12" max="12" width="10.5703125" style="55" customWidth="1"/>
  </cols>
  <sheetData>
    <row r="1" spans="2:12" s="29" customFormat="1" ht="26.25" thickBot="1" x14ac:dyDescent="0.3">
      <c r="B1" s="58" t="s">
        <v>56</v>
      </c>
      <c r="C1" s="58" t="s">
        <v>14</v>
      </c>
      <c r="D1" s="58" t="s">
        <v>50</v>
      </c>
      <c r="E1" s="58" t="s">
        <v>57</v>
      </c>
      <c r="F1" s="61" t="s">
        <v>58</v>
      </c>
      <c r="G1" s="61" t="s">
        <v>59</v>
      </c>
      <c r="H1" s="62" t="s">
        <v>90</v>
      </c>
      <c r="I1" s="62" t="s">
        <v>89</v>
      </c>
      <c r="J1" s="62" t="s">
        <v>95</v>
      </c>
      <c r="K1" s="63" t="s">
        <v>60</v>
      </c>
      <c r="L1" s="63" t="s">
        <v>0</v>
      </c>
    </row>
    <row r="2" spans="2:12" ht="15.75" thickTop="1" x14ac:dyDescent="0.25">
      <c r="B2" s="29" cm="1">
        <f t="array" ref="B2">ROW(2:2)-1</f>
        <v>1</v>
      </c>
      <c r="C2" s="8" t="s">
        <v>77</v>
      </c>
      <c r="D2" s="35" t="s">
        <v>9</v>
      </c>
      <c r="E2" s="36">
        <f>SUMIFS(Table7[Executed],Table7[Pair],D2,Table7[Side],"BUY")-SUMIFS(Table7[Executed],Table7[Pair],D2,Table7[Side],"SELL")</f>
        <v>5.3750000000000006E-2</v>
      </c>
      <c r="F2" s="37">
        <f>_xlfn.XLOOKUP(Table4[[#This Row],[Coin]],Table_2__5[Column3],Table_2__5[CORRECTED])</f>
        <v>105360.89</v>
      </c>
      <c r="G2" s="37">
        <f>_xlfn.XLOOKUP(Table4[[#This Row],[Coin]],Table10[Coin],Table10[DCA])</f>
        <v>43769.230769230766</v>
      </c>
      <c r="H2" s="37">
        <f>Table4[[#This Row],[Holding]]*Table4[[#This Row],[DCA value]]*100.01%</f>
        <v>2352.8314134615384</v>
      </c>
      <c r="I2" s="37">
        <f>Table4[[#This Row],[Holding]]*Table4[[#This Row],[Current value]]</f>
        <v>5663.1478375000006</v>
      </c>
      <c r="J2" s="37">
        <f>Table4[[#This Row],[Unrealized Value ]]-(Table4[[#This Row],[Holding]]*Table4[[#This Row],[DCA value]])</f>
        <v>3310.5516836538468</v>
      </c>
      <c r="K2" s="53">
        <f>Table4[[#This Row],[Unrealized Profit/Loss]]/Table4[[#This Row],[Purchased value]]</f>
        <v>1.4070501034255101</v>
      </c>
      <c r="L2" s="52">
        <f>Table4[[#This Row],[Unrealized Value ]]/SUM(Table4[[Unrealized Value ]])</f>
        <v>0.27044896476425001</v>
      </c>
    </row>
    <row r="3" spans="2:12" x14ac:dyDescent="0.25">
      <c r="B3" s="29" cm="1">
        <f t="array" ref="B3">ROW(3:3)-1</f>
        <v>2</v>
      </c>
      <c r="C3" s="69" t="s">
        <v>79</v>
      </c>
      <c r="D3" s="35" t="s">
        <v>25</v>
      </c>
      <c r="E3" s="38">
        <f>SUMIFS(Table7[Executed],Table7[Pair],D3,Table7[Side],"BUY")-SUMIFS(Table7[Executed],Table7[Pair],D3,Table7[Side],"SELL")</f>
        <v>30</v>
      </c>
      <c r="F3" s="37">
        <f>_xlfn.XLOOKUP(Table4[[#This Row],[Coin]],Table_2__5[Column3],Table_2__5[CORRECTED])</f>
        <v>161.51</v>
      </c>
      <c r="G3" s="37">
        <f>_xlfn.XLOOKUP(Table4[[#This Row],[Coin]],Table10[Coin],Table10[DCA])</f>
        <v>20</v>
      </c>
      <c r="H3" s="37">
        <f>Table4[[#This Row],[Holding]]*Table4[[#This Row],[DCA value]]*100.01%</f>
        <v>600.05999999999995</v>
      </c>
      <c r="I3" s="37">
        <f>Table4[[#This Row],[Holding]]*Table4[[#This Row],[Current value]]</f>
        <v>4845.2999999999993</v>
      </c>
      <c r="J3" s="37">
        <f>Table4[[#This Row],[Unrealized Value ]]-(Table4[[#This Row],[Holding]]*Table4[[#This Row],[DCA value]])</f>
        <v>4245.2999999999993</v>
      </c>
      <c r="K3" s="53">
        <f>Table4[[#This Row],[Unrealized Profit/Loss]]/Table4[[#This Row],[Purchased value]]</f>
        <v>7.0747925207479243</v>
      </c>
      <c r="L3" s="52">
        <f>Table4[[#This Row],[Unrealized Value ]]/SUM(Table4[[Unrealized Value ]])</f>
        <v>0.2313918701353733</v>
      </c>
    </row>
    <row r="4" spans="2:12" x14ac:dyDescent="0.25">
      <c r="B4" s="29" cm="1">
        <f t="array" ref="B4">ROW(4:4)-1</f>
        <v>3</v>
      </c>
      <c r="C4" s="8" t="s">
        <v>78</v>
      </c>
      <c r="D4" s="35" t="s">
        <v>17</v>
      </c>
      <c r="E4" s="38">
        <f>SUMIFS(Table7[Executed],Table7[Pair],D4,Table7[Side],"BUY")-SUMIFS(Table7[Executed],Table7[Pair],D4,Table7[Side],"SELL")</f>
        <v>1</v>
      </c>
      <c r="F4" s="37">
        <f>_xlfn.XLOOKUP(Table4[[#This Row],[Coin]],Table_2__5[Column3],Table_2__5[CORRECTED])</f>
        <v>2615.15</v>
      </c>
      <c r="G4" s="37">
        <f>_xlfn.XLOOKUP(Table4[[#This Row],[Coin]],Table10[Coin],Table10[DCA])</f>
        <v>1955</v>
      </c>
      <c r="H4" s="37">
        <f>Table4[[#This Row],[Holding]]*Table4[[#This Row],[DCA value]]*100.01%</f>
        <v>1955.1955</v>
      </c>
      <c r="I4" s="37">
        <f>Table4[[#This Row],[Holding]]*Table4[[#This Row],[Current value]]</f>
        <v>2615.15</v>
      </c>
      <c r="J4" s="37">
        <f>Table4[[#This Row],[Unrealized Value ]]-(Table4[[#This Row],[Holding]]*Table4[[#This Row],[DCA value]])</f>
        <v>660.15000000000009</v>
      </c>
      <c r="K4" s="53">
        <f>Table4[[#This Row],[Unrealized Profit/Loss]]/Table4[[#This Row],[Purchased value]]</f>
        <v>0.33763887038406137</v>
      </c>
      <c r="L4" s="52">
        <f>Table4[[#This Row],[Unrealized Value ]]/SUM(Table4[[Unrealized Value ]])</f>
        <v>0.12488895407601626</v>
      </c>
    </row>
    <row r="5" spans="2:12" x14ac:dyDescent="0.25">
      <c r="B5" s="29" cm="1">
        <f t="array" ref="B5">ROW(5:5)-1</f>
        <v>4</v>
      </c>
      <c r="C5" s="70" t="s">
        <v>80</v>
      </c>
      <c r="D5" s="35" t="s">
        <v>20</v>
      </c>
      <c r="E5" s="38">
        <f>SUMIFS(Table7[Executed],Table7[Pair],D5,Table7[Side],"BUY")-SUMIFS(Table7[Executed],Table7[Pair],D5,Table7[Side],"SELL")</f>
        <v>2314</v>
      </c>
      <c r="F5" s="39">
        <f>_xlfn.XLOOKUP(Table4[[#This Row],[Coin]],Table_2__5[Column3],Table_2__5[CORRECTED])</f>
        <v>0.6946</v>
      </c>
      <c r="G5" s="39">
        <f>_xlfn.XLOOKUP(Table4[[#This Row],[Coin]],Table10[Coin],Table10[DCA])</f>
        <v>0.38893690579083839</v>
      </c>
      <c r="H5" s="37">
        <f>Table4[[#This Row],[Holding]]*Table4[[#This Row],[DCA value]]*100.01%</f>
        <v>900.09</v>
      </c>
      <c r="I5" s="37">
        <f>Table4[[#This Row],[Holding]]*Table4[[#This Row],[Current value]]</f>
        <v>1607.3044</v>
      </c>
      <c r="J5" s="37">
        <f>Table4[[#This Row],[Unrealized Value ]]-(Table4[[#This Row],[Holding]]*Table4[[#This Row],[DCA value]])</f>
        <v>707.30439999999999</v>
      </c>
      <c r="K5" s="53">
        <f>Table4[[#This Row],[Unrealized Profit/Loss]]/Table4[[#This Row],[Purchased value]]</f>
        <v>0.78581519625815188</v>
      </c>
      <c r="L5" s="52">
        <f>Table4[[#This Row],[Unrealized Value ]]/SUM(Table4[[Unrealized Value ]])</f>
        <v>7.6758337149983313E-2</v>
      </c>
    </row>
    <row r="6" spans="2:12" x14ac:dyDescent="0.25">
      <c r="B6" s="29" cm="1">
        <f t="array" ref="B6">ROW(6:6)-1</f>
        <v>5</v>
      </c>
      <c r="C6" s="8" t="s">
        <v>81</v>
      </c>
      <c r="D6" s="35" t="s">
        <v>34</v>
      </c>
      <c r="E6" s="38">
        <f>SUMIFS(Table7[Executed],Table7[Pair],D6,Table7[Side],"BUY")-SUMIFS(Table7[Executed],Table7[Pair],D6,Table7[Side],"SELL")</f>
        <v>100</v>
      </c>
      <c r="F6" s="51">
        <f>_xlfn.XLOOKUP(Table4[[#This Row],[Coin]],Table_2__5[Column3],Table_2__5[CORRECTED])</f>
        <v>14.14</v>
      </c>
      <c r="G6" s="37">
        <f>_xlfn.XLOOKUP(Table4[[#This Row],[Coin]],Table10[Coin],Table10[DCA])</f>
        <v>7</v>
      </c>
      <c r="H6" s="37">
        <f>Table4[[#This Row],[Holding]]*Table4[[#This Row],[DCA value]]*100.01%</f>
        <v>700.06999999999994</v>
      </c>
      <c r="I6" s="37">
        <f>Table4[[#This Row],[Holding]]*Table4[[#This Row],[Current value]]</f>
        <v>1414</v>
      </c>
      <c r="J6" s="37">
        <f>Table4[[#This Row],[Unrealized Value ]]-(Table4[[#This Row],[Holding]]*Table4[[#This Row],[DCA value]])</f>
        <v>714</v>
      </c>
      <c r="K6" s="53">
        <f>Table4[[#This Row],[Unrealized Profit/Loss]]/Table4[[#This Row],[Purchased value]]</f>
        <v>1.0198980101989803</v>
      </c>
      <c r="L6" s="52">
        <f>Table4[[#This Row],[Unrealized Value ]]/SUM(Table4[[Unrealized Value ]])</f>
        <v>6.7526903261184629E-2</v>
      </c>
    </row>
    <row r="7" spans="2:12" x14ac:dyDescent="0.25">
      <c r="B7" s="29" cm="1">
        <f t="array" ref="B7">ROW(7:7)-1</f>
        <v>6</v>
      </c>
      <c r="C7" s="69" t="s">
        <v>83</v>
      </c>
      <c r="D7" s="35" t="s">
        <v>45</v>
      </c>
      <c r="E7" s="38">
        <f>SUMIFS(Table7[Executed],Table7[Pair],D7,Table7[Side],"BUY")-SUMIFS(Table7[Executed],Table7[Pair],D7,Table7[Side],"SELL")</f>
        <v>5000</v>
      </c>
      <c r="F7" s="39">
        <f>_xlfn.XLOOKUP(Table4[[#This Row],[Coin]],Table_2__5[Column3],Table_2__5[CORRECTED])</f>
        <v>0.2717</v>
      </c>
      <c r="G7" s="39">
        <f>_xlfn.XLOOKUP(Table4[[#This Row],[Coin]],Table10[Coin],Table10[DCA])</f>
        <v>0.1</v>
      </c>
      <c r="H7" s="37">
        <f>Table4[[#This Row],[Holding]]*Table4[[#This Row],[DCA value]]*100.01%</f>
        <v>500.05</v>
      </c>
      <c r="I7" s="37">
        <f>Table4[[#This Row],[Holding]]*Table4[[#This Row],[Current value]]</f>
        <v>1358.5</v>
      </c>
      <c r="J7" s="37">
        <f>Table4[[#This Row],[Unrealized Value ]]-(Table4[[#This Row],[Holding]]*Table4[[#This Row],[DCA value]])</f>
        <v>858.5</v>
      </c>
      <c r="K7" s="53">
        <f>Table4[[#This Row],[Unrealized Profit/Loss]]/Table4[[#This Row],[Purchased value]]</f>
        <v>1.7168283171682832</v>
      </c>
      <c r="L7" s="52">
        <f>Table4[[#This Row],[Unrealized Value ]]/SUM(Table4[[Unrealized Value ]])</f>
        <v>6.4876448430211689E-2</v>
      </c>
    </row>
    <row r="8" spans="2:12" x14ac:dyDescent="0.25">
      <c r="B8" s="29" cm="1">
        <f t="array" ref="B8">ROW(8:8)-1</f>
        <v>7</v>
      </c>
      <c r="C8" s="8" t="s">
        <v>82</v>
      </c>
      <c r="D8" s="35" t="s">
        <v>43</v>
      </c>
      <c r="E8" s="38">
        <f>SUMIFS(Table7[Executed],Table7[Pair],D8,Table7[Side],"BUY")-SUMIFS(Table7[Executed],Table7[Pair],D8,Table7[Side],"SELL")</f>
        <v>50</v>
      </c>
      <c r="F8" s="51">
        <f>_xlfn.XLOOKUP(Table4[[#This Row],[Coin]],Table_2__5[Column3],Table_2__5[CORRECTED])</f>
        <v>21.27</v>
      </c>
      <c r="G8" s="37">
        <f>_xlfn.XLOOKUP(Table4[[#This Row],[Coin]],Table10[Coin],Table10[DCA])</f>
        <v>10</v>
      </c>
      <c r="H8" s="37">
        <f>Table4[[#This Row],[Holding]]*Table4[[#This Row],[DCA value]]*100.01%</f>
        <v>500.05</v>
      </c>
      <c r="I8" s="37">
        <f>Table4[[#This Row],[Holding]]*Table4[[#This Row],[Current value]]</f>
        <v>1063.5</v>
      </c>
      <c r="J8" s="37">
        <f>Table4[[#This Row],[Unrealized Value ]]-(Table4[[#This Row],[Holding]]*Table4[[#This Row],[DCA value]])</f>
        <v>563.5</v>
      </c>
      <c r="K8" s="53">
        <f>Table4[[#This Row],[Unrealized Profit/Loss]]/Table4[[#This Row],[Purchased value]]</f>
        <v>1.1268873112688731</v>
      </c>
      <c r="L8" s="52">
        <f>Table4[[#This Row],[Unrealized Value ]]/SUM(Table4[[Unrealized Value ]])</f>
        <v>5.0788445274589714E-2</v>
      </c>
    </row>
    <row r="9" spans="2:12" x14ac:dyDescent="0.25">
      <c r="B9" s="29" cm="1">
        <f t="array" ref="B9">ROW(9:9)-1</f>
        <v>8</v>
      </c>
      <c r="C9" s="8" t="s">
        <v>84</v>
      </c>
      <c r="D9" s="35" t="s">
        <v>37</v>
      </c>
      <c r="E9" s="38">
        <f>SUMIFS(Table7[Executed],Table7[Pair],D9,Table7[Side],"BUY")-SUMIFS(Table7[Executed],Table7[Pair],D9,Table7[Side],"SELL")</f>
        <v>10</v>
      </c>
      <c r="F9" s="37">
        <f>_xlfn.XLOOKUP(Table4[[#This Row],[Coin]],Table_2__5[Column3],Table_2__5[CORRECTED])</f>
        <v>89.29</v>
      </c>
      <c r="G9" s="37">
        <f>_xlfn.XLOOKUP(Table4[[#This Row],[Coin]],Table10[Coin],Table10[DCA])</f>
        <v>80</v>
      </c>
      <c r="H9" s="37">
        <f>Table4[[#This Row],[Holding]]*Table4[[#This Row],[DCA value]]*100.01%</f>
        <v>800.08</v>
      </c>
      <c r="I9" s="37">
        <f>Table4[[#This Row],[Holding]]*Table4[[#This Row],[Current value]]</f>
        <v>892.90000000000009</v>
      </c>
      <c r="J9" s="37">
        <f>Table4[[#This Row],[Unrealized Value ]]-(Table4[[#This Row],[Holding]]*Table4[[#This Row],[DCA value]])</f>
        <v>92.900000000000091</v>
      </c>
      <c r="K9" s="53">
        <f>Table4[[#This Row],[Unrealized Profit/Loss]]/Table4[[#This Row],[Purchased value]]</f>
        <v>0.11611338866113399</v>
      </c>
      <c r="L9" s="52">
        <f>Table4[[#This Row],[Unrealized Value ]]/SUM(Table4[[Unrealized Value ]])</f>
        <v>4.2641281415779185E-2</v>
      </c>
    </row>
    <row r="10" spans="2:12" x14ac:dyDescent="0.25">
      <c r="B10" s="29" cm="1">
        <f t="array" ref="B10">ROW(10:10)-1</f>
        <v>9</v>
      </c>
      <c r="C10" s="8" t="s">
        <v>85</v>
      </c>
      <c r="D10" s="35" t="s">
        <v>30</v>
      </c>
      <c r="E10" s="38">
        <f>SUMIFS(Table7[Executed],Table7[Pair],D10,Table7[Side],"BUY")-SUMIFS(Table7[Executed],Table7[Pair],D10,Table7[Side],"SELL")</f>
        <v>200</v>
      </c>
      <c r="F10" s="51">
        <f>_xlfn.XLOOKUP(Table4[[#This Row],[Coin]],Table_2__5[Column3],Table_2__5[CORRECTED])</f>
        <v>4.17</v>
      </c>
      <c r="G10" s="37">
        <f>_xlfn.XLOOKUP(Table4[[#This Row],[Coin]],Table10[Coin],Table10[DCA])</f>
        <v>4.5</v>
      </c>
      <c r="H10" s="37">
        <f>Table4[[#This Row],[Holding]]*Table4[[#This Row],[DCA value]]*100.01%</f>
        <v>900.09</v>
      </c>
      <c r="I10" s="37">
        <f>Table4[[#This Row],[Holding]]*Table4[[#This Row],[Current value]]</f>
        <v>834</v>
      </c>
      <c r="J10" s="37">
        <f>Table4[[#This Row],[Unrealized Value ]]-(Table4[[#This Row],[Holding]]*Table4[[#This Row],[DCA value]])</f>
        <v>-66</v>
      </c>
      <c r="K10" s="96">
        <f>Table4[[#This Row],[Unrealized Profit/Loss]]/Table4[[#This Row],[Purchased value]]</f>
        <v>-7.3326000733260011E-2</v>
      </c>
      <c r="L10" s="52">
        <f>Table4[[#This Row],[Unrealized Value ]]/SUM(Table4[[Unrealized Value ]])</f>
        <v>3.9828456378944825E-2</v>
      </c>
    </row>
    <row r="11" spans="2:12" x14ac:dyDescent="0.25">
      <c r="B11" s="29" cm="1">
        <f t="array" ref="B11">ROW(11:11)-1</f>
        <v>10</v>
      </c>
      <c r="C11" s="70" t="s">
        <v>86</v>
      </c>
      <c r="D11" s="35" t="s">
        <v>40</v>
      </c>
      <c r="E11" s="38">
        <f>SUMIFS(Table7[Executed],Table7[Pair],D11,Table7[Side],"BUY")-SUMIFS(Table7[Executed],Table7[Pair],D11,Table7[Side],"SELL")</f>
        <v>100</v>
      </c>
      <c r="F11" s="51">
        <f>_xlfn.XLOOKUP(Table4[[#This Row],[Coin]],Table_2__5[Column3],Table_2__5[CORRECTED])</f>
        <v>6.46</v>
      </c>
      <c r="G11" s="37">
        <f>_xlfn.XLOOKUP(Table4[[#This Row],[Coin]],Table10[Coin],Table10[DCA])</f>
        <v>5</v>
      </c>
      <c r="H11" s="37">
        <f>Table4[[#This Row],[Holding]]*Table4[[#This Row],[DCA value]]*100.01%</f>
        <v>500.05</v>
      </c>
      <c r="I11" s="37">
        <f>Table4[[#This Row],[Holding]]*Table4[[#This Row],[Current value]]</f>
        <v>646</v>
      </c>
      <c r="J11" s="37">
        <f>Table4[[#This Row],[Unrealized Value ]]-(Table4[[#This Row],[Holding]]*Table4[[#This Row],[DCA value]])</f>
        <v>146</v>
      </c>
      <c r="K11" s="53">
        <f>Table4[[#This Row],[Unrealized Profit/Loss]]/Table4[[#This Row],[Purchased value]]</f>
        <v>0.29197080291970801</v>
      </c>
      <c r="L11" s="52">
        <f>Table4[[#This Row],[Unrealized Value ]]/SUM(Table4[[Unrealized Value ]])</f>
        <v>3.0850339113667094E-2</v>
      </c>
    </row>
    <row r="12" spans="2:12" x14ac:dyDescent="0.25">
      <c r="B12" s="29"/>
      <c r="C12" s="8"/>
      <c r="D12" s="35"/>
      <c r="E12" s="40"/>
      <c r="F12" s="37"/>
      <c r="G12" s="37"/>
      <c r="H12" s="37"/>
      <c r="I12" s="8"/>
      <c r="J12" s="8"/>
      <c r="K12" s="56"/>
      <c r="L12" s="52"/>
    </row>
    <row r="13" spans="2:12" x14ac:dyDescent="0.25">
      <c r="B13" s="29"/>
      <c r="D13" s="9"/>
      <c r="E13" s="40"/>
      <c r="F13" s="37"/>
      <c r="G13" s="37"/>
      <c r="H13" s="37"/>
      <c r="I13" s="8"/>
      <c r="J13" s="8"/>
      <c r="K13" s="56"/>
      <c r="L13" s="52"/>
    </row>
    <row r="14" spans="2:12" x14ac:dyDescent="0.25">
      <c r="K14" s="57"/>
    </row>
    <row r="15" spans="2:12" x14ac:dyDescent="0.25">
      <c r="K15" s="57"/>
    </row>
    <row r="16" spans="2:12" x14ac:dyDescent="0.25">
      <c r="K16" s="57"/>
    </row>
    <row r="17" spans="11:11" x14ac:dyDescent="0.25">
      <c r="K17" s="57"/>
    </row>
    <row r="18" spans="11:11" x14ac:dyDescent="0.25">
      <c r="K18" s="57"/>
    </row>
    <row r="19" spans="11:11" x14ac:dyDescent="0.25">
      <c r="K19" s="57"/>
    </row>
  </sheetData>
  <phoneticPr fontId="2" type="noConversion"/>
  <conditionalFormatting sqref="J2:J11">
    <cfRule type="cellIs" dxfId="13" priority="5" operator="lessThan">
      <formula>1</formula>
    </cfRule>
  </conditionalFormatting>
  <conditionalFormatting sqref="K2:K11">
    <cfRule type="cellIs" dxfId="12" priority="1" operator="greaterThan">
      <formula>1</formula>
    </cfRule>
    <cfRule type="cellIs" dxfId="11" priority="2" operator="lessThan">
      <formula>0.03</formula>
    </cfRule>
    <cfRule type="cellIs" dxfId="10" priority="3" operator="greaterThan">
      <formula>1</formula>
    </cfRule>
  </conditionalFormatting>
  <pageMargins left="0.7" right="0.7" top="0.75" bottom="0.75" header="0.3" footer="0.3"/>
  <ignoredErrors>
    <ignoredError sqref="B2:B11" emptyCellReference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4B7C-3AEA-491C-B8AC-914DF84A9493}">
  <sheetPr>
    <tabColor theme="4"/>
  </sheetPr>
  <dimension ref="C1:AX20"/>
  <sheetViews>
    <sheetView showGridLines="0" zoomScale="156" zoomScaleNormal="147" workbookViewId="0">
      <pane ySplit="1" topLeftCell="A2" activePane="bottomLeft" state="frozen"/>
      <selection pane="bottomLeft" activeCell="K16" sqref="K16"/>
    </sheetView>
  </sheetViews>
  <sheetFormatPr defaultRowHeight="15" x14ac:dyDescent="0.25"/>
  <cols>
    <col min="1" max="1" width="3.7109375" customWidth="1"/>
    <col min="2" max="2" width="2.28515625" customWidth="1"/>
    <col min="3" max="3" width="11.140625" style="22" customWidth="1"/>
    <col min="4" max="4" width="10.85546875" style="43" customWidth="1"/>
    <col min="5" max="5" width="16.140625" style="41" customWidth="1"/>
    <col min="6" max="6" width="3.85546875" customWidth="1"/>
    <col min="7" max="7" width="11.28515625" style="22" customWidth="1"/>
    <col min="8" max="8" width="13.42578125" style="42" customWidth="1"/>
    <col min="9" max="9" width="9.5703125" customWidth="1"/>
    <col min="10" max="10" width="20.85546875" style="29" customWidth="1"/>
    <col min="11" max="11" width="15.28515625" style="49" customWidth="1"/>
    <col min="12" max="12" width="14.140625" style="50" customWidth="1"/>
    <col min="13" max="14" width="19.28515625" customWidth="1"/>
    <col min="15" max="15" width="10.140625" customWidth="1"/>
  </cols>
  <sheetData>
    <row r="1" spans="3:50" s="28" customFormat="1" ht="26.25" customHeight="1" thickBot="1" x14ac:dyDescent="0.3">
      <c r="C1" s="82" t="s">
        <v>63</v>
      </c>
      <c r="D1" s="83" t="s">
        <v>13</v>
      </c>
      <c r="E1" s="83" t="s">
        <v>64</v>
      </c>
      <c r="F1" s="84"/>
      <c r="G1" s="85" t="s">
        <v>12</v>
      </c>
      <c r="H1" s="86" t="s">
        <v>11</v>
      </c>
      <c r="I1" s="65"/>
      <c r="J1" s="74" t="s">
        <v>72</v>
      </c>
      <c r="K1" s="87" t="s">
        <v>71</v>
      </c>
      <c r="L1" s="88" t="s">
        <v>70</v>
      </c>
    </row>
    <row r="2" spans="3:50" ht="15.75" thickTop="1" x14ac:dyDescent="0.25">
      <c r="C2" s="21">
        <v>17600</v>
      </c>
      <c r="D2" s="43">
        <v>45733</v>
      </c>
      <c r="E2" s="41" t="s">
        <v>103</v>
      </c>
      <c r="F2" s="5"/>
      <c r="G2" s="23">
        <v>51035.984999999993</v>
      </c>
      <c r="H2" s="45">
        <v>45030</v>
      </c>
      <c r="J2" s="65" t="s">
        <v>76</v>
      </c>
      <c r="K2" s="31">
        <f>L2/K3</f>
        <v>10517.2792725</v>
      </c>
      <c r="L2" s="50">
        <f>SUM(Table14[Invested RS])</f>
        <v>946555.134525</v>
      </c>
      <c r="AG2" s="1"/>
      <c r="AR2" s="2"/>
      <c r="AX2" s="2"/>
    </row>
    <row r="3" spans="3:50" x14ac:dyDescent="0.25">
      <c r="C3" s="21"/>
      <c r="F3" s="4"/>
      <c r="G3" s="23">
        <v>83513.430000000008</v>
      </c>
      <c r="H3" s="45">
        <v>45038</v>
      </c>
      <c r="J3" s="65" t="s">
        <v>75</v>
      </c>
      <c r="K3" s="47">
        <v>90</v>
      </c>
    </row>
    <row r="4" spans="3:50" x14ac:dyDescent="0.25">
      <c r="C4" s="21"/>
      <c r="F4" s="4"/>
      <c r="G4" s="23">
        <v>37117.08</v>
      </c>
      <c r="H4" s="45">
        <v>45040</v>
      </c>
      <c r="J4" s="31" t="s">
        <v>108</v>
      </c>
      <c r="K4" s="48">
        <f>L4/K3</f>
        <v>195.55555555555554</v>
      </c>
      <c r="L4" s="50">
        <f>SUM(Table5[[ Cashed Profit]])</f>
        <v>17600</v>
      </c>
    </row>
    <row r="5" spans="3:50" x14ac:dyDescent="0.25">
      <c r="C5" s="21"/>
      <c r="F5" s="4"/>
      <c r="G5" s="23">
        <v>36885.098250000003</v>
      </c>
      <c r="H5" s="45">
        <v>45040</v>
      </c>
      <c r="J5" s="66" t="s">
        <v>98</v>
      </c>
      <c r="K5" s="32">
        <f>SUM(Table10[Realized Profit])</f>
        <v>549.59615384615381</v>
      </c>
      <c r="L5" s="50">
        <f>Table1[[#This Row],[USDT]]*K3</f>
        <v>49463.653846153844</v>
      </c>
    </row>
    <row r="6" spans="3:50" x14ac:dyDescent="0.25">
      <c r="C6" s="21"/>
      <c r="F6" s="4"/>
      <c r="G6" s="23">
        <v>55675.62</v>
      </c>
      <c r="H6" s="45">
        <v>45040</v>
      </c>
      <c r="J6" s="66" t="s">
        <v>96</v>
      </c>
      <c r="K6" s="49">
        <f>SUM(Table4[Unrealized Profit/Loss])</f>
        <v>11232.206083653846</v>
      </c>
      <c r="L6" s="50">
        <f>Table1[[#This Row],[USDT]]*K3</f>
        <v>1010898.5475288461</v>
      </c>
    </row>
    <row r="7" spans="3:50" x14ac:dyDescent="0.25">
      <c r="C7" s="21"/>
      <c r="F7" s="4"/>
      <c r="G7" s="23">
        <v>51499.948499999999</v>
      </c>
      <c r="H7" s="45">
        <v>45086</v>
      </c>
      <c r="J7" s="66" t="s">
        <v>97</v>
      </c>
      <c r="K7" s="64">
        <f>SUM(Table4[[Unrealized Value ]])/Summary!K2</f>
        <v>1.9909904163382099</v>
      </c>
    </row>
    <row r="8" spans="3:50" x14ac:dyDescent="0.25">
      <c r="C8" s="21"/>
      <c r="F8" s="4"/>
      <c r="G8" s="23">
        <v>83513.430000000008</v>
      </c>
      <c r="H8" s="45">
        <v>45154</v>
      </c>
      <c r="J8" s="66" t="s">
        <v>74</v>
      </c>
      <c r="K8" s="32">
        <f>K5-K4</f>
        <v>354.04059829059827</v>
      </c>
      <c r="L8" s="50">
        <f>K8*90</f>
        <v>31863.653846153844</v>
      </c>
    </row>
    <row r="9" spans="3:50" x14ac:dyDescent="0.25">
      <c r="C9" s="21"/>
      <c r="F9" s="4"/>
      <c r="G9" s="23">
        <v>38972.934000000001</v>
      </c>
      <c r="H9" s="45">
        <v>45231</v>
      </c>
      <c r="J9" s="66" t="s">
        <v>73</v>
      </c>
      <c r="K9" s="32">
        <f>SUM(Table7[Fee])</f>
        <v>11.242000000000003</v>
      </c>
      <c r="L9" s="50">
        <f>K9*90</f>
        <v>1011.7800000000002</v>
      </c>
    </row>
    <row r="10" spans="3:50" x14ac:dyDescent="0.25">
      <c r="C10" s="21"/>
      <c r="F10" s="4"/>
      <c r="G10" s="23">
        <v>64954.890000000007</v>
      </c>
      <c r="H10" s="45">
        <v>45235</v>
      </c>
      <c r="J10" s="24" t="s">
        <v>91</v>
      </c>
      <c r="K10" s="60" t="str">
        <f>INDEX(Table4[Coin Name], MATCH(MAX(Table4[ROI]), Table4[ROI], 0))</f>
        <v>Solana</v>
      </c>
      <c r="L10" s="67">
        <f>_xlfn.XLOOKUP(Table1[[#This Row],[USDT]],Table4[Coin Name],Table4[ROI])</f>
        <v>7.0747925207479243</v>
      </c>
    </row>
    <row r="11" spans="3:50" x14ac:dyDescent="0.25">
      <c r="C11" s="21"/>
      <c r="F11" s="4"/>
      <c r="G11" s="23">
        <v>74234.16</v>
      </c>
      <c r="H11" s="45">
        <v>45264</v>
      </c>
      <c r="J11" s="65" t="s">
        <v>92</v>
      </c>
      <c r="K11" s="33" t="str">
        <f>INDEX(Table4[Coin Name], MATCH(MIN(Table4[ROI]), Table4[ROI], 0))</f>
        <v>Polkadot</v>
      </c>
      <c r="L11" s="68">
        <f>_xlfn.XLOOKUP(Table1[[#This Row],[USDT]],Table4[Coin Name],Table4[ROI])</f>
        <v>-7.3326000733260011E-2</v>
      </c>
    </row>
    <row r="12" spans="3:50" x14ac:dyDescent="0.25">
      <c r="C12" s="21"/>
      <c r="F12" s="4"/>
      <c r="G12" s="23">
        <v>46396.35</v>
      </c>
      <c r="H12" s="45">
        <v>45287</v>
      </c>
      <c r="J12" s="65"/>
      <c r="L12" s="59"/>
    </row>
    <row r="13" spans="3:50" x14ac:dyDescent="0.25">
      <c r="C13" s="21"/>
      <c r="F13" s="4"/>
      <c r="G13" s="23">
        <v>46396.35</v>
      </c>
      <c r="H13" s="45">
        <v>45335</v>
      </c>
    </row>
    <row r="14" spans="3:50" x14ac:dyDescent="0.25">
      <c r="C14" s="21"/>
      <c r="F14" s="4"/>
      <c r="G14" s="23">
        <v>46396.35</v>
      </c>
      <c r="H14" s="45">
        <f>DATE(2024,4,16)</f>
        <v>45398</v>
      </c>
    </row>
    <row r="15" spans="3:50" x14ac:dyDescent="0.25">
      <c r="C15" s="21"/>
      <c r="F15" s="4"/>
      <c r="G15" s="23">
        <v>46396.35</v>
      </c>
      <c r="H15" s="45">
        <f>DATE(2024,11,18)</f>
        <v>45614</v>
      </c>
    </row>
    <row r="16" spans="3:50" x14ac:dyDescent="0.25">
      <c r="C16" s="21"/>
      <c r="F16" s="4"/>
      <c r="G16" s="23">
        <v>59201.742600000005</v>
      </c>
      <c r="H16" s="45">
        <f>DATE(2024,11,26)</f>
        <v>45622</v>
      </c>
    </row>
    <row r="17" spans="3:8" x14ac:dyDescent="0.25">
      <c r="C17" s="21"/>
      <c r="F17" s="4"/>
      <c r="G17" s="23">
        <v>46396.35</v>
      </c>
      <c r="H17" s="45">
        <v>45695</v>
      </c>
    </row>
    <row r="18" spans="3:8" x14ac:dyDescent="0.25">
      <c r="C18" s="21"/>
      <c r="F18" s="4"/>
      <c r="G18" s="23">
        <v>77969.066175</v>
      </c>
      <c r="H18" s="45">
        <v>45733</v>
      </c>
    </row>
    <row r="19" spans="3:8" x14ac:dyDescent="0.25">
      <c r="C19" s="21"/>
      <c r="F19" s="5"/>
    </row>
    <row r="20" spans="3:8" x14ac:dyDescent="0.25">
      <c r="C20" s="21"/>
      <c r="F20" s="5"/>
    </row>
  </sheetData>
  <phoneticPr fontId="2" type="noConversion"/>
  <conditionalFormatting sqref="K7">
    <cfRule type="cellIs" dxfId="9" priority="2" operator="greaterThan">
      <formula>1</formula>
    </cfRule>
  </conditionalFormatting>
  <conditionalFormatting sqref="K10">
    <cfRule type="colorScale" priority="3">
      <colorScale>
        <cfvo type="min"/>
        <cfvo type="max"/>
        <color rgb="FFFF7128"/>
        <color rgb="FFFFEF9C"/>
      </colorScale>
    </cfRule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K7:L7">
    <cfRule type="cellIs" dxfId="8" priority="1" operator="greaterThan">
      <formula>1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1704-C68C-45DF-9A47-459B75291EA7}">
  <sheetPr>
    <tabColor theme="5" tint="-0.249977111117893"/>
    <pageSetUpPr fitToPage="1"/>
  </sheetPr>
  <dimension ref="A1:M1556"/>
  <sheetViews>
    <sheetView showGridLines="0" tabSelected="1" zoomScale="95" zoomScaleNormal="133" workbookViewId="0">
      <selection activeCell="J70" sqref="J70"/>
    </sheetView>
  </sheetViews>
  <sheetFormatPr defaultRowHeight="15" x14ac:dyDescent="0.25"/>
  <cols>
    <col min="1" max="1" width="9.140625" style="98"/>
    <col min="2" max="2" width="6.85546875" style="98" customWidth="1"/>
    <col min="3" max="3" width="9.140625" style="99"/>
    <col min="4" max="4" width="11" style="98" customWidth="1"/>
    <col min="5" max="5" width="13.85546875" style="98" customWidth="1"/>
    <col min="6" max="6" width="12.42578125" style="98" customWidth="1"/>
    <col min="7" max="7" width="13" style="98" customWidth="1"/>
    <col min="8" max="8" width="13.140625" style="98" customWidth="1"/>
    <col min="9" max="9" width="11.28515625" style="98" customWidth="1"/>
    <col min="10" max="10" width="9.140625" style="98"/>
    <col min="11" max="11" width="11" style="98" customWidth="1"/>
    <col min="12" max="13" width="9.140625" style="98"/>
  </cols>
  <sheetData>
    <row r="1" spans="1:13" x14ac:dyDescent="0.25">
      <c r="B1" s="111" t="s">
        <v>102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</row>
    <row r="2" spans="1:13" x14ac:dyDescent="0.25"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</row>
    <row r="3" spans="1:13" x14ac:dyDescent="0.25"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</row>
    <row r="4" spans="1:13" x14ac:dyDescent="0.25"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</row>
    <row r="6" spans="1:13" ht="28.5" customHeight="1" x14ac:dyDescent="0.25">
      <c r="A6" s="99"/>
      <c r="B6" s="99"/>
      <c r="C6" s="29" t="s">
        <v>50</v>
      </c>
      <c r="D6" s="29" t="s">
        <v>57</v>
      </c>
      <c r="E6" s="97" t="s">
        <v>58</v>
      </c>
      <c r="F6" s="97" t="s">
        <v>59</v>
      </c>
      <c r="G6" s="97" t="s">
        <v>90</v>
      </c>
      <c r="H6" s="97" t="s">
        <v>89</v>
      </c>
      <c r="I6" s="97" t="s">
        <v>95</v>
      </c>
      <c r="J6" s="29" t="s">
        <v>60</v>
      </c>
      <c r="K6" s="29" t="s">
        <v>0</v>
      </c>
      <c r="L6" s="99"/>
      <c r="M6" s="99"/>
    </row>
    <row r="7" spans="1:13" x14ac:dyDescent="0.25">
      <c r="C7" s="99" t="s">
        <v>9</v>
      </c>
      <c r="D7" s="101">
        <f>_xlfn.XLOOKUP(Table11[[#This Row],[Coin]],Table4[Coin],Table4[Holding])</f>
        <v>5.3750000000000006E-2</v>
      </c>
      <c r="E7" s="102">
        <f>_xlfn.XLOOKUP(Table11[[#This Row],[Coin]],Table4[Coin],Table4[Current value])</f>
        <v>105360.89</v>
      </c>
      <c r="F7" s="103">
        <f>_xlfn.XLOOKUP(Table11[[#This Row],[Coin]],Table10[Coin],Table10[DCA])</f>
        <v>43769.230769230766</v>
      </c>
      <c r="G7" s="103">
        <f>Table11[[#This Row],[Holding]]*Table11[[#This Row],[DCA value]]*100.01%</f>
        <v>2352.8314134615384</v>
      </c>
      <c r="H7" s="103">
        <f>Table11[[#This Row],[Holding]]*Table11[[#This Row],[Current value]]</f>
        <v>5663.1478375000006</v>
      </c>
      <c r="I7" s="103">
        <f>Table11[[#This Row],[Unrealized Value ]]-(Table11[[#This Row],[Holding]]*Table11[[#This Row],[DCA value]])</f>
        <v>3310.5516836538468</v>
      </c>
      <c r="J7" s="104">
        <f>Table11[[#This Row],[Unrealized Profit/Loss]]/Table11[[#This Row],[Purchased value]]</f>
        <v>1.4070501034255101</v>
      </c>
      <c r="K7" s="104">
        <f>Table11[[#This Row],[Unrealized Value ]]/SUM(Table11[[Unrealized Value ]])</f>
        <v>0.27044896476425001</v>
      </c>
    </row>
    <row r="8" spans="1:13" x14ac:dyDescent="0.25">
      <c r="C8" s="99" t="s">
        <v>25</v>
      </c>
      <c r="D8" s="101">
        <f>_xlfn.XLOOKUP(Table11[[#This Row],[Coin]],Table4[Coin],Table4[Holding])</f>
        <v>30</v>
      </c>
      <c r="E8" s="102">
        <f>_xlfn.XLOOKUP(Table11[[#This Row],[Coin]],Table4[Coin],Table4[Current value])</f>
        <v>161.51</v>
      </c>
      <c r="F8" s="103">
        <f>_xlfn.XLOOKUP(Table11[[#This Row],[Coin]],Table10[Coin],Table10[DCA])</f>
        <v>20</v>
      </c>
      <c r="G8" s="103">
        <f>Table11[[#This Row],[Holding]]*Table11[[#This Row],[DCA value]]*100.01%</f>
        <v>600.05999999999995</v>
      </c>
      <c r="H8" s="103">
        <f>Table11[[#This Row],[Holding]]*Table11[[#This Row],[Current value]]</f>
        <v>4845.2999999999993</v>
      </c>
      <c r="I8" s="103">
        <f>Table11[[#This Row],[Unrealized Value ]]-(Table11[[#This Row],[Holding]]*Table11[[#This Row],[DCA value]])</f>
        <v>4245.2999999999993</v>
      </c>
      <c r="J8" s="104">
        <f>Table11[[#This Row],[Unrealized Profit/Loss]]/Table11[[#This Row],[Purchased value]]</f>
        <v>7.0747925207479243</v>
      </c>
      <c r="K8" s="104">
        <f>Table11[[#This Row],[Unrealized Value ]]/SUM(Table11[[Unrealized Value ]])</f>
        <v>0.2313918701353733</v>
      </c>
    </row>
    <row r="9" spans="1:13" x14ac:dyDescent="0.25">
      <c r="C9" s="99" t="s">
        <v>17</v>
      </c>
      <c r="D9" s="101">
        <f>_xlfn.XLOOKUP(Table11[[#This Row],[Coin]],Table4[Coin],Table4[Holding])</f>
        <v>1</v>
      </c>
      <c r="E9" s="102">
        <f>_xlfn.XLOOKUP(Table11[[#This Row],[Coin]],Table4[Coin],Table4[Current value])</f>
        <v>2615.15</v>
      </c>
      <c r="F9" s="103">
        <f>_xlfn.XLOOKUP(Table11[[#This Row],[Coin]],Table10[Coin],Table10[DCA])</f>
        <v>1955</v>
      </c>
      <c r="G9" s="103">
        <f>Table11[[#This Row],[Holding]]*Table11[[#This Row],[DCA value]]*100.01%</f>
        <v>1955.1955</v>
      </c>
      <c r="H9" s="103">
        <f>Table11[[#This Row],[Holding]]*Table11[[#This Row],[Current value]]</f>
        <v>2615.15</v>
      </c>
      <c r="I9" s="103">
        <f>Table11[[#This Row],[Unrealized Value ]]-(Table11[[#This Row],[Holding]]*Table11[[#This Row],[DCA value]])</f>
        <v>660.15000000000009</v>
      </c>
      <c r="J9" s="104">
        <f>Table11[[#This Row],[Unrealized Profit/Loss]]/Table11[[#This Row],[Purchased value]]</f>
        <v>0.33763887038406137</v>
      </c>
      <c r="K9" s="104">
        <f>Table11[[#This Row],[Unrealized Value ]]/SUM(Table11[[Unrealized Value ]])</f>
        <v>0.12488895407601626</v>
      </c>
    </row>
    <row r="10" spans="1:13" x14ac:dyDescent="0.25">
      <c r="C10" s="99" t="s">
        <v>20</v>
      </c>
      <c r="D10" s="101">
        <f>_xlfn.XLOOKUP(Table11[[#This Row],[Coin]],Table4[Coin],Table4[Holding])</f>
        <v>2314</v>
      </c>
      <c r="E10" s="102">
        <f>_xlfn.XLOOKUP(Table11[[#This Row],[Coin]],Table4[Coin],Table4[Current value])</f>
        <v>0.6946</v>
      </c>
      <c r="F10" s="103">
        <f>_xlfn.XLOOKUP(Table11[[#This Row],[Coin]],Table10[Coin],Table10[DCA])</f>
        <v>0.38893690579083839</v>
      </c>
      <c r="G10" s="103">
        <f>Table11[[#This Row],[Holding]]*Table11[[#This Row],[DCA value]]*100.01%</f>
        <v>900.09</v>
      </c>
      <c r="H10" s="103">
        <f>Table11[[#This Row],[Holding]]*Table11[[#This Row],[Current value]]</f>
        <v>1607.3044</v>
      </c>
      <c r="I10" s="103">
        <f>Table11[[#This Row],[Unrealized Value ]]-(Table11[[#This Row],[Holding]]*Table11[[#This Row],[DCA value]])</f>
        <v>707.30439999999999</v>
      </c>
      <c r="J10" s="104">
        <f>Table11[[#This Row],[Unrealized Profit/Loss]]/Table11[[#This Row],[Purchased value]]</f>
        <v>0.78581519625815188</v>
      </c>
      <c r="K10" s="104">
        <f>Table11[[#This Row],[Unrealized Value ]]/SUM(Table11[[Unrealized Value ]])</f>
        <v>7.6758337149983313E-2</v>
      </c>
    </row>
    <row r="11" spans="1:13" x14ac:dyDescent="0.25">
      <c r="C11" s="99" t="s">
        <v>34</v>
      </c>
      <c r="D11" s="101">
        <f>_xlfn.XLOOKUP(Table11[[#This Row],[Coin]],Table4[Coin],Table4[Holding])</f>
        <v>100</v>
      </c>
      <c r="E11" s="102">
        <f>_xlfn.XLOOKUP(Table11[[#This Row],[Coin]],Table4[Coin],Table4[Current value])</f>
        <v>14.14</v>
      </c>
      <c r="F11" s="103">
        <f>_xlfn.XLOOKUP(Table11[[#This Row],[Coin]],Table10[Coin],Table10[DCA])</f>
        <v>7</v>
      </c>
      <c r="G11" s="103">
        <f>Table11[[#This Row],[Holding]]*Table11[[#This Row],[DCA value]]*100.01%</f>
        <v>700.06999999999994</v>
      </c>
      <c r="H11" s="103">
        <f>Table11[[#This Row],[Holding]]*Table11[[#This Row],[Current value]]</f>
        <v>1414</v>
      </c>
      <c r="I11" s="103">
        <f>Table11[[#This Row],[Unrealized Value ]]-(Table11[[#This Row],[Holding]]*Table11[[#This Row],[DCA value]])</f>
        <v>714</v>
      </c>
      <c r="J11" s="104">
        <f>Table11[[#This Row],[Unrealized Profit/Loss]]/Table11[[#This Row],[Purchased value]]</f>
        <v>1.0198980101989803</v>
      </c>
      <c r="K11" s="104">
        <f>Table11[[#This Row],[Unrealized Value ]]/SUM(Table11[[Unrealized Value ]])</f>
        <v>6.7526903261184629E-2</v>
      </c>
    </row>
    <row r="12" spans="1:13" x14ac:dyDescent="0.25">
      <c r="C12" s="99" t="s">
        <v>45</v>
      </c>
      <c r="D12" s="101">
        <f>_xlfn.XLOOKUP(Table11[[#This Row],[Coin]],Table4[Coin],Table4[Holding])</f>
        <v>5000</v>
      </c>
      <c r="E12" s="102">
        <f>_xlfn.XLOOKUP(Table11[[#This Row],[Coin]],Table4[Coin],Table4[Current value])</f>
        <v>0.2717</v>
      </c>
      <c r="F12" s="103">
        <f>_xlfn.XLOOKUP(Table11[[#This Row],[Coin]],Table10[Coin],Table10[DCA])</f>
        <v>0.1</v>
      </c>
      <c r="G12" s="103">
        <f>Table11[[#This Row],[Holding]]*Table11[[#This Row],[DCA value]]*100.01%</f>
        <v>500.05</v>
      </c>
      <c r="H12" s="103">
        <f>Table11[[#This Row],[Holding]]*Table11[[#This Row],[Current value]]</f>
        <v>1358.5</v>
      </c>
      <c r="I12" s="103">
        <f>Table11[[#This Row],[Unrealized Value ]]-(Table11[[#This Row],[Holding]]*Table11[[#This Row],[DCA value]])</f>
        <v>858.5</v>
      </c>
      <c r="J12" s="104">
        <f>Table11[[#This Row],[Unrealized Profit/Loss]]/Table11[[#This Row],[Purchased value]]</f>
        <v>1.7168283171682832</v>
      </c>
      <c r="K12" s="104">
        <f>Table11[[#This Row],[Unrealized Value ]]/SUM(Table11[[Unrealized Value ]])</f>
        <v>6.4876448430211689E-2</v>
      </c>
    </row>
    <row r="13" spans="1:13" x14ac:dyDescent="0.25">
      <c r="C13" s="99" t="s">
        <v>43</v>
      </c>
      <c r="D13" s="101">
        <f>_xlfn.XLOOKUP(Table11[[#This Row],[Coin]],Table4[Coin],Table4[Holding])</f>
        <v>50</v>
      </c>
      <c r="E13" s="102">
        <f>_xlfn.XLOOKUP(Table11[[#This Row],[Coin]],Table4[Coin],Table4[Current value])</f>
        <v>21.27</v>
      </c>
      <c r="F13" s="103">
        <f>_xlfn.XLOOKUP(Table11[[#This Row],[Coin]],Table10[Coin],Table10[DCA])</f>
        <v>10</v>
      </c>
      <c r="G13" s="103">
        <f>Table11[[#This Row],[Holding]]*Table11[[#This Row],[DCA value]]*100.01%</f>
        <v>500.05</v>
      </c>
      <c r="H13" s="103">
        <f>Table11[[#This Row],[Holding]]*Table11[[#This Row],[Current value]]</f>
        <v>1063.5</v>
      </c>
      <c r="I13" s="103">
        <f>Table11[[#This Row],[Unrealized Value ]]-(Table11[[#This Row],[Holding]]*Table11[[#This Row],[DCA value]])</f>
        <v>563.5</v>
      </c>
      <c r="J13" s="104">
        <f>Table11[[#This Row],[Unrealized Profit/Loss]]/Table11[[#This Row],[Purchased value]]</f>
        <v>1.1268873112688731</v>
      </c>
      <c r="K13" s="104">
        <f>Table11[[#This Row],[Unrealized Value ]]/SUM(Table11[[Unrealized Value ]])</f>
        <v>5.0788445274589714E-2</v>
      </c>
    </row>
    <row r="14" spans="1:13" x14ac:dyDescent="0.25">
      <c r="C14" s="99" t="s">
        <v>37</v>
      </c>
      <c r="D14" s="101">
        <f>_xlfn.XLOOKUP(Table11[[#This Row],[Coin]],Table4[Coin],Table4[Holding])</f>
        <v>10</v>
      </c>
      <c r="E14" s="102">
        <f>_xlfn.XLOOKUP(Table11[[#This Row],[Coin]],Table4[Coin],Table4[Current value])</f>
        <v>89.29</v>
      </c>
      <c r="F14" s="103">
        <f>_xlfn.XLOOKUP(Table11[[#This Row],[Coin]],Table10[Coin],Table10[DCA])</f>
        <v>80</v>
      </c>
      <c r="G14" s="103">
        <f>Table11[[#This Row],[Holding]]*Table11[[#This Row],[DCA value]]*100.01%</f>
        <v>800.08</v>
      </c>
      <c r="H14" s="103">
        <f>Table11[[#This Row],[Holding]]*Table11[[#This Row],[Current value]]</f>
        <v>892.90000000000009</v>
      </c>
      <c r="I14" s="103">
        <f>Table11[[#This Row],[Unrealized Value ]]-(Table11[[#This Row],[Holding]]*Table11[[#This Row],[DCA value]])</f>
        <v>92.900000000000091</v>
      </c>
      <c r="J14" s="104">
        <f>Table11[[#This Row],[Unrealized Profit/Loss]]/Table11[[#This Row],[Purchased value]]</f>
        <v>0.11611338866113399</v>
      </c>
      <c r="K14" s="104">
        <f>Table11[[#This Row],[Unrealized Value ]]/SUM(Table11[[Unrealized Value ]])</f>
        <v>4.2641281415779185E-2</v>
      </c>
    </row>
    <row r="15" spans="1:13" x14ac:dyDescent="0.25">
      <c r="C15" s="99" t="s">
        <v>30</v>
      </c>
      <c r="D15" s="101">
        <f>_xlfn.XLOOKUP(Table11[[#This Row],[Coin]],Table4[Coin],Table4[Holding])</f>
        <v>200</v>
      </c>
      <c r="E15" s="102">
        <f>_xlfn.XLOOKUP(Table11[[#This Row],[Coin]],Table4[Coin],Table4[Current value])</f>
        <v>4.17</v>
      </c>
      <c r="F15" s="103">
        <f>_xlfn.XLOOKUP(Table11[[#This Row],[Coin]],Table10[Coin],Table10[DCA])</f>
        <v>4.5</v>
      </c>
      <c r="G15" s="103">
        <f>Table11[[#This Row],[Holding]]*Table11[[#This Row],[DCA value]]*100.01%</f>
        <v>900.09</v>
      </c>
      <c r="H15" s="103">
        <f>Table11[[#This Row],[Holding]]*Table11[[#This Row],[Current value]]</f>
        <v>834</v>
      </c>
      <c r="I15" s="103">
        <f>Table11[[#This Row],[Unrealized Value ]]-(Table11[[#This Row],[Holding]]*Table11[[#This Row],[DCA value]])</f>
        <v>-66</v>
      </c>
      <c r="J15" s="105">
        <f>Table11[[#This Row],[Unrealized Profit/Loss]]/Table11[[#This Row],[Purchased value]]</f>
        <v>-7.3326000733260011E-2</v>
      </c>
      <c r="K15" s="104">
        <f>Table11[[#This Row],[Unrealized Value ]]/SUM(Table11[[Unrealized Value ]])</f>
        <v>3.9828456378944825E-2</v>
      </c>
    </row>
    <row r="16" spans="1:13" x14ac:dyDescent="0.25">
      <c r="C16" s="99" t="s">
        <v>40</v>
      </c>
      <c r="D16" s="101">
        <f>_xlfn.XLOOKUP(Table11[[#This Row],[Coin]],Table4[Coin],Table4[Holding])</f>
        <v>100</v>
      </c>
      <c r="E16" s="102">
        <f>_xlfn.XLOOKUP(Table11[[#This Row],[Coin]],Table4[Coin],Table4[Current value])</f>
        <v>6.46</v>
      </c>
      <c r="F16" s="103">
        <f>_xlfn.XLOOKUP(Table11[[#This Row],[Coin]],Table10[Coin],Table10[DCA])</f>
        <v>5</v>
      </c>
      <c r="G16" s="103">
        <f>Table11[[#This Row],[Holding]]*Table11[[#This Row],[DCA value]]*100.01%</f>
        <v>500.05</v>
      </c>
      <c r="H16" s="103">
        <f>Table11[[#This Row],[Holding]]*Table11[[#This Row],[Current value]]</f>
        <v>646</v>
      </c>
      <c r="I16" s="103">
        <f>Table11[[#This Row],[Unrealized Value ]]-(Table11[[#This Row],[Holding]]*Table11[[#This Row],[DCA value]])</f>
        <v>146</v>
      </c>
      <c r="J16" s="104">
        <f>Table11[[#This Row],[Unrealized Profit/Loss]]/Table11[[#This Row],[Purchased value]]</f>
        <v>0.29197080291970801</v>
      </c>
      <c r="K16" s="104">
        <f>Table11[[#This Row],[Unrealized Value ]]/SUM(Table11[[Unrealized Value ]])</f>
        <v>3.0850339113667094E-2</v>
      </c>
    </row>
    <row r="18" spans="2:11" x14ac:dyDescent="0.25">
      <c r="C18" s="113"/>
      <c r="D18" s="113"/>
    </row>
    <row r="20" spans="2:11" x14ac:dyDescent="0.25">
      <c r="B20" s="114">
        <f>Summary!K2</f>
        <v>10517.2792725</v>
      </c>
      <c r="C20" s="114"/>
      <c r="D20" s="100"/>
      <c r="E20" s="115">
        <f>Summary!K6</f>
        <v>11232.206083653846</v>
      </c>
      <c r="G20" s="116">
        <f>Summary!K5</f>
        <v>549.59615384615381</v>
      </c>
      <c r="I20" s="117">
        <f>Summary!K4</f>
        <v>195.55555555555554</v>
      </c>
      <c r="K20" s="118">
        <f>Summary!K7</f>
        <v>1.9909904163382099</v>
      </c>
    </row>
    <row r="21" spans="2:11" x14ac:dyDescent="0.25">
      <c r="B21" s="114"/>
      <c r="C21" s="114"/>
      <c r="D21" s="100"/>
      <c r="E21" s="115"/>
      <c r="G21" s="116"/>
      <c r="I21" s="117"/>
      <c r="K21" s="118"/>
    </row>
    <row r="66" spans="1:13" x14ac:dyDescent="0.25">
      <c r="A66" s="106"/>
      <c r="B66" s="106"/>
      <c r="C66" s="107"/>
      <c r="D66" s="106"/>
      <c r="E66" s="106"/>
      <c r="F66" s="108" t="s">
        <v>91</v>
      </c>
      <c r="G66" s="108"/>
      <c r="H66" s="108" t="str">
        <f>INDEX(Table4[Coin Name], MATCH(MAX(Table4[ROI]), Table4[ROI], 0))</f>
        <v>Solana</v>
      </c>
    </row>
    <row r="67" spans="1:13" x14ac:dyDescent="0.25">
      <c r="A67" s="106"/>
      <c r="B67" s="106"/>
      <c r="C67" s="106"/>
      <c r="D67" s="106"/>
      <c r="E67" s="106"/>
      <c r="F67" s="108"/>
      <c r="G67" s="108"/>
      <c r="H67" s="108"/>
      <c r="I67" s="106"/>
      <c r="J67" s="106"/>
      <c r="K67" s="106"/>
      <c r="L67" s="106"/>
      <c r="M67" s="106"/>
    </row>
    <row r="68" spans="1:13" x14ac:dyDescent="0.25">
      <c r="A68" s="106"/>
      <c r="B68" s="106"/>
      <c r="C68" s="106"/>
      <c r="D68" s="106"/>
      <c r="E68" s="106"/>
      <c r="F68" s="119" t="s">
        <v>92</v>
      </c>
      <c r="G68" s="119"/>
      <c r="H68" s="109" t="str">
        <f>INDEX(Table4[Coin Name], MATCH(MIN(Table4[ROI]), Table4[ROI], 0))</f>
        <v>Polkadot</v>
      </c>
      <c r="I68" s="106"/>
      <c r="J68" s="106"/>
      <c r="K68" s="106"/>
      <c r="L68" s="106"/>
      <c r="M68" s="106"/>
    </row>
    <row r="69" spans="1:13" x14ac:dyDescent="0.25">
      <c r="A69" s="106"/>
      <c r="B69" s="106"/>
      <c r="C69" s="106"/>
      <c r="D69" s="106"/>
      <c r="E69" s="106"/>
      <c r="F69" s="119"/>
      <c r="G69" s="119"/>
      <c r="H69" s="110"/>
      <c r="I69" s="106"/>
      <c r="J69" s="106"/>
      <c r="K69" s="106"/>
      <c r="L69" s="106"/>
      <c r="M69" s="106"/>
    </row>
    <row r="70" spans="1:13" x14ac:dyDescent="0.25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25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5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25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25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25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25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25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25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2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25">
      <c r="A80"/>
      <c r="B80"/>
      <c r="C80"/>
      <c r="D80"/>
      <c r="E80"/>
      <c r="F80"/>
      <c r="G80"/>
      <c r="H80"/>
      <c r="I80"/>
      <c r="J80"/>
      <c r="K80"/>
      <c r="L80"/>
      <c r="M80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</sheetData>
  <mergeCells count="11">
    <mergeCell ref="F66:G67"/>
    <mergeCell ref="H66:H67"/>
    <mergeCell ref="H68:H69"/>
    <mergeCell ref="B1:L4"/>
    <mergeCell ref="C18:D18"/>
    <mergeCell ref="B20:C21"/>
    <mergeCell ref="E20:E21"/>
    <mergeCell ref="G20:G21"/>
    <mergeCell ref="I20:I21"/>
    <mergeCell ref="K20:K21"/>
    <mergeCell ref="F68:G69"/>
  </mergeCells>
  <conditionalFormatting sqref="I7:I16">
    <cfRule type="cellIs" dxfId="7" priority="1" operator="lessThan">
      <formula>0</formula>
    </cfRule>
  </conditionalFormatting>
  <conditionalFormatting sqref="J7:J16">
    <cfRule type="cellIs" dxfId="6" priority="2" operator="lessThan">
      <formula>0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scale="65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D184-F2A5-4193-A9F7-8E7FAF5FA0EC}">
  <sheetPr>
    <tabColor theme="5" tint="0.39997558519241921"/>
  </sheetPr>
  <dimension ref="B1:T24"/>
  <sheetViews>
    <sheetView showGridLines="0" zoomScale="131" workbookViewId="0">
      <pane ySplit="1" topLeftCell="A2" activePane="bottomLeft" state="frozen"/>
      <selection pane="bottomLeft" activeCell="N17" sqref="N17"/>
    </sheetView>
  </sheetViews>
  <sheetFormatPr defaultRowHeight="12" x14ac:dyDescent="0.2"/>
  <cols>
    <col min="1" max="1" width="5.5703125" style="7" customWidth="1"/>
    <col min="2" max="2" width="11.28515625" style="45" customWidth="1"/>
    <col min="3" max="3" width="9.140625" style="6" customWidth="1"/>
    <col min="4" max="4" width="8.28515625" style="16" customWidth="1"/>
    <col min="5" max="6" width="10.85546875" style="13" customWidth="1"/>
    <col min="7" max="7" width="11.28515625" style="19" customWidth="1"/>
    <col min="8" max="8" width="10.42578125" style="27" customWidth="1"/>
    <col min="9" max="9" width="12.5703125" style="33" customWidth="1"/>
    <col min="10" max="10" width="7.7109375" style="10" customWidth="1"/>
    <col min="11" max="11" width="6.28515625" style="7" customWidth="1"/>
    <col min="12" max="12" width="6.140625" style="7" customWidth="1"/>
    <col min="13" max="13" width="7.5703125" style="30" customWidth="1"/>
    <col min="14" max="14" width="10.140625" style="7" customWidth="1"/>
    <col min="15" max="15" width="10.28515625" style="7" customWidth="1"/>
    <col min="16" max="16" width="11.85546875" style="7" customWidth="1"/>
    <col min="17" max="17" width="11.42578125" style="44" customWidth="1"/>
    <col min="18" max="18" width="9.42578125" style="7" customWidth="1"/>
    <col min="19" max="19" width="11.7109375" style="7" customWidth="1"/>
    <col min="20" max="20" width="12.42578125" style="7" customWidth="1"/>
    <col min="21" max="16384" width="9.140625" style="7"/>
  </cols>
  <sheetData>
    <row r="1" spans="2:20" s="89" customFormat="1" ht="24" customHeight="1" thickBot="1" x14ac:dyDescent="0.3">
      <c r="B1" s="90" t="s">
        <v>10</v>
      </c>
      <c r="C1" s="91" t="s">
        <v>1</v>
      </c>
      <c r="D1" s="91" t="s">
        <v>2</v>
      </c>
      <c r="E1" s="92" t="s">
        <v>3</v>
      </c>
      <c r="F1" s="92" t="s">
        <v>93</v>
      </c>
      <c r="G1" s="91" t="s">
        <v>4</v>
      </c>
      <c r="H1" s="93" t="s">
        <v>5</v>
      </c>
      <c r="I1" s="94" t="s">
        <v>94</v>
      </c>
      <c r="J1" s="92" t="s">
        <v>6</v>
      </c>
      <c r="M1" s="95" t="s">
        <v>50</v>
      </c>
      <c r="N1" s="91" t="s">
        <v>65</v>
      </c>
      <c r="O1" s="91" t="s">
        <v>66</v>
      </c>
      <c r="P1" s="91" t="s">
        <v>67</v>
      </c>
      <c r="Q1" s="95" t="s">
        <v>68</v>
      </c>
      <c r="R1" s="91" t="s">
        <v>61</v>
      </c>
      <c r="S1" s="91" t="s">
        <v>69</v>
      </c>
      <c r="T1" s="91" t="s">
        <v>62</v>
      </c>
    </row>
    <row r="2" spans="2:20" ht="12.75" thickTop="1" x14ac:dyDescent="0.2">
      <c r="B2" s="45">
        <v>45030</v>
      </c>
      <c r="C2" s="15" t="s">
        <v>9</v>
      </c>
      <c r="D2" s="16" t="s">
        <v>7</v>
      </c>
      <c r="E2" s="14" t="s">
        <v>15</v>
      </c>
      <c r="F2" s="14" t="str">
        <f>RIGHT(Table7[[#This Row],[Price]],LEN(Table7[[#This Row],[Price]])-1)</f>
        <v>27,500</v>
      </c>
      <c r="G2" s="20">
        <v>0.02</v>
      </c>
      <c r="H2" s="25" t="s">
        <v>16</v>
      </c>
      <c r="I2" s="32">
        <f>INT(RIGHT(Table7[[#This Row],[Amount]],LEN(Table7[[#This Row],[Amount]])-1))</f>
        <v>550</v>
      </c>
      <c r="J2" s="10">
        <f>Table7[[#This Row],[Amount USDT]]*0.001</f>
        <v>0.55000000000000004</v>
      </c>
      <c r="K2" s="11"/>
      <c r="L2" s="12" t="str" cm="1">
        <f t="array" ref="L2:L11">TEXT(_xlfn._xlws.SORT(_xlfn.UNIQUE(Table7[Pair])),)</f>
        <v>ADA</v>
      </c>
      <c r="M2" s="71" t="str">
        <f t="shared" ref="M2:M11" si="0">L2</f>
        <v>ADA</v>
      </c>
      <c r="N2" s="32">
        <f>SUMIFS(Table7[Amount USDT],Table7[Pair],M2,Table7[Side],"BUY")</f>
        <v>900</v>
      </c>
      <c r="O2" s="32">
        <f>SUMIFS(Table7[Amount USDT],Table7[Pair],M2,Table7[Side],"SELL")</f>
        <v>0</v>
      </c>
      <c r="P2" s="7">
        <f>SUMIFS(Table7[Executed],Table7[Pair],M2,Table7[Side],"BUY")</f>
        <v>2314</v>
      </c>
      <c r="Q2" s="44" t="str">
        <f>IF(SUMIFS(Table7[Executed],Table7[Pair],M2,Table7[Side],"SELL")=0,"-")</f>
        <v>-</v>
      </c>
      <c r="R2" s="13">
        <f>Table10[[#This Row],[Total Buy]]/Table10[[#This Row],[Executed Buy]]</f>
        <v>0.38893690579083839</v>
      </c>
      <c r="S2" s="32"/>
    </row>
    <row r="3" spans="2:20" x14ac:dyDescent="0.2">
      <c r="B3" s="45">
        <v>45038</v>
      </c>
      <c r="C3" s="15" t="s">
        <v>17</v>
      </c>
      <c r="D3" s="16" t="s">
        <v>7</v>
      </c>
      <c r="E3" s="14" t="s">
        <v>18</v>
      </c>
      <c r="F3" s="14" t="str">
        <f>RIGHT(Table7[[#This Row],[Price]],LEN(Table7[[#This Row],[Price]])-1)</f>
        <v>1,800</v>
      </c>
      <c r="G3" s="20">
        <v>0.5</v>
      </c>
      <c r="H3" s="25" t="s">
        <v>19</v>
      </c>
      <c r="I3" s="32">
        <f>INT(RIGHT(Table7[[#This Row],[Amount]],LEN(Table7[[#This Row],[Amount]])-1))</f>
        <v>900</v>
      </c>
      <c r="J3" s="10">
        <f>Table7[[#This Row],[Amount USDT]]*0.001</f>
        <v>0.9</v>
      </c>
      <c r="K3" s="11"/>
      <c r="L3" s="12" t="str">
        <v>AVAX</v>
      </c>
      <c r="M3" s="71" t="str">
        <f t="shared" si="0"/>
        <v>AVAX</v>
      </c>
      <c r="N3" s="32">
        <f>SUMIFS(Table7[Amount USDT],Table7[Pair],M3,Table7[Side],"BUY")</f>
        <v>500</v>
      </c>
      <c r="O3" s="32">
        <f>SUMIFS(Table7[Amount USDT],Table7[Pair],M3,Table7[Side],"SELL")</f>
        <v>0</v>
      </c>
      <c r="P3" s="7">
        <f>SUMIFS(Table7[Executed],Table7[Pair],M3,Table7[Side],"BUY")</f>
        <v>50</v>
      </c>
      <c r="Q3" s="44" t="str">
        <f>IF(SUMIFS(Table7[Executed],Table7[Pair],M3,Table7[Side],"SELL")=0,"-")</f>
        <v>-</v>
      </c>
      <c r="R3" s="32">
        <f>Table10[[#This Row],[Total Buy]]/Table10[[#This Row],[Executed Buy]]</f>
        <v>10</v>
      </c>
      <c r="S3" s="32"/>
      <c r="T3" s="32"/>
    </row>
    <row r="4" spans="2:20" x14ac:dyDescent="0.2">
      <c r="B4" s="45">
        <v>45040</v>
      </c>
      <c r="C4" s="15" t="s">
        <v>20</v>
      </c>
      <c r="D4" s="16" t="s">
        <v>7</v>
      </c>
      <c r="E4" s="14" t="s">
        <v>21</v>
      </c>
      <c r="F4" s="14" t="str">
        <f>RIGHT(Table7[[#This Row],[Price]],LEN(Table7[[#This Row],[Price]])-1)</f>
        <v>0.40</v>
      </c>
      <c r="G4" s="20">
        <v>1000</v>
      </c>
      <c r="H4" s="25" t="s">
        <v>22</v>
      </c>
      <c r="I4" s="32">
        <f>INT(RIGHT(Table7[[#This Row],[Amount]],LEN(Table7[[#This Row],[Amount]])-1))</f>
        <v>400</v>
      </c>
      <c r="J4" s="10">
        <f>Table7[[#This Row],[Amount USDT]]*0.001</f>
        <v>0.4</v>
      </c>
      <c r="K4" s="11"/>
      <c r="L4" s="12" t="str">
        <v>BTC</v>
      </c>
      <c r="M4" s="71" t="str">
        <f t="shared" si="0"/>
        <v>BTC</v>
      </c>
      <c r="N4" s="32">
        <f>SUMIFS(Table7[Amount USDT],Table7[Pair],M4,Table7[Side],"BUY")</f>
        <v>2845</v>
      </c>
      <c r="O4" s="32">
        <f>SUMIFS(Table7[Amount USDT],Table7[Pair],M4,Table7[Side],"SELL")</f>
        <v>1042</v>
      </c>
      <c r="P4" s="7">
        <f>SUMIFS(Table7[Executed],Table7[Pair],M4,Table7[Side],"BUY")</f>
        <v>6.5000000000000002E-2</v>
      </c>
      <c r="Q4" s="72">
        <f>SUMIFS(Table7[Executed],Table7[Pair],M4,Table7[Side],"SELL")</f>
        <v>1.125E-2</v>
      </c>
      <c r="R4" s="32">
        <f>Table10[[#This Row],[Total Buy]]/Table10[[#This Row],[Executed Buy]]</f>
        <v>43769.230769230766</v>
      </c>
      <c r="S4" s="32">
        <f>Table10[[#This Row],[Total Sell]]/Table10[[#This Row],[Executed Sell]]</f>
        <v>92622.222222222219</v>
      </c>
      <c r="T4" s="32">
        <f>Table10[[#This Row],[Executed Sell]]*(Table10[[#This Row],[Avg Sell Price]]-Table10[[#This Row],[DCA]])</f>
        <v>549.59615384615381</v>
      </c>
    </row>
    <row r="5" spans="2:20" x14ac:dyDescent="0.2">
      <c r="B5" s="45">
        <v>45040</v>
      </c>
      <c r="C5" s="15" t="s">
        <v>9</v>
      </c>
      <c r="D5" s="16" t="s">
        <v>7</v>
      </c>
      <c r="E5" s="14" t="s">
        <v>23</v>
      </c>
      <c r="F5" s="14" t="str">
        <f>RIGHT(Table7[[#This Row],[Price]],LEN(Table7[[#This Row],[Price]])-1)</f>
        <v>26,500</v>
      </c>
      <c r="G5" s="20">
        <v>1.4999999999999999E-2</v>
      </c>
      <c r="H5" s="25" t="s">
        <v>24</v>
      </c>
      <c r="I5" s="32">
        <f>INT(RIGHT(Table7[[#This Row],[Amount]],LEN(Table7[[#This Row],[Amount]])-1))</f>
        <v>397</v>
      </c>
      <c r="J5" s="10">
        <f>Table7[[#This Row],[Amount USDT]]*0.001</f>
        <v>0.39700000000000002</v>
      </c>
      <c r="K5" s="11"/>
      <c r="L5" s="7" t="str">
        <v>DOT</v>
      </c>
      <c r="M5" s="71" t="str">
        <f t="shared" si="0"/>
        <v>DOT</v>
      </c>
      <c r="N5" s="32">
        <f>SUMIFS(Table7[Amount USDT],Table7[Pair],M5,Table7[Side],"BUY")</f>
        <v>900</v>
      </c>
      <c r="O5" s="32">
        <f>SUMIFS(Table7[Amount USDT],Table7[Pair],M5,Table7[Side],"SELL")</f>
        <v>0</v>
      </c>
      <c r="P5" s="7">
        <f>SUMIFS(Table7[Executed],Table7[Pair],M5,Table7[Side],"BUY")</f>
        <v>200</v>
      </c>
      <c r="Q5" s="44" t="str">
        <f>IF(SUMIFS(Table7[Executed],Table7[Pair],M5,Table7[Side],"SELL")=0,"-")</f>
        <v>-</v>
      </c>
      <c r="R5" s="73">
        <f>Table10[[#This Row],[Total Buy]]/Table10[[#This Row],[Executed Buy]]</f>
        <v>4.5</v>
      </c>
      <c r="S5" s="32"/>
      <c r="T5" s="32"/>
    </row>
    <row r="6" spans="2:20" x14ac:dyDescent="0.2">
      <c r="B6" s="45">
        <v>45040</v>
      </c>
      <c r="C6" s="15" t="s">
        <v>25</v>
      </c>
      <c r="D6" s="16" t="s">
        <v>7</v>
      </c>
      <c r="E6" s="14" t="s">
        <v>26</v>
      </c>
      <c r="F6" s="14" t="str">
        <f>RIGHT(Table7[[#This Row],[Price]],LEN(Table7[[#This Row],[Price]])-1)</f>
        <v>20</v>
      </c>
      <c r="G6" s="20">
        <v>30</v>
      </c>
      <c r="H6" s="25" t="s">
        <v>27</v>
      </c>
      <c r="I6" s="32">
        <f>INT(RIGHT(Table7[[#This Row],[Amount]],LEN(Table7[[#This Row],[Amount]])-1))</f>
        <v>600</v>
      </c>
      <c r="J6" s="10">
        <f>Table7[[#This Row],[Amount USDT]]*0.001</f>
        <v>0.6</v>
      </c>
      <c r="K6" s="11"/>
      <c r="L6" s="12" t="str">
        <v>ETH</v>
      </c>
      <c r="M6" s="71" t="str">
        <f t="shared" si="0"/>
        <v>ETH</v>
      </c>
      <c r="N6" s="32">
        <f>SUMIFS(Table7[Amount USDT],Table7[Pair],M6,Table7[Side],"BUY")</f>
        <v>1955</v>
      </c>
      <c r="O6" s="32">
        <f>SUMIFS(Table7[Amount USDT],Table7[Pair],M6,Table7[Side],"SELL")</f>
        <v>0</v>
      </c>
      <c r="P6" s="7">
        <f>SUMIFS(Table7[Executed],Table7[Pair],M6,Table7[Side],"BUY")</f>
        <v>1</v>
      </c>
      <c r="Q6" s="44" t="str">
        <f>IF(SUMIFS(Table7[Executed],Table7[Pair],M6,Table7[Side],"SELL")=0,"-")</f>
        <v>-</v>
      </c>
      <c r="R6" s="32">
        <f>Table10[[#This Row],[Total Buy]]/Table10[[#This Row],[Executed Buy]]</f>
        <v>1955</v>
      </c>
      <c r="S6" s="32"/>
      <c r="T6" s="32"/>
    </row>
    <row r="7" spans="2:20" x14ac:dyDescent="0.2">
      <c r="B7" s="45">
        <v>45086</v>
      </c>
      <c r="C7" s="15" t="s">
        <v>17</v>
      </c>
      <c r="D7" s="16" t="s">
        <v>7</v>
      </c>
      <c r="E7" s="14" t="s">
        <v>28</v>
      </c>
      <c r="F7" s="14" t="str">
        <f>RIGHT(Table7[[#This Row],[Price]],LEN(Table7[[#This Row],[Price]])-1)</f>
        <v>1,850</v>
      </c>
      <c r="G7" s="20">
        <v>0.3</v>
      </c>
      <c r="H7" s="25" t="s">
        <v>29</v>
      </c>
      <c r="I7" s="32">
        <f>INT(RIGHT(Table7[[#This Row],[Amount]],LEN(Table7[[#This Row],[Amount]])-1))</f>
        <v>555</v>
      </c>
      <c r="J7" s="10">
        <f>Table7[[#This Row],[Amount USDT]]*0.001</f>
        <v>0.55500000000000005</v>
      </c>
      <c r="K7" s="11"/>
      <c r="L7" s="12" t="str">
        <v>LINK</v>
      </c>
      <c r="M7" s="71" t="str">
        <f t="shared" si="0"/>
        <v>LINK</v>
      </c>
      <c r="N7" s="32">
        <f>SUMIFS(Table7[Amount USDT],Table7[Pair],M7,Table7[Side],"BUY")</f>
        <v>700</v>
      </c>
      <c r="O7" s="32">
        <f>SUMIFS(Table7[Amount USDT],Table7[Pair],M7,Table7[Side],"SELL")</f>
        <v>0</v>
      </c>
      <c r="P7" s="7">
        <f>SUMIFS(Table7[Executed],Table7[Pair],M7,Table7[Side],"BUY")</f>
        <v>100</v>
      </c>
      <c r="Q7" s="44" t="str">
        <f>IF(SUMIFS(Table7[Executed],Table7[Pair],M7,Table7[Side],"SELL")=0,"-")</f>
        <v>-</v>
      </c>
      <c r="R7" s="73">
        <f>Table10[[#This Row],[Total Buy]]/Table10[[#This Row],[Executed Buy]]</f>
        <v>7</v>
      </c>
      <c r="S7" s="32"/>
      <c r="T7" s="32"/>
    </row>
    <row r="8" spans="2:20" x14ac:dyDescent="0.2">
      <c r="B8" s="45">
        <v>45154</v>
      </c>
      <c r="C8" s="15" t="s">
        <v>30</v>
      </c>
      <c r="D8" s="16" t="s">
        <v>7</v>
      </c>
      <c r="E8" s="14" t="s">
        <v>31</v>
      </c>
      <c r="F8" s="14" t="str">
        <f>RIGHT(Table7[[#This Row],[Price]],LEN(Table7[[#This Row],[Price]])-1)</f>
        <v>4.50</v>
      </c>
      <c r="G8" s="20">
        <v>200</v>
      </c>
      <c r="H8" s="25" t="s">
        <v>19</v>
      </c>
      <c r="I8" s="32">
        <f>INT(RIGHT(Table7[[#This Row],[Amount]],LEN(Table7[[#This Row],[Amount]])-1))</f>
        <v>900</v>
      </c>
      <c r="J8" s="10">
        <f>Table7[[#This Row],[Amount USDT]]*0.001</f>
        <v>0.9</v>
      </c>
      <c r="K8" s="11"/>
      <c r="L8" s="12" t="str">
        <v>LTC</v>
      </c>
      <c r="M8" s="71" t="str">
        <f t="shared" si="0"/>
        <v>LTC</v>
      </c>
      <c r="N8" s="32">
        <f>SUMIFS(Table7[Amount USDT],Table7[Pair],M8,Table7[Side],"BUY")</f>
        <v>800</v>
      </c>
      <c r="O8" s="32">
        <f>SUMIFS(Table7[Amount USDT],Table7[Pair],M8,Table7[Side],"SELL")</f>
        <v>0</v>
      </c>
      <c r="P8" s="7">
        <f>SUMIFS(Table7[Executed],Table7[Pair],M8,Table7[Side],"BUY")</f>
        <v>10</v>
      </c>
      <c r="Q8" s="44" t="str">
        <f>IF(SUMIFS(Table7[Executed],Table7[Pair],M8,Table7[Side],"SELL")=0,"-")</f>
        <v>-</v>
      </c>
      <c r="R8" s="32">
        <f>Table10[[#This Row],[Total Buy]]/Table10[[#This Row],[Executed Buy]]</f>
        <v>80</v>
      </c>
      <c r="S8" s="32"/>
      <c r="T8" s="32"/>
    </row>
    <row r="9" spans="2:20" x14ac:dyDescent="0.2">
      <c r="B9" s="45">
        <v>45231</v>
      </c>
      <c r="C9" s="15" t="s">
        <v>9</v>
      </c>
      <c r="D9" s="16" t="s">
        <v>7</v>
      </c>
      <c r="E9" s="14" t="s">
        <v>32</v>
      </c>
      <c r="F9" s="14" t="str">
        <f>RIGHT(Table7[[#This Row],[Price]],LEN(Table7[[#This Row],[Price]])-1)</f>
        <v>42,000</v>
      </c>
      <c r="G9" s="20">
        <v>0.01</v>
      </c>
      <c r="H9" s="25" t="s">
        <v>33</v>
      </c>
      <c r="I9" s="32">
        <f>INT(RIGHT(Table7[[#This Row],[Amount]],LEN(Table7[[#This Row],[Amount]])-1))</f>
        <v>420</v>
      </c>
      <c r="J9" s="10">
        <f>Table7[[#This Row],[Amount USDT]]*0.001</f>
        <v>0.42</v>
      </c>
      <c r="K9" s="11"/>
      <c r="L9" s="12" t="str">
        <v>SOL</v>
      </c>
      <c r="M9" s="71" t="str">
        <f t="shared" si="0"/>
        <v>SOL</v>
      </c>
      <c r="N9" s="32">
        <f>SUMIFS(Table7[Amount USDT],Table7[Pair],M9,Table7[Side],"BUY")</f>
        <v>600</v>
      </c>
      <c r="O9" s="32">
        <f>SUMIFS(Table7[Amount USDT],Table7[Pair],M9,Table7[Side],"SELL")</f>
        <v>0</v>
      </c>
      <c r="P9" s="7">
        <f>SUMIFS(Table7[Executed],Table7[Pair],M9,Table7[Side],"BUY")</f>
        <v>30</v>
      </c>
      <c r="Q9" s="44" t="str">
        <f>IF(SUMIFS(Table7[Executed],Table7[Pair],M9,Table7[Side],"SELL")=0,"-")</f>
        <v>-</v>
      </c>
      <c r="R9" s="32">
        <f>Table10[[#This Row],[Total Buy]]/Table10[[#This Row],[Executed Buy]]</f>
        <v>20</v>
      </c>
      <c r="S9" s="32"/>
      <c r="T9" s="32"/>
    </row>
    <row r="10" spans="2:20" x14ac:dyDescent="0.2">
      <c r="B10" s="45">
        <v>45235</v>
      </c>
      <c r="C10" s="15" t="s">
        <v>34</v>
      </c>
      <c r="D10" s="16" t="s">
        <v>7</v>
      </c>
      <c r="E10" s="14" t="s">
        <v>35</v>
      </c>
      <c r="F10" s="14" t="str">
        <f>RIGHT(Table7[[#This Row],[Price]],LEN(Table7[[#This Row],[Price]])-1)</f>
        <v>7</v>
      </c>
      <c r="G10" s="20">
        <v>100</v>
      </c>
      <c r="H10" s="25" t="s">
        <v>36</v>
      </c>
      <c r="I10" s="32">
        <f>INT(RIGHT(Table7[[#This Row],[Amount]],LEN(Table7[[#This Row],[Amount]])-1))</f>
        <v>700</v>
      </c>
      <c r="J10" s="10">
        <f>Table7[[#This Row],[Amount USDT]]*0.001</f>
        <v>0.70000000000000007</v>
      </c>
      <c r="K10" s="11"/>
      <c r="L10" s="12" t="str">
        <v>UNI</v>
      </c>
      <c r="M10" s="71" t="str">
        <f t="shared" si="0"/>
        <v>UNI</v>
      </c>
      <c r="N10" s="32">
        <f>SUMIFS(Table7[Amount USDT],Table7[Pair],M10,Table7[Side],"BUY")</f>
        <v>500</v>
      </c>
      <c r="O10" s="32">
        <f>SUMIFS(Table7[Amount USDT],Table7[Pair],M10,Table7[Side],"SELL")</f>
        <v>0</v>
      </c>
      <c r="P10" s="7">
        <f>SUMIFS(Table7[Executed],Table7[Pair],M10,Table7[Side],"BUY")</f>
        <v>100</v>
      </c>
      <c r="Q10" s="44" t="str">
        <f>IF(SUMIFS(Table7[Executed],Table7[Pair],M10,Table7[Side],"SELL")=0,"-")</f>
        <v>-</v>
      </c>
      <c r="R10" s="73">
        <f>Table10[[#This Row],[Total Buy]]/Table10[[#This Row],[Executed Buy]]</f>
        <v>5</v>
      </c>
      <c r="S10" s="32"/>
      <c r="T10" s="32"/>
    </row>
    <row r="11" spans="2:20" x14ac:dyDescent="0.2">
      <c r="B11" s="45">
        <v>45264</v>
      </c>
      <c r="C11" s="15" t="s">
        <v>37</v>
      </c>
      <c r="D11" s="16" t="s">
        <v>7</v>
      </c>
      <c r="E11" s="14" t="s">
        <v>38</v>
      </c>
      <c r="F11" s="14" t="str">
        <f>RIGHT(Table7[[#This Row],[Price]],LEN(Table7[[#This Row],[Price]])-1)</f>
        <v>80</v>
      </c>
      <c r="G11" s="20">
        <v>10</v>
      </c>
      <c r="H11" s="25" t="s">
        <v>39</v>
      </c>
      <c r="I11" s="32">
        <f>INT(RIGHT(Table7[[#This Row],[Amount]],LEN(Table7[[#This Row],[Amount]])-1))</f>
        <v>800</v>
      </c>
      <c r="J11" s="10">
        <f>Table7[[#This Row],[Amount USDT]]*0.001</f>
        <v>0.8</v>
      </c>
      <c r="K11" s="11"/>
      <c r="L11" s="12" t="str">
        <v>XLM</v>
      </c>
      <c r="M11" s="71" t="str">
        <f t="shared" si="0"/>
        <v>XLM</v>
      </c>
      <c r="N11" s="32">
        <f>SUMIFS(Table7[Amount USDT],Table7[Pair],M11,Table7[Side],"BUY")</f>
        <v>500</v>
      </c>
      <c r="O11" s="32">
        <f>SUMIFS(Table7[Amount USDT],Table7[Pair],M11,Table7[Side],"SELL")</f>
        <v>0</v>
      </c>
      <c r="P11" s="7">
        <f>SUMIFS(Table7[Executed],Table7[Pair],M11,Table7[Side],"BUY")</f>
        <v>5000</v>
      </c>
      <c r="Q11" s="44" t="str">
        <f>IF(SUMIFS(Table7[Executed],Table7[Pair],M11,Table7[Side],"SELL")=0,"-")</f>
        <v>-</v>
      </c>
      <c r="R11" s="13">
        <f>Table10[[#This Row],[Total Buy]]/Table10[[#This Row],[Executed Buy]]</f>
        <v>0.1</v>
      </c>
      <c r="S11" s="32"/>
      <c r="T11" s="32"/>
    </row>
    <row r="12" spans="2:20" x14ac:dyDescent="0.2">
      <c r="B12" s="45">
        <v>45287</v>
      </c>
      <c r="C12" s="15" t="s">
        <v>40</v>
      </c>
      <c r="D12" s="16" t="s">
        <v>7</v>
      </c>
      <c r="E12" s="14" t="s">
        <v>41</v>
      </c>
      <c r="F12" s="14" t="str">
        <f>RIGHT(Table7[[#This Row],[Price]],LEN(Table7[[#This Row],[Price]])-1)</f>
        <v>5</v>
      </c>
      <c r="G12" s="20">
        <v>100</v>
      </c>
      <c r="H12" s="25" t="s">
        <v>42</v>
      </c>
      <c r="I12" s="32">
        <f>INT(RIGHT(Table7[[#This Row],[Amount]],LEN(Table7[[#This Row],[Amount]])-1))</f>
        <v>500</v>
      </c>
      <c r="J12" s="10">
        <f>Table7[[#This Row],[Amount USDT]]*0.001</f>
        <v>0.5</v>
      </c>
      <c r="K12" s="11"/>
      <c r="L12" s="12"/>
      <c r="M12" s="71"/>
      <c r="N12" s="32"/>
      <c r="O12" s="32"/>
      <c r="R12" s="13"/>
      <c r="S12" s="32"/>
      <c r="T12" s="32"/>
    </row>
    <row r="13" spans="2:20" x14ac:dyDescent="0.2">
      <c r="B13" s="45">
        <v>45335</v>
      </c>
      <c r="C13" s="15" t="s">
        <v>43</v>
      </c>
      <c r="D13" s="16" t="s">
        <v>7</v>
      </c>
      <c r="E13" s="14" t="s">
        <v>44</v>
      </c>
      <c r="F13" s="14" t="str">
        <f>RIGHT(Table7[[#This Row],[Price]],LEN(Table7[[#This Row],[Price]])-1)</f>
        <v>10</v>
      </c>
      <c r="G13" s="20">
        <v>50</v>
      </c>
      <c r="H13" s="25" t="s">
        <v>42</v>
      </c>
      <c r="I13" s="32">
        <f>INT(RIGHT(Table7[[#This Row],[Amount]],LEN(Table7[[#This Row],[Amount]])-1))</f>
        <v>500</v>
      </c>
      <c r="J13" s="10">
        <f>Table7[[#This Row],[Amount USDT]]*0.001</f>
        <v>0.5</v>
      </c>
      <c r="K13" s="11"/>
    </row>
    <row r="14" spans="2:20" x14ac:dyDescent="0.2">
      <c r="B14" s="45">
        <v>45398</v>
      </c>
      <c r="C14" s="15" t="s">
        <v>45</v>
      </c>
      <c r="D14" s="16" t="s">
        <v>7</v>
      </c>
      <c r="E14" s="14" t="s">
        <v>46</v>
      </c>
      <c r="F14" s="14" t="str">
        <f>RIGHT(Table7[[#This Row],[Price]],LEN(Table7[[#This Row],[Price]])-1)</f>
        <v>0.10</v>
      </c>
      <c r="G14" s="20">
        <v>5000</v>
      </c>
      <c r="H14" s="25" t="s">
        <v>42</v>
      </c>
      <c r="I14" s="32">
        <f>INT(RIGHT(Table7[[#This Row],[Amount]],LEN(Table7[[#This Row],[Amount]])-1))</f>
        <v>500</v>
      </c>
      <c r="J14" s="10">
        <f>Table7[[#This Row],[Amount USDT]]*0.001</f>
        <v>0.5</v>
      </c>
      <c r="K14" s="11"/>
      <c r="L14" s="12"/>
    </row>
    <row r="15" spans="2:20" x14ac:dyDescent="0.2">
      <c r="B15" s="45">
        <v>45558</v>
      </c>
      <c r="C15" s="15" t="s">
        <v>20</v>
      </c>
      <c r="D15" s="16" t="s">
        <v>7</v>
      </c>
      <c r="E15" s="14" t="s">
        <v>87</v>
      </c>
      <c r="F15" s="14" t="str">
        <f>RIGHT(Table7[[#This Row],[Price]],LEN(Table7[[#This Row],[Price]])-1)</f>
        <v>0.38</v>
      </c>
      <c r="G15" s="20">
        <v>1314</v>
      </c>
      <c r="H15" s="25" t="s">
        <v>42</v>
      </c>
      <c r="I15" s="32">
        <f>INT(RIGHT(Table7[[#This Row],[Amount]],LEN(Table7[[#This Row],[Amount]])-1))</f>
        <v>500</v>
      </c>
      <c r="J15" s="10">
        <f>Table7[[#This Row],[Amount USDT]]*0.001</f>
        <v>0.5</v>
      </c>
      <c r="K15" s="11"/>
      <c r="L15" s="12"/>
    </row>
    <row r="16" spans="2:20" x14ac:dyDescent="0.2">
      <c r="B16" s="45">
        <v>45622</v>
      </c>
      <c r="C16" s="15" t="s">
        <v>9</v>
      </c>
      <c r="D16" s="16" t="s">
        <v>7</v>
      </c>
      <c r="E16" s="14" t="s">
        <v>47</v>
      </c>
      <c r="F16" s="14" t="str">
        <f>RIGHT(Table7[[#This Row],[Price]],LEN(Table7[[#This Row],[Price]])-1)</f>
        <v>63,800</v>
      </c>
      <c r="G16" s="20">
        <v>0.01</v>
      </c>
      <c r="H16" s="25" t="s">
        <v>48</v>
      </c>
      <c r="I16" s="32">
        <f>INT(RIGHT(Table7[[#This Row],[Amount]],LEN(Table7[[#This Row],[Amount]])-1))</f>
        <v>638</v>
      </c>
      <c r="J16" s="10">
        <f>Table7[[#This Row],[Amount USDT]]*0.001</f>
        <v>0.63800000000000001</v>
      </c>
      <c r="K16" s="11"/>
      <c r="M16" s="71"/>
      <c r="N16" s="32"/>
    </row>
    <row r="17" spans="2:14" x14ac:dyDescent="0.2">
      <c r="B17" s="45">
        <v>45695</v>
      </c>
      <c r="C17" s="15" t="s">
        <v>17</v>
      </c>
      <c r="D17" s="16" t="s">
        <v>7</v>
      </c>
      <c r="E17" s="14" t="s">
        <v>49</v>
      </c>
      <c r="F17" s="14" t="str">
        <f>RIGHT(Table7[[#This Row],[Price]],LEN(Table7[[#This Row],[Price]])-1)</f>
        <v>2,500</v>
      </c>
      <c r="G17" s="20">
        <v>0.2</v>
      </c>
      <c r="H17" s="25" t="s">
        <v>42</v>
      </c>
      <c r="I17" s="32">
        <f>INT(RIGHT(Table7[[#This Row],[Amount]],LEN(Table7[[#This Row],[Amount]])-1))</f>
        <v>500</v>
      </c>
      <c r="J17" s="10">
        <f>Table7[[#This Row],[Amount USDT]]*0.001</f>
        <v>0.5</v>
      </c>
      <c r="K17" s="11"/>
      <c r="M17" s="71"/>
      <c r="N17" s="32"/>
    </row>
    <row r="18" spans="2:14" x14ac:dyDescent="0.2">
      <c r="B18" s="46">
        <v>45656</v>
      </c>
      <c r="C18" s="6" t="s">
        <v>9</v>
      </c>
      <c r="D18" s="17" t="s">
        <v>8</v>
      </c>
      <c r="E18" s="18" t="s">
        <v>52</v>
      </c>
      <c r="F18" s="18" t="str">
        <f>RIGHT(Table7[[#This Row],[Price]],LEN(Table7[[#This Row],[Price]])-1)</f>
        <v>92643.21</v>
      </c>
      <c r="G18" s="20">
        <v>5.6249999999999998E-3</v>
      </c>
      <c r="H18" s="26" t="s">
        <v>51</v>
      </c>
      <c r="I18" s="32">
        <f>INT(RIGHT(Table7[[#This Row],[Amount]],LEN(Table7[[#This Row],[Amount]])-1))</f>
        <v>521</v>
      </c>
      <c r="J18" s="10">
        <f>Table7[[#This Row],[Amount USDT]]*0.001</f>
        <v>0.52100000000000002</v>
      </c>
      <c r="K18" s="11"/>
      <c r="L18" s="12"/>
      <c r="N18" s="30"/>
    </row>
    <row r="19" spans="2:14" x14ac:dyDescent="0.2">
      <c r="B19" s="46">
        <v>45669</v>
      </c>
      <c r="C19" s="6" t="s">
        <v>9</v>
      </c>
      <c r="D19" s="17" t="s">
        <v>8</v>
      </c>
      <c r="E19" s="18" t="s">
        <v>53</v>
      </c>
      <c r="F19" s="18" t="str">
        <f>RIGHT(Table7[[#This Row],[Price]],LEN(Table7[[#This Row],[Price]])-1)</f>
        <v>94488.44</v>
      </c>
      <c r="G19" s="20">
        <v>5.6249999999999998E-3</v>
      </c>
      <c r="H19" s="26" t="s">
        <v>51</v>
      </c>
      <c r="I19" s="32">
        <f>INT(RIGHT(Table7[[#This Row],[Amount]],LEN(Table7[[#This Row],[Amount]])-1))</f>
        <v>521</v>
      </c>
      <c r="J19" s="10">
        <f>Table7[[#This Row],[Amount USDT]]*0.001</f>
        <v>0.52100000000000002</v>
      </c>
      <c r="K19" s="11"/>
      <c r="L19" s="12"/>
    </row>
    <row r="20" spans="2:14" ht="12.75" customHeight="1" x14ac:dyDescent="0.2">
      <c r="B20" s="45">
        <v>45733</v>
      </c>
      <c r="C20" s="6" t="s">
        <v>9</v>
      </c>
      <c r="D20" s="16" t="s">
        <v>7</v>
      </c>
      <c r="E20" s="18" t="s">
        <v>55</v>
      </c>
      <c r="F20" s="18" t="str">
        <f>RIGHT(Table7[[#This Row],[Price]],LEN(Table7[[#This Row],[Price]])-1)</f>
        <v>84025.12</v>
      </c>
      <c r="G20" s="19">
        <v>0.01</v>
      </c>
      <c r="H20" s="26" t="s">
        <v>54</v>
      </c>
      <c r="I20" s="32">
        <f>INT(RIGHT(Table7[[#This Row],[Amount]],LEN(Table7[[#This Row],[Amount]])-1))</f>
        <v>840</v>
      </c>
      <c r="J20" s="10">
        <f>Table7[[#This Row],[Amount USDT]]*0.001</f>
        <v>0.84</v>
      </c>
      <c r="K20" s="11"/>
      <c r="L20" s="12"/>
    </row>
    <row r="22" spans="2:14" x14ac:dyDescent="0.2">
      <c r="B22" s="75"/>
      <c r="C22" s="76"/>
      <c r="D22" s="76"/>
      <c r="E22" s="76"/>
      <c r="F22" s="76"/>
      <c r="G22" s="76"/>
      <c r="H22" s="77"/>
      <c r="I22" s="78"/>
      <c r="J22" s="76"/>
      <c r="K22" s="76"/>
      <c r="L22" s="76"/>
    </row>
    <row r="23" spans="2:14" x14ac:dyDescent="0.2">
      <c r="B23" s="46"/>
      <c r="C23" s="79"/>
      <c r="D23" s="79"/>
      <c r="E23" s="18"/>
      <c r="F23" s="14"/>
      <c r="G23" s="79"/>
      <c r="H23" s="25"/>
      <c r="I23" s="80"/>
      <c r="J23" s="79"/>
      <c r="K23" s="79"/>
      <c r="L23" s="81"/>
    </row>
    <row r="24" spans="2:14" x14ac:dyDescent="0.2">
      <c r="B24" s="46"/>
      <c r="C24" s="79"/>
      <c r="D24" s="79"/>
      <c r="E24" s="18"/>
      <c r="F24" s="18"/>
      <c r="G24" s="20"/>
      <c r="H24" s="25"/>
    </row>
  </sheetData>
  <phoneticPr fontId="2" type="noConversion"/>
  <conditionalFormatting sqref="D1:D20">
    <cfRule type="containsText" dxfId="5" priority="1" operator="containsText" text="SELL">
      <formula>NOT(ISERROR(SEARCH("SELL",D1)))</formula>
    </cfRule>
    <cfRule type="containsText" dxfId="4" priority="2" operator="containsText" text="BUY">
      <formula>NOT(ISERROR(SEARCH("BUY",D1)))</formula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C0CB3770-464A-45B6-9B6E-FA1167C1750C}">
            <xm:f>NOT(ISERROR(SEARCH($D$100,G1)))</xm:f>
            <xm:f>$D$100</xm:f>
            <x14:dxf/>
          </x14:cfRule>
          <xm:sqref>G1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EB6C-6298-4137-873A-D0A87A075532}">
  <sheetPr>
    <tabColor rgb="FFFFC000"/>
  </sheetPr>
  <dimension ref="C8:G18"/>
  <sheetViews>
    <sheetView topLeftCell="B2" zoomScale="183" workbookViewId="0">
      <selection activeCell="E9" sqref="E9"/>
    </sheetView>
  </sheetViews>
  <sheetFormatPr defaultRowHeight="15" x14ac:dyDescent="0.25"/>
  <cols>
    <col min="1" max="2" width="11.140625" bestFit="1" customWidth="1"/>
    <col min="3" max="3" width="8.140625" customWidth="1"/>
    <col min="4" max="5" width="9.42578125" bestFit="1" customWidth="1"/>
    <col min="6" max="6" width="9.5703125" bestFit="1" customWidth="1"/>
    <col min="7" max="7" width="11.85546875" bestFit="1" customWidth="1"/>
  </cols>
  <sheetData>
    <row r="8" spans="3:7" x14ac:dyDescent="0.25">
      <c r="C8" s="7"/>
      <c r="D8" s="7" t="s">
        <v>99</v>
      </c>
      <c r="E8" s="7" t="s">
        <v>100</v>
      </c>
      <c r="F8" s="7" t="s">
        <v>101</v>
      </c>
      <c r="G8" s="7" t="s">
        <v>88</v>
      </c>
    </row>
    <row r="9" spans="3:7" x14ac:dyDescent="0.25">
      <c r="C9" s="7"/>
      <c r="D9" s="7" t="s">
        <v>9</v>
      </c>
      <c r="E9" s="7" t="s">
        <v>77</v>
      </c>
      <c r="F9" s="7" t="s">
        <v>109</v>
      </c>
      <c r="G9" s="7">
        <f>_xlfn.NUMBERVALUE(RIGHT(Table_2__5[[#This Row],[Column4]],LEN(Table_2__5[[#This Row],[Column4]])-1))</f>
        <v>105360.89</v>
      </c>
    </row>
    <row r="10" spans="3:7" x14ac:dyDescent="0.25">
      <c r="C10" s="7"/>
      <c r="D10" s="7" t="s">
        <v>17</v>
      </c>
      <c r="E10" s="7" t="s">
        <v>78</v>
      </c>
      <c r="F10" s="7" t="s">
        <v>110</v>
      </c>
      <c r="G10" s="7">
        <f>_xlfn.NUMBERVALUE(RIGHT(Table_2__5[[#This Row],[Column4]],LEN(Table_2__5[[#This Row],[Column4]])-1))</f>
        <v>2615.15</v>
      </c>
    </row>
    <row r="11" spans="3:7" x14ac:dyDescent="0.25">
      <c r="C11" s="7"/>
      <c r="D11" s="7" t="s">
        <v>25</v>
      </c>
      <c r="E11" s="7" t="s">
        <v>79</v>
      </c>
      <c r="F11" s="7" t="s">
        <v>111</v>
      </c>
      <c r="G11" s="7">
        <f>_xlfn.NUMBERVALUE(RIGHT(Table_2__5[[#This Row],[Column4]],LEN(Table_2__5[[#This Row],[Column4]])-1))</f>
        <v>161.51</v>
      </c>
    </row>
    <row r="12" spans="3:7" x14ac:dyDescent="0.25">
      <c r="C12" s="7"/>
      <c r="D12" s="7" t="s">
        <v>20</v>
      </c>
      <c r="E12" s="7" t="s">
        <v>80</v>
      </c>
      <c r="F12" s="7" t="s">
        <v>112</v>
      </c>
      <c r="G12" s="7">
        <f>_xlfn.NUMBERVALUE(RIGHT(Table_2__5[[#This Row],[Column4]],LEN(Table_2__5[[#This Row],[Column4]])-1))</f>
        <v>0.6946</v>
      </c>
    </row>
    <row r="13" spans="3:7" x14ac:dyDescent="0.25">
      <c r="C13" s="7"/>
      <c r="D13" s="7" t="s">
        <v>34</v>
      </c>
      <c r="E13" s="7" t="s">
        <v>81</v>
      </c>
      <c r="F13" s="7" t="s">
        <v>105</v>
      </c>
      <c r="G13" s="7">
        <f>_xlfn.NUMBERVALUE(RIGHT(Table_2__5[[#This Row],[Column4]],LEN(Table_2__5[[#This Row],[Column4]])-1))</f>
        <v>14.14</v>
      </c>
    </row>
    <row r="14" spans="3:7" x14ac:dyDescent="0.25">
      <c r="C14" s="7"/>
      <c r="D14" s="7" t="s">
        <v>43</v>
      </c>
      <c r="E14" s="7" t="s">
        <v>82</v>
      </c>
      <c r="F14" s="7" t="s">
        <v>106</v>
      </c>
      <c r="G14" s="7">
        <f>_xlfn.NUMBERVALUE(RIGHT(Table_2__5[[#This Row],[Column4]],LEN(Table_2__5[[#This Row],[Column4]])-1))</f>
        <v>21.27</v>
      </c>
    </row>
    <row r="15" spans="3:7" x14ac:dyDescent="0.25">
      <c r="C15" s="7"/>
      <c r="D15" s="7" t="s">
        <v>45</v>
      </c>
      <c r="E15" s="7" t="s">
        <v>83</v>
      </c>
      <c r="F15" s="7" t="s">
        <v>113</v>
      </c>
      <c r="G15" s="7">
        <f>_xlfn.NUMBERVALUE(RIGHT(Table_2__5[[#This Row],[Column4]],LEN(Table_2__5[[#This Row],[Column4]])-1))</f>
        <v>0.2717</v>
      </c>
    </row>
    <row r="16" spans="3:7" x14ac:dyDescent="0.25">
      <c r="C16" s="7"/>
      <c r="D16" s="7" t="s">
        <v>37</v>
      </c>
      <c r="E16" s="7" t="s">
        <v>84</v>
      </c>
      <c r="F16" s="7" t="s">
        <v>114</v>
      </c>
      <c r="G16" s="7">
        <f>_xlfn.NUMBERVALUE(RIGHT(Table_2__5[[#This Row],[Column4]],LEN(Table_2__5[[#This Row],[Column4]])-1))</f>
        <v>89.29</v>
      </c>
    </row>
    <row r="17" spans="3:7" x14ac:dyDescent="0.25">
      <c r="C17" s="7"/>
      <c r="D17" s="7" t="s">
        <v>30</v>
      </c>
      <c r="E17" s="7" t="s">
        <v>85</v>
      </c>
      <c r="F17" s="7" t="s">
        <v>104</v>
      </c>
      <c r="G17" s="7">
        <f>_xlfn.NUMBERVALUE(RIGHT(Table_2__5[[#This Row],[Column4]],LEN(Table_2__5[[#This Row],[Column4]])-1))</f>
        <v>4.17</v>
      </c>
    </row>
    <row r="18" spans="3:7" x14ac:dyDescent="0.25">
      <c r="C18" s="7"/>
      <c r="D18" s="7" t="s">
        <v>40</v>
      </c>
      <c r="E18" s="7" t="s">
        <v>86</v>
      </c>
      <c r="F18" s="7" t="s">
        <v>107</v>
      </c>
      <c r="G18" s="7">
        <f>_xlfn.NUMBERVALUE(RIGHT(Table_2__5[[#This Row],[Column4]],LEN(Table_2__5[[#This Row],[Column4]])-1))</f>
        <v>6.46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757832-C7FF-4E4E-B8A2-41264513B4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Portfolio</vt:lpstr>
      <vt:lpstr>Summary</vt:lpstr>
      <vt:lpstr>Dashboard</vt:lpstr>
      <vt:lpstr>Trade</vt:lpstr>
      <vt:lpstr>Data</vt:lpstr>
      <vt:lpstr>tickerpair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giri sudhan</dc:creator>
  <cp:keywords/>
  <dc:description/>
  <cp:lastModifiedBy>giri sudhan</cp:lastModifiedBy>
  <cp:revision/>
  <cp:lastPrinted>2025-06-03T11:51:14Z</cp:lastPrinted>
  <dcterms:created xsi:type="dcterms:W3CDTF">2023-07-04T09:39:31Z</dcterms:created>
  <dcterms:modified xsi:type="dcterms:W3CDTF">2025-06-03T12:29:46Z</dcterms:modified>
  <cp:category/>
  <cp:contentStatus/>
</cp:coreProperties>
</file>