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orales/Desktop/CLASSWORK/Crowd Funding Analysis/"/>
    </mc:Choice>
  </mc:AlternateContent>
  <xr:revisionPtr revIDLastSave="0" documentId="13_ncr:1_{09E7CE4A-C6A6-B847-9F09-8150C3FC13FF}" xr6:coauthVersionLast="47" xr6:coauthVersionMax="47" xr10:uidLastSave="{00000000-0000-0000-0000-000000000000}"/>
  <bookViews>
    <workbookView xWindow="28800" yWindow="500" windowWidth="38400" windowHeight="19640" activeTab="1" xr2:uid="{00000000-000D-0000-FFFF-FFFF00000000}"/>
  </bookViews>
  <sheets>
    <sheet name="Kickstarter" sheetId="1" r:id="rId1"/>
    <sheet name="Theater Outcomes by Launch Date" sheetId="26" r:id="rId2"/>
    <sheet name="Outcomes Based on Goals" sheetId="27" r:id="rId3"/>
    <sheet name="Descriptive Statistics" sheetId="10" r:id="rId4"/>
    <sheet name="Outcomes Based on Launch Date" sheetId="20" r:id="rId5"/>
    <sheet name="Edinburgh Research" sheetId="7" r:id="rId6"/>
    <sheet name="Category Statistics" sheetId="3" r:id="rId7"/>
    <sheet name="Subcategory Statistics" sheetId="4" r:id="rId8"/>
  </sheets>
  <definedNames>
    <definedName name="_xlnm._FilterDatabase" localSheetId="0" hidden="1">Kickstarter!$A$1:$T$4115</definedName>
  </definedNames>
  <calcPr calcId="191029"/>
  <pivotCaches>
    <pivotCache cacheId="107" r:id="rId9"/>
    <pivotCache cacheId="108" r:id="rId10"/>
    <pivotCache cacheId="10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7" l="1"/>
  <c r="G3" i="27"/>
  <c r="F3" i="27"/>
  <c r="E3" i="27"/>
  <c r="D3" i="27"/>
  <c r="C3" i="27"/>
  <c r="B3" i="27"/>
  <c r="C13" i="27"/>
  <c r="C12" i="27"/>
  <c r="C11" i="27"/>
  <c r="G11" i="27" s="1"/>
  <c r="C10" i="27"/>
  <c r="C9" i="27"/>
  <c r="C8" i="27"/>
  <c r="C7" i="27"/>
  <c r="C6" i="27"/>
  <c r="C5" i="27"/>
  <c r="C4" i="27"/>
  <c r="C2" i="27"/>
  <c r="D13" i="27"/>
  <c r="D12" i="27"/>
  <c r="D11" i="27"/>
  <c r="H11" i="27" s="1"/>
  <c r="D10" i="27"/>
  <c r="D9" i="27"/>
  <c r="D8" i="27"/>
  <c r="D7" i="27"/>
  <c r="D6" i="27"/>
  <c r="D5" i="27"/>
  <c r="D4" i="27"/>
  <c r="D2" i="27"/>
  <c r="B13" i="27"/>
  <c r="B12" i="27"/>
  <c r="B11" i="27"/>
  <c r="E11" i="27" s="1"/>
  <c r="B10" i="27"/>
  <c r="B9" i="27"/>
  <c r="B8" i="27"/>
  <c r="B7" i="27"/>
  <c r="B6" i="27"/>
  <c r="B5" i="27"/>
  <c r="B4" i="27"/>
  <c r="B2" i="27"/>
  <c r="F3" i="7"/>
  <c r="F4" i="7"/>
  <c r="F5" i="7"/>
  <c r="F6" i="7"/>
  <c r="F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2" i="1"/>
  <c r="U2" i="1" s="1"/>
  <c r="C13" i="10"/>
  <c r="C12" i="10"/>
  <c r="C14" i="10" s="1"/>
  <c r="C11" i="10"/>
  <c r="C6" i="10"/>
  <c r="C5" i="10"/>
  <c r="C7" i="10" s="1"/>
  <c r="C4" i="10"/>
  <c r="B13" i="10"/>
  <c r="B12" i="10"/>
  <c r="B11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4" i="7"/>
  <c r="B5" i="7"/>
  <c r="B6" i="7"/>
  <c r="B3" i="7"/>
  <c r="B2" i="7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088" i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088" i="1"/>
  <c r="U408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H2" i="27" l="1"/>
  <c r="H4" i="27"/>
  <c r="G9" i="27"/>
  <c r="G6" i="27"/>
  <c r="G2" i="27"/>
  <c r="H7" i="27"/>
  <c r="G4" i="27"/>
  <c r="E10" i="27"/>
  <c r="H10" i="27" s="1"/>
  <c r="E9" i="27"/>
  <c r="F9" i="27" s="1"/>
  <c r="F11" i="27"/>
  <c r="E8" i="27"/>
  <c r="F8" i="27" s="1"/>
  <c r="E2" i="27"/>
  <c r="F2" i="27" s="1"/>
  <c r="E7" i="27"/>
  <c r="F7" i="27" s="1"/>
  <c r="E4" i="27"/>
  <c r="F4" i="27" s="1"/>
  <c r="E6" i="27"/>
  <c r="F6" i="27" s="1"/>
  <c r="E13" i="27"/>
  <c r="F13" i="27" s="1"/>
  <c r="E5" i="27"/>
  <c r="F5" i="27" s="1"/>
  <c r="E12" i="27"/>
  <c r="F12" i="27" s="1"/>
  <c r="B7" i="10"/>
  <c r="B14" i="10"/>
  <c r="H12" i="27" l="1"/>
  <c r="H6" i="27"/>
  <c r="G13" i="27"/>
  <c r="H9" i="27"/>
  <c r="G8" i="27"/>
  <c r="G5" i="27"/>
  <c r="G10" i="27"/>
  <c r="H8" i="27"/>
  <c r="H13" i="27"/>
  <c r="G7" i="27"/>
  <c r="F10" i="27"/>
  <c r="G12" i="27"/>
  <c r="H5" i="27"/>
</calcChain>
</file>

<file path=xl/sharedStrings.xml><?xml version="1.0" encoding="utf-8"?>
<sst xmlns="http://schemas.openxmlformats.org/spreadsheetml/2006/main" count="33048" uniqueCount="8420">
  <si>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</si>
  <si>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</si>
  <si>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</si>
  <si>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</si>
  <si>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</si>
  <si>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</si>
  <si>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</si>
  <si>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</si>
  <si>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</si>
  <si>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</si>
  <si>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</si>
  <si>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</si>
  <si>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</si>
  <si>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</si>
  <si>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</si>
  <si>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</si>
  <si>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</si>
  <si>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</si>
  <si>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</si>
  <si>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</si>
  <si>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</si>
  <si>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</si>
  <si>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</si>
  <si>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</si>
  <si>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</si>
  <si>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</si>
  <si>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</si>
  <si>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</si>
  <si>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</si>
  <si>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</si>
  <si>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</si>
  <si>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</si>
  <si>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</si>
  <si>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</si>
  <si>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</si>
  <si>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</si>
  <si>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</si>
  <si>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</si>
  <si>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</si>
  <si>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</si>
  <si>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</si>
  <si>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</si>
  <si>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</si>
  <si>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</si>
  <si>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</si>
  <si>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</si>
  <si>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</si>
  <si>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</si>
  <si>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</si>
  <si>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</si>
  <si>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</si>
  <si>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</si>
  <si>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</si>
  <si>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</si>
  <si>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</si>
  <si>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</si>
  <si>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</si>
  <si>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</si>
  <si>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</si>
  <si>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</si>
  <si>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</si>
  <si>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</si>
  <si>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</si>
  <si>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</si>
  <si>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</si>
  <si>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</si>
  <si>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</si>
  <si>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</si>
  <si>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</si>
  <si>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</si>
  <si>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</si>
  <si>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</si>
  <si>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</si>
  <si>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</si>
  <si>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</si>
  <si>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</si>
  <si>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</si>
  <si>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</si>
  <si>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</si>
  <si>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</si>
  <si>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</si>
  <si>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</si>
  <si>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</si>
  <si>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</si>
  <si>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</si>
  <si>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</si>
  <si>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</si>
  <si>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</si>
  <si>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</si>
  <si>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</si>
  <si>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</si>
  <si>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</si>
  <si>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</si>
  <si>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</si>
  <si>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</si>
  <si>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</si>
  <si>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</si>
  <si>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</si>
  <si>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</si>
  <si>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</si>
  <si>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</si>
  <si>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</si>
  <si>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</si>
  <si>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</si>
  <si>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</si>
  <si>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</si>
  <si>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</si>
  <si>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</si>
  <si>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</si>
  <si>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</si>
  <si>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</si>
  <si>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</si>
  <si>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</si>
  <si>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</si>
  <si>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</si>
  <si>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</si>
  <si>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</si>
  <si>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</si>
  <si>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</si>
  <si>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</si>
  <si>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</si>
  <si>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</si>
  <si>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</si>
  <si>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</si>
  <si>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</si>
  <si>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</si>
  <si>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</si>
  <si>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</si>
  <si>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</si>
  <si>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</si>
  <si>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</si>
  <si>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</si>
  <si>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</si>
  <si>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</si>
  <si>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</si>
  <si>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</si>
  <si>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</si>
  <si>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</si>
  <si>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</si>
  <si>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</si>
  <si>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</si>
  <si>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</si>
  <si>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</si>
  <si>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</si>
  <si>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</si>
  <si>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</si>
  <si>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</si>
  <si>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</si>
  <si>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</si>
  <si>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</si>
  <si>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</si>
  <si>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</si>
  <si>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</si>
  <si>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</si>
  <si>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</si>
  <si>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</si>
  <si>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</si>
  <si>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</si>
  <si>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</si>
  <si>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</si>
  <si>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</si>
  <si>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</si>
  <si>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</si>
  <si>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</si>
  <si>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</si>
  <si>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</si>
  <si>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</si>
  <si>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</si>
  <si>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</si>
  <si>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</si>
  <si>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</si>
  <si>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</si>
  <si>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</si>
  <si>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</si>
  <si>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</si>
  <si>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</si>
  <si>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</si>
  <si>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</si>
  <si>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</si>
  <si>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</si>
  <si>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</si>
  <si>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</si>
  <si>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</si>
  <si>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</si>
  <si>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</si>
  <si>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</si>
  <si>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</si>
  <si>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</si>
  <si>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</si>
  <si>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</si>
  <si>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</si>
  <si>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</si>
  <si>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</si>
  <si>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</si>
  <si>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</si>
  <si>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</si>
  <si>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</si>
  <si>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</si>
  <si>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</si>
  <si>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</si>
  <si>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</si>
  <si>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</si>
  <si>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</si>
  <si>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</si>
  <si>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</si>
  <si>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</si>
  <si>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</si>
  <si>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</si>
  <si>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</si>
  <si>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</si>
  <si>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</si>
  <si>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</si>
  <si>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</si>
  <si>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</si>
  <si>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</si>
  <si>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</si>
  <si>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</si>
  <si>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</si>
  <si>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</si>
  <si>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</si>
  <si>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</si>
  <si>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</si>
  <si>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</si>
  <si>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</si>
  <si>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</si>
  <si>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</si>
  <si>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</si>
  <si>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</si>
  <si>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</si>
  <si>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</si>
  <si>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</si>
  <si>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</si>
  <si>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</si>
  <si>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</si>
  <si>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</si>
  <si>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</si>
  <si>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</si>
  <si>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</si>
  <si>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</si>
  <si>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</si>
  <si>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</si>
  <si>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</si>
  <si>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</si>
  <si>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</si>
  <si>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</si>
  <si>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</si>
  <si>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</si>
  <si>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</si>
  <si>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</si>
  <si>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</si>
  <si>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</si>
  <si>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</si>
  <si>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</si>
  <si>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</si>
  <si>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</si>
  <si>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</si>
  <si>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</si>
  <si>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</si>
  <si>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</si>
  <si>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</si>
  <si>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</si>
  <si>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</si>
  <si>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</si>
  <si>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</si>
  <si>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</si>
  <si>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</si>
  <si>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</si>
  <si>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</si>
  <si>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</si>
  <si>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</si>
  <si>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</si>
  <si>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</si>
  <si>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</si>
  <si>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</si>
  <si>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</si>
  <si>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</si>
  <si>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</si>
  <si>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</si>
  <si>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</si>
  <si>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</si>
  <si>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</si>
  <si>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</si>
  <si>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</si>
  <si>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</si>
  <si>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</si>
  <si>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</si>
  <si>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</si>
  <si>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</si>
  <si>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</si>
  <si>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</si>
  <si>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</si>
  <si>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</si>
  <si>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</si>
  <si>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</si>
  <si>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</si>
  <si>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</si>
  <si>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</si>
  <si>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</si>
  <si>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</si>
  <si>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</si>
  <si>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</si>
  <si>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</si>
  <si>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</si>
  <si>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</si>
  <si>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</si>
  <si>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</si>
  <si>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</si>
  <si>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</si>
  <si>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</si>
  <si>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</si>
  <si>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</si>
  <si>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</si>
  <si>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</si>
  <si>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</si>
  <si>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</si>
  <si>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</si>
  <si>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</si>
  <si>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</si>
  <si>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</si>
  <si>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</si>
  <si>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</si>
  <si>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</si>
  <si>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</si>
  <si>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</si>
  <si>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</si>
  <si>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</si>
  <si>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</si>
  <si>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</si>
  <si>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</si>
  <si>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</si>
  <si>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</si>
  <si>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</si>
  <si>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</si>
  <si>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</si>
  <si>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</si>
  <si>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</si>
  <si>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</si>
  <si>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</si>
  <si>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</si>
  <si>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</si>
  <si>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</si>
  <si>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</si>
  <si>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</si>
  <si>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</si>
  <si>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</si>
  <si>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</si>
  <si>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</si>
  <si>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</si>
  <si>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</si>
  <si>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</si>
  <si>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</si>
  <si>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</si>
  <si>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</si>
  <si>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</si>
  <si>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</si>
  <si>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</si>
  <si>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</si>
  <si>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</si>
  <si>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</si>
  <si>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</si>
  <si>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</si>
  <si>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</si>
  <si>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</si>
  <si>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</si>
  <si>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</si>
  <si>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</si>
  <si>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</si>
  <si>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</si>
  <si>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</si>
  <si>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</si>
  <si>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</si>
  <si>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</si>
  <si>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</si>
  <si>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</si>
  <si>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</si>
  <si>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</si>
  <si>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</si>
  <si>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</si>
  <si>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</si>
  <si>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</si>
  <si>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</si>
  <si>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</si>
  <si>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</si>
  <si>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</si>
  <si>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</si>
  <si>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</si>
  <si>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</si>
  <si>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</si>
  <si>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</si>
  <si>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</si>
  <si>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</si>
  <si>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</si>
  <si>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</si>
  <si>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</si>
  <si>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</si>
  <si>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</si>
  <si>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</si>
  <si>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</si>
  <si>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</si>
  <si>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</si>
  <si>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</si>
  <si>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</si>
  <si>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</si>
  <si>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</si>
  <si>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</si>
  <si>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</si>
  <si>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</si>
  <si>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</si>
  <si>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</si>
  <si>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</si>
  <si>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</si>
  <si>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</si>
  <si>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</si>
  <si>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</si>
  <si>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</si>
  <si>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</si>
  <si>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</si>
  <si>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</si>
  <si>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</si>
  <si>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</si>
  <si>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</si>
  <si>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</si>
  <si>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</si>
  <si>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</si>
  <si>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</si>
  <si>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</si>
  <si>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</si>
  <si>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</si>
  <si>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</si>
  <si>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</si>
  <si>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</si>
  <si>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</si>
  <si>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</si>
  <si>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</si>
  <si>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</si>
  <si>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</si>
  <si>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</si>
  <si>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</si>
  <si>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</si>
  <si>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</si>
  <si>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</si>
  <si>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</si>
  <si>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</si>
  <si>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</si>
  <si>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</si>
  <si>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</si>
  <si>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</si>
  <si>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</si>
  <si>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</si>
  <si>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</si>
  <si>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</si>
  <si>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</si>
  <si>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</si>
  <si>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</si>
  <si>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</si>
  <si>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</si>
  <si>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</si>
  <si>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</si>
  <si>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</si>
  <si>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</si>
  <si>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</si>
  <si>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</si>
  <si>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</si>
  <si>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</si>
  <si>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</si>
  <si>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</si>
  <si>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</si>
  <si>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</si>
  <si>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</si>
  <si>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</si>
  <si>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</si>
  <si>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</si>
  <si>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</si>
  <si>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</si>
  <si>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</si>
  <si>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</si>
  <si>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</si>
  <si>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</si>
  <si>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</si>
  <si>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</si>
  <si>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</si>
  <si>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</si>
  <si>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</si>
  <si>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</si>
  <si>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</si>
  <si>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</si>
  <si>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</si>
  <si>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</si>
  <si>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</si>
  <si>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</si>
  <si>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</si>
  <si>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</si>
  <si>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</si>
  <si>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</si>
  <si>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</si>
  <si>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</si>
  <si>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</si>
  <si>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</si>
  <si>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</si>
  <si>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</si>
  <si>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</si>
  <si>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</si>
  <si>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</si>
  <si>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</si>
  <si>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</si>
  <si>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</si>
  <si>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</si>
  <si>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</si>
  <si>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</si>
  <si>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</si>
  <si>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</si>
  <si>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</si>
  <si>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</si>
  <si>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</si>
  <si>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</si>
  <si>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</si>
  <si>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</si>
  <si>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</si>
  <si>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</si>
  <si>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</si>
  <si>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</si>
  <si>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</si>
  <si>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</si>
  <si>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</si>
  <si>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</si>
  <si>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</si>
  <si>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</si>
  <si>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</si>
  <si>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</si>
  <si>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</si>
  <si>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</si>
  <si>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</si>
  <si>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</si>
  <si>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</si>
  <si>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</si>
  <si>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</si>
  <si>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</si>
  <si>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</si>
  <si>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</si>
  <si>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</si>
  <si>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</si>
  <si>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</si>
  <si>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</si>
  <si>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</si>
  <si>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</si>
  <si>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</si>
  <si>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</si>
  <si>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</si>
  <si>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</si>
  <si>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</si>
  <si>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</si>
  <si>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</si>
  <si>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</si>
  <si>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</si>
  <si>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</si>
  <si>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</si>
  <si>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</si>
  <si>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</si>
  <si>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</si>
  <si>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</si>
  <si>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</si>
  <si>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</si>
  <si>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</si>
  <si>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</si>
  <si>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</si>
  <si>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</si>
  <si>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</si>
  <si>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</si>
  <si>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</si>
  <si>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</si>
  <si>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</si>
  <si>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</si>
  <si>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</si>
  <si>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</si>
  <si>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</si>
  <si>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</si>
  <si>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</si>
  <si>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</si>
  <si>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</si>
  <si>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</si>
  <si>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</si>
  <si>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</si>
  <si>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</si>
  <si>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</si>
  <si>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</si>
  <si>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</si>
  <si>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</si>
  <si>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</si>
  <si>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</si>
  <si>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</si>
  <si>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</si>
  <si>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</si>
  <si>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</si>
  <si>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</si>
  <si>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</si>
  <si>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</si>
  <si>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</si>
  <si>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</si>
  <si>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</si>
  <si>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</si>
  <si>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</si>
  <si>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</si>
  <si>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</si>
  <si>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</si>
  <si>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</si>
  <si>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</si>
  <si>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</si>
  <si>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</si>
  <si>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</si>
  <si>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</si>
  <si>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</si>
  <si>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</si>
  <si>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</si>
  <si>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</si>
  <si>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</si>
  <si>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</si>
  <si>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</si>
  <si>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</si>
  <si>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</si>
  <si>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</si>
  <si>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</si>
  <si>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</si>
  <si>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</si>
  <si>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</si>
  <si>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</si>
  <si>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</si>
  <si>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</si>
  <si>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</si>
  <si>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</si>
  <si>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</si>
  <si>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</si>
  <si>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</si>
  <si>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</si>
  <si>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</si>
  <si>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</si>
  <si>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</si>
  <si>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</si>
  <si>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</si>
  <si>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</si>
  <si>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</si>
  <si>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</si>
  <si>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</si>
  <si>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</si>
  <si>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</si>
  <si>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</si>
  <si>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</si>
  <si>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</si>
  <si>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</si>
  <si>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</si>
  <si>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</si>
  <si>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</si>
  <si>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</si>
  <si>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</si>
  <si>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</si>
  <si>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</si>
  <si>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</si>
  <si>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</si>
  <si>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</si>
  <si>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</si>
  <si>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</si>
  <si>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</si>
  <si>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</si>
  <si>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</si>
  <si>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</si>
  <si>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</si>
  <si>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</si>
  <si>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</si>
  <si>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</si>
  <si>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</si>
  <si>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</si>
  <si>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</si>
  <si>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</si>
  <si>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</si>
  <si>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</si>
  <si>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</si>
  <si>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</si>
  <si>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</si>
  <si>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</si>
  <si>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</si>
  <si>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</si>
  <si>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</si>
  <si>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</si>
  <si>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</si>
  <si>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</si>
  <si>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</si>
  <si>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</si>
  <si>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</si>
  <si>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</si>
  <si>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</si>
  <si>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</si>
  <si>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</si>
  <si>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</si>
  <si>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</si>
  <si>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</si>
  <si>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</si>
  <si>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</si>
  <si>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</si>
  <si>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</si>
  <si>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</si>
  <si>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</si>
  <si>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</si>
  <si>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</si>
  <si>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</si>
  <si>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</si>
  <si>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</si>
  <si>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</si>
  <si>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</si>
  <si>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</si>
  <si>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</si>
  <si>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</si>
  <si>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</si>
  <si>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</si>
  <si>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</si>
  <si>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</si>
  <si>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</si>
  <si>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</si>
  <si>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</si>
  <si>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</si>
  <si>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</si>
  <si>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</si>
  <si>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</si>
  <si>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</si>
  <si>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</si>
  <si>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</si>
  <si>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</si>
  <si>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</si>
  <si>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</si>
  <si>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</si>
  <si>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</si>
  <si>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</si>
  <si>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</si>
  <si>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</si>
  <si>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</si>
  <si>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</si>
  <si>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</si>
  <si>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</si>
  <si>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</si>
  <si>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</si>
  <si>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</si>
  <si>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</si>
  <si>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</si>
  <si>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</si>
  <si>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</si>
  <si>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</si>
  <si>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</si>
  <si>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</si>
  <si>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</si>
  <si>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</si>
  <si>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</si>
  <si>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</si>
  <si>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</si>
  <si>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</si>
  <si>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</si>
  <si>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</si>
  <si>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</si>
  <si>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</si>
  <si>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</si>
  <si>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</si>
  <si>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</si>
  <si>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</si>
  <si>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</si>
  <si>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</si>
  <si>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</si>
  <si>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</si>
  <si>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</si>
  <si>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</si>
  <si>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</si>
  <si>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</si>
  <si>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</si>
  <si>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</si>
  <si>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</si>
  <si>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</si>
  <si>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</si>
  <si>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</si>
  <si>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</si>
  <si>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</si>
  <si>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</si>
  <si>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</si>
  <si>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</si>
  <si>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</si>
  <si>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</si>
  <si>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</si>
  <si>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</si>
  <si>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</si>
  <si>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</si>
  <si>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</si>
  <si>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</si>
  <si>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</si>
  <si>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</si>
  <si>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</si>
  <si>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</si>
  <si>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</si>
  <si>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</si>
  <si>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</si>
  <si>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</si>
  <si>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</si>
  <si>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</si>
  <si>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</si>
  <si>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</si>
  <si>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</si>
  <si>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</si>
  <si>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</si>
  <si>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</si>
  <si>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</si>
  <si>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</si>
  <si>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</si>
  <si>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</si>
  <si>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</si>
  <si>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</si>
  <si>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</si>
  <si>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</si>
  <si>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</si>
  <si>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</si>
  <si>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</si>
  <si>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</si>
  <si>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</si>
  <si>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</si>
  <si>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</si>
  <si>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</si>
  <si>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</si>
  <si>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</si>
  <si>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</si>
  <si>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</si>
  <si>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</si>
  <si>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</si>
  <si>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</si>
  <si>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</si>
  <si>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</si>
  <si>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</si>
  <si>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</si>
  <si>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</si>
  <si>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</si>
  <si>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</si>
  <si>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</si>
  <si>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</si>
  <si>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</si>
  <si>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</si>
  <si>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</si>
  <si>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</si>
  <si>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</si>
  <si>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</si>
  <si>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</si>
  <si>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</si>
  <si>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</si>
  <si>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</si>
  <si>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</si>
  <si>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</si>
  <si>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</si>
  <si>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</si>
  <si>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</si>
  <si>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</si>
  <si>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</si>
  <si>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</si>
  <si>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</si>
  <si>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</si>
  <si>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</si>
  <si>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</si>
  <si>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</si>
  <si>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</si>
  <si>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</si>
  <si>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</si>
  <si>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</si>
  <si>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</si>
  <si>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</si>
  <si>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</si>
  <si>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</si>
  <si>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</si>
  <si>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</si>
  <si>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</si>
  <si>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</si>
  <si>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</si>
  <si>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</si>
  <si>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</si>
  <si>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</si>
  <si>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</si>
  <si>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</si>
  <si>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</si>
  <si>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</si>
  <si>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</si>
  <si>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</si>
  <si>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</si>
  <si>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</si>
  <si>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</si>
  <si>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</si>
  <si>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</si>
  <si>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</si>
  <si>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</si>
  <si>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</si>
  <si>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</si>
  <si>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</si>
  <si>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</si>
  <si>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</si>
  <si>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</si>
  <si>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</si>
  <si>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</si>
  <si>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</si>
  <si>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</si>
  <si>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</si>
  <si>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</si>
  <si>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</si>
  <si>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</si>
  <si>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</si>
  <si>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</si>
  <si>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</si>
  <si>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</si>
  <si>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</si>
  <si>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</si>
  <si>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</si>
  <si>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</si>
  <si>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</si>
  <si>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</si>
  <si>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</si>
  <si>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</si>
  <si>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</si>
  <si>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</si>
  <si>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</si>
  <si>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</si>
  <si>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</si>
  <si>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</si>
  <si>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</si>
  <si>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</si>
  <si>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</si>
  <si>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</si>
  <si>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</si>
  <si>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</si>
  <si>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</si>
  <si>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</si>
  <si>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</si>
  <si>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</si>
  <si>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</si>
  <si>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</si>
  <si>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</si>
  <si>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</si>
  <si>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</si>
  <si>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</si>
  <si>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</si>
  <si>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</si>
  <si>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</si>
  <si>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</si>
  <si>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</si>
  <si>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</si>
  <si>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</si>
  <si>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</si>
  <si>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</si>
  <si>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</si>
  <si>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</si>
  <si>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</si>
  <si>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</si>
  <si>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</si>
  <si>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</si>
  <si>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</si>
  <si>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</si>
  <si>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</si>
  <si>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</si>
  <si>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</si>
  <si>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</si>
  <si>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</si>
  <si>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</si>
  <si>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</si>
  <si>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</si>
  <si>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</si>
  <si>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</si>
  <si>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</si>
  <si>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</si>
  <si>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</si>
  <si>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</si>
  <si>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</si>
  <si>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</si>
  <si>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</si>
  <si>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</si>
  <si>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</si>
  <si>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</si>
  <si>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</si>
  <si>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</si>
  <si>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</si>
  <si>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</si>
  <si>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</si>
  <si>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</si>
  <si>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</si>
  <si>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</si>
  <si>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</si>
  <si>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</si>
  <si>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</si>
  <si>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</si>
  <si>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</si>
  <si>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</si>
  <si>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</si>
  <si>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</si>
  <si>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</si>
  <si>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</si>
  <si>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</si>
  <si>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</si>
  <si>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</si>
  <si>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</si>
  <si>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</si>
  <si>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</si>
  <si>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</si>
  <si>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</si>
  <si>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</si>
  <si>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</si>
  <si>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</si>
  <si>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</si>
  <si>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</si>
  <si>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</si>
  <si>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</si>
  <si>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</si>
  <si>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</si>
  <si>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</si>
  <si>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</si>
  <si>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</si>
  <si>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</si>
  <si>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</si>
  <si>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</si>
  <si>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</si>
  <si>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</si>
  <si>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</si>
  <si>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</si>
  <si>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</si>
  <si>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</si>
  <si>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</si>
  <si>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</si>
  <si>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</si>
  <si>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</si>
  <si>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</si>
  <si>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</si>
  <si>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</si>
  <si>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</si>
  <si>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</si>
  <si>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</si>
  <si>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</si>
  <si>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</si>
  <si>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</si>
  <si>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</si>
  <si>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</si>
  <si>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</si>
  <si>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</si>
  <si>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</si>
  <si>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</si>
  <si>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</si>
  <si>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</si>
  <si>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</si>
  <si>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</si>
  <si>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</si>
  <si>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</si>
  <si>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</si>
  <si>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</si>
  <si>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</si>
  <si>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</si>
  <si>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</si>
  <si>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</si>
  <si>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</si>
  <si>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</si>
  <si>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</si>
  <si>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</si>
  <si>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</si>
  <si>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</si>
  <si>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</si>
  <si>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</si>
  <si>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</si>
  <si>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</si>
  <si>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</si>
  <si>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</si>
  <si>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</si>
  <si>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</si>
  <si>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</si>
  <si>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</si>
  <si>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</si>
  <si>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</si>
  <si>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</si>
  <si>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</si>
  <si>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</si>
  <si>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</si>
  <si>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</si>
  <si>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</si>
  <si>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</si>
  <si>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</si>
  <si>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</si>
  <si>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</si>
  <si>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</si>
  <si>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</si>
  <si>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</si>
  <si>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</si>
  <si>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</si>
  <si>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</si>
  <si>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</si>
  <si>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</si>
  <si>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</si>
  <si>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</si>
  <si>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</si>
  <si>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</si>
  <si>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</si>
  <si>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</si>
  <si>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</si>
  <si>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</si>
  <si>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</si>
  <si>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</si>
  <si>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</si>
  <si>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</si>
  <si>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</si>
  <si>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</si>
  <si>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</si>
  <si>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</si>
  <si>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</si>
  <si>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</si>
  <si>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</si>
  <si>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</si>
  <si>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</si>
  <si>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</si>
  <si>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</si>
  <si>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</si>
  <si>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</si>
  <si>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</si>
  <si>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</si>
  <si>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</si>
  <si>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</si>
  <si>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</si>
  <si>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</si>
  <si>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</si>
  <si>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</si>
  <si>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</si>
  <si>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</si>
  <si>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</si>
  <si>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</si>
  <si>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</si>
  <si>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</si>
  <si>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</si>
  <si>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</si>
  <si>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</si>
  <si>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</si>
  <si>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</si>
  <si>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</si>
  <si>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</si>
  <si>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</si>
  <si>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</si>
  <si>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</si>
  <si>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</si>
  <si>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</si>
  <si>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</si>
  <si>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</si>
  <si>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</si>
  <si>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</si>
  <si>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</si>
  <si>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</si>
  <si>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</si>
  <si>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</si>
  <si>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</si>
  <si>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</si>
  <si>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</si>
  <si>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</si>
  <si>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</si>
  <si>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</si>
  <si>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</si>
  <si>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</si>
  <si>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</si>
  <si>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</si>
  <si>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</si>
  <si>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</si>
  <si>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</si>
  <si>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</si>
  <si>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</si>
  <si>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</si>
  <si>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</si>
  <si>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</si>
  <si>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</si>
  <si>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</si>
  <si>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</si>
  <si>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</si>
  <si>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</si>
  <si>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</si>
  <si>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</si>
  <si>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</si>
  <si>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</si>
  <si>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</si>
  <si>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</si>
  <si>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</si>
  <si>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</si>
  <si>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</si>
  <si>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</si>
  <si>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</si>
  <si>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</si>
  <si>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</si>
  <si>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</si>
  <si>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</si>
  <si>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</si>
  <si>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</si>
  <si>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</si>
  <si>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</si>
  <si>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</si>
  <si>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</si>
  <si>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</si>
  <si>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</si>
  <si>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</si>
  <si>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</si>
  <si>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</si>
  <si>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</si>
  <si>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</si>
  <si>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</si>
  <si>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</si>
  <si>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</si>
  <si>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</si>
  <si>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</si>
  <si>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</si>
  <si>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</si>
  <si>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</si>
  <si>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</si>
  <si>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</si>
  <si>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</si>
  <si>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</si>
  <si>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</si>
  <si>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</si>
  <si>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</si>
  <si>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</si>
  <si>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</si>
  <si>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</si>
  <si>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</si>
  <si>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</si>
  <si>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</si>
  <si>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</si>
  <si>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</si>
  <si>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</si>
  <si>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</si>
  <si>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</si>
  <si>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</si>
  <si>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</si>
  <si>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</si>
  <si>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</si>
  <si>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</si>
  <si>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</si>
  <si>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</si>
  <si>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</si>
  <si>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</si>
  <si>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</si>
  <si>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</si>
  <si>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</si>
  <si>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</si>
  <si>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</si>
  <si>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</si>
  <si>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</si>
  <si>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</si>
  <si>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</si>
  <si>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</si>
  <si>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</si>
  <si>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</si>
  <si>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</si>
  <si>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</si>
  <si>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</si>
  <si>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</si>
  <si>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</si>
  <si>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</si>
  <si>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</si>
  <si>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</si>
  <si>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</si>
  <si>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</si>
  <si>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</si>
  <si>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</si>
  <si>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</si>
  <si>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</si>
  <si>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</si>
  <si>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</si>
  <si>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</si>
  <si>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</si>
  <si>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</si>
  <si>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</si>
  <si>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</si>
  <si>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</si>
  <si>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</si>
  <si>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</si>
  <si>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</si>
  <si>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</si>
  <si>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</si>
  <si>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</si>
  <si>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</si>
  <si>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</si>
  <si>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</si>
  <si>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</si>
  <si>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</si>
  <si>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</si>
  <si>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</si>
  <si>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</si>
  <si>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</si>
  <si>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</si>
  <si>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</si>
  <si>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</si>
  <si>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</si>
  <si>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</si>
  <si>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</si>
  <si>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</si>
  <si>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</si>
  <si>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</si>
  <si>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</si>
  <si>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</si>
  <si>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</si>
  <si>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</si>
  <si>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</si>
  <si>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</si>
  <si>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</si>
  <si>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</si>
  <si>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</si>
  <si>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</si>
  <si>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</si>
  <si>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</si>
  <si>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</si>
  <si>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</si>
  <si>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</si>
  <si>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</si>
  <si>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</si>
  <si>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</si>
  <si>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</si>
  <si>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</si>
  <si>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</si>
  <si>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</si>
  <si>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</si>
  <si>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</si>
  <si>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</si>
  <si>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</si>
  <si>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</si>
  <si>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</si>
  <si>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</si>
  <si>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</si>
  <si>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</si>
  <si>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</si>
  <si>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</si>
  <si>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</si>
  <si>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</si>
  <si>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</si>
  <si>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</si>
  <si>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</si>
  <si>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</si>
  <si>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</si>
  <si>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</si>
  <si>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</si>
  <si>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</si>
  <si>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</si>
  <si>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</si>
  <si>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</si>
  <si>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</si>
  <si>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</si>
  <si>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</si>
  <si>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</si>
  <si>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</si>
  <si>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</si>
  <si>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</si>
  <si>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</si>
  <si>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</si>
  <si>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</si>
  <si>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</si>
  <si>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</si>
  <si>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</si>
  <si>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</si>
  <si>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</si>
  <si>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</si>
  <si>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</si>
  <si>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</si>
  <si>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</si>
  <si>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</si>
  <si>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</si>
  <si>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</si>
  <si>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</si>
  <si>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</si>
  <si>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</si>
  <si>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</si>
  <si>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</si>
  <si>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</si>
  <si>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</si>
  <si>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</si>
  <si>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</si>
  <si>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</si>
  <si>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</si>
  <si>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</si>
  <si>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</si>
  <si>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</si>
  <si>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</si>
  <si>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</si>
  <si>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</si>
  <si>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</si>
  <si>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</si>
  <si>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</si>
  <si>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</si>
  <si>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</si>
  <si>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</si>
  <si>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</si>
  <si>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</si>
  <si>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</si>
  <si>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</si>
  <si>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</si>
  <si>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</si>
  <si>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</si>
  <si>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</si>
  <si>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</si>
  <si>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</si>
  <si>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</si>
  <si>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</si>
  <si>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</si>
  <si>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</si>
  <si>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</si>
  <si>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</si>
  <si>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</si>
  <si>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</si>
  <si>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</si>
  <si>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</si>
  <si>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</si>
  <si>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</si>
  <si>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</si>
  <si>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</si>
  <si>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</si>
  <si>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</si>
  <si>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</si>
  <si>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</si>
  <si>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</si>
  <si>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</si>
  <si>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</si>
  <si>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</si>
  <si>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</si>
  <si>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</si>
  <si>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</si>
  <si>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</si>
  <si>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</si>
  <si>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</si>
  <si>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</si>
  <si>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</si>
  <si>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</si>
  <si>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</si>
  <si>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</si>
  <si>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</si>
  <si>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</si>
  <si>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</si>
  <si>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</si>
  <si>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</si>
  <si>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</si>
  <si>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</si>
  <si>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</si>
  <si>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</si>
  <si>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</si>
  <si>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</si>
  <si>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</si>
  <si>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</si>
  <si>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</si>
  <si>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</si>
  <si>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</si>
  <si>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</si>
  <si>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</si>
  <si>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</si>
  <si>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</si>
  <si>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</si>
  <si>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</si>
  <si>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</si>
  <si>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</si>
  <si>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</si>
  <si>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</si>
  <si>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</si>
  <si>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</si>
  <si>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</si>
  <si>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</si>
  <si>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</si>
  <si>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</si>
  <si>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</si>
  <si>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</si>
  <si>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</si>
  <si>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</si>
  <si>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</si>
  <si>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</si>
  <si>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</si>
  <si>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</si>
  <si>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</si>
  <si>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</si>
  <si>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</si>
  <si>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</si>
  <si>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</si>
  <si>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</si>
  <si>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</si>
  <si>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</si>
  <si>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</si>
  <si>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</si>
  <si>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</si>
  <si>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</si>
  <si>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</si>
  <si>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</si>
  <si>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</si>
  <si>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</si>
  <si>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</si>
  <si>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</si>
  <si>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</si>
  <si>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</si>
  <si>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</si>
  <si>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</si>
  <si>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</si>
  <si>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</si>
  <si>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</si>
  <si>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</si>
  <si>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</si>
  <si>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</si>
  <si>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</si>
  <si>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</si>
  <si>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</si>
  <si>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</si>
  <si>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</si>
  <si>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</si>
  <si>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</si>
  <si>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</si>
  <si>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</si>
  <si>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</si>
  <si>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</si>
  <si>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</si>
  <si>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</si>
  <si>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</si>
  <si>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</si>
  <si>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</si>
  <si>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</si>
  <si>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</si>
  <si>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</si>
  <si>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</si>
  <si>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</si>
  <si>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</si>
  <si>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</si>
  <si>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</si>
  <si>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</si>
  <si>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</si>
  <si>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</si>
  <si>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</si>
  <si>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</si>
  <si>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</si>
  <si>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</si>
  <si>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</si>
  <si>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</si>
  <si>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</si>
  <si>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</si>
  <si>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</si>
  <si>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</si>
  <si>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</si>
  <si>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</si>
  <si>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</si>
  <si>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</si>
  <si>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</si>
  <si>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</si>
  <si>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</si>
  <si>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</si>
  <si>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</si>
  <si>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</si>
  <si>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</si>
  <si>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</si>
  <si>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</si>
  <si>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</si>
  <si>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</si>
  <si>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</si>
  <si>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</si>
  <si>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</si>
  <si>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</si>
  <si>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</si>
  <si>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</si>
  <si>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</si>
  <si>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</si>
  <si>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</si>
  <si>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</si>
  <si>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</si>
  <si>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</si>
  <si>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</si>
  <si>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</si>
  <si>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</si>
  <si>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</si>
  <si>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</si>
  <si>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</si>
  <si>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</si>
  <si>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</si>
  <si>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</si>
  <si>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</si>
  <si>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</si>
  <si>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</si>
  <si>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</si>
  <si>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</si>
  <si>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</si>
  <si>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</si>
  <si>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</si>
  <si>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</si>
  <si>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</si>
  <si>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</si>
  <si>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</si>
  <si>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</si>
  <si>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</si>
  <si>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</si>
  <si>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</si>
  <si>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</si>
  <si>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</si>
  <si>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</si>
  <si>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</si>
  <si>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</si>
  <si>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</si>
  <si>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</si>
  <si>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</si>
  <si>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</si>
  <si>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</si>
  <si>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</si>
  <si>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</si>
  <si>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</si>
  <si>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</si>
  <si>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</si>
  <si>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</si>
  <si>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</si>
  <si>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</si>
  <si>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</si>
  <si>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</si>
  <si>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</si>
  <si>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</si>
  <si>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</si>
  <si>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</si>
  <si>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</si>
  <si>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</si>
  <si>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</si>
  <si>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</si>
  <si>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</si>
  <si>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</si>
  <si>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</si>
  <si>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</si>
  <si>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</si>
  <si>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</si>
  <si>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</si>
  <si>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</si>
  <si>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</si>
  <si>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</si>
  <si>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</si>
  <si>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</si>
  <si>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</si>
  <si>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</si>
  <si>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</si>
  <si>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</si>
  <si>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</si>
  <si>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</si>
  <si>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</si>
  <si>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</si>
  <si>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</si>
  <si>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</si>
  <si>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</si>
  <si>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</si>
  <si>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</si>
  <si>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</si>
  <si>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</si>
  <si>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</si>
  <si>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</si>
  <si>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</si>
  <si>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</si>
  <si>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</si>
  <si>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</si>
  <si>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</si>
  <si>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</si>
  <si>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</si>
  <si>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</si>
  <si>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</si>
  <si>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</si>
  <si>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</si>
  <si>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</si>
  <si>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</si>
  <si>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</si>
  <si>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</si>
  <si>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</si>
  <si>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</si>
  <si>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</si>
  <si>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</si>
  <si>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</si>
  <si>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</si>
  <si>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</si>
  <si>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</si>
  <si>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</si>
  <si>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</si>
  <si>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</si>
  <si>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</si>
  <si>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</si>
  <si>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</si>
  <si>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</si>
  <si>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</si>
  <si>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</si>
  <si>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</si>
  <si>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</si>
  <si>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</si>
  <si>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</si>
  <si>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</si>
  <si>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</si>
  <si>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</si>
  <si>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</si>
  <si>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</si>
  <si>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</si>
  <si>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</si>
  <si>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</si>
  <si>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</si>
  <si>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</si>
  <si>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</si>
  <si>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</si>
  <si>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</si>
  <si>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</si>
  <si>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</si>
  <si>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</si>
  <si>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</si>
  <si>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</si>
  <si>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</si>
  <si>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</si>
  <si>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</si>
  <si>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</si>
  <si>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</si>
  <si>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</si>
  <si>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</si>
  <si>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</si>
  <si>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</si>
  <si>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</si>
  <si>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</si>
  <si>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</si>
  <si>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</si>
  <si>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</si>
  <si>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</si>
  <si>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</si>
  <si>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</si>
  <si>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</si>
  <si>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</si>
  <si>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</si>
  <si>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</si>
  <si>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</si>
  <si>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</si>
  <si>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</si>
  <si>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</si>
  <si>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</si>
  <si>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</si>
  <si>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</si>
  <si>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</si>
  <si>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</si>
  <si>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</si>
  <si>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</si>
  <si>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</si>
  <si>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</si>
  <si>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</si>
  <si>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</si>
  <si>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</si>
  <si>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</si>
  <si>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</si>
  <si>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</si>
  <si>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</si>
  <si>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</si>
  <si>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</si>
  <si>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</si>
  <si>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</si>
  <si>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</si>
  <si>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</si>
  <si>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</si>
  <si>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</si>
  <si>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</si>
  <si>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</si>
  <si>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</si>
  <si>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</si>
  <si>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</si>
  <si>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</si>
  <si>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</si>
  <si>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</si>
  <si>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</si>
  <si>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</si>
  <si>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</si>
  <si>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</si>
  <si>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</si>
  <si>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</si>
  <si>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</si>
  <si>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</si>
  <si>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</si>
  <si>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</si>
  <si>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</si>
  <si>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</si>
  <si>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</si>
  <si>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</si>
  <si>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</si>
  <si>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</si>
  <si>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</si>
  <si>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</si>
  <si>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</si>
  <si>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</si>
  <si>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</si>
  <si>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</si>
  <si>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</si>
  <si>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</si>
  <si>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</si>
  <si>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</si>
  <si>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</si>
  <si>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</si>
  <si>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</si>
  <si>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</si>
  <si>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</si>
  <si>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</si>
  <si>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</si>
  <si>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</si>
  <si>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</si>
  <si>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</si>
  <si>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</si>
  <si>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</si>
  <si>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</si>
  <si>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</si>
  <si>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</si>
  <si>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</si>
  <si>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</si>
  <si>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</si>
  <si>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</si>
  <si>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</si>
  <si>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</si>
  <si>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</si>
  <si>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</si>
  <si>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</si>
  <si>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</si>
  <si>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</si>
  <si>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</si>
  <si>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</si>
  <si>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</si>
  <si>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</si>
  <si>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</si>
  <si>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</si>
  <si>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</si>
  <si>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</si>
  <si>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</si>
  <si>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</si>
  <si>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</si>
  <si>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</si>
  <si>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</si>
  <si>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</si>
  <si>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</si>
  <si>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</si>
  <si>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</si>
  <si>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</si>
  <si>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</si>
  <si>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</si>
  <si>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</si>
  <si>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</si>
  <si>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</si>
  <si>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</si>
  <si>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</si>
  <si>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</si>
  <si>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</si>
  <si>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</si>
  <si>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</si>
  <si>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</si>
  <si>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</si>
  <si>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</si>
  <si>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</si>
  <si>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</si>
  <si>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</si>
  <si>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</si>
  <si>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</si>
  <si>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</si>
  <si>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</si>
  <si>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</si>
  <si>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</si>
  <si>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</si>
  <si>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</si>
  <si>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</si>
  <si>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</si>
  <si>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</si>
  <si>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</si>
  <si>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</si>
  <si>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</si>
  <si>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</si>
  <si>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</si>
  <si>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</si>
  <si>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</si>
  <si>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</si>
  <si>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</si>
  <si>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</si>
  <si>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</si>
  <si>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</si>
  <si>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</si>
  <si>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</si>
  <si>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</si>
  <si>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</si>
  <si>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</si>
  <si>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</si>
  <si>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</si>
  <si>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</si>
  <si>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</si>
  <si>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</si>
  <si>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</si>
  <si>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</si>
  <si>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</si>
  <si>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</si>
  <si>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</si>
  <si>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</si>
  <si>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</si>
  <si>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</si>
  <si>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</si>
  <si>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</si>
  <si>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</si>
  <si>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</si>
  <si>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</si>
  <si>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</si>
  <si>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</si>
  <si>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</si>
  <si>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</si>
  <si>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</si>
  <si>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</si>
  <si>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</si>
  <si>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</si>
  <si>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</si>
  <si>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</si>
  <si>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</si>
  <si>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</si>
  <si>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</si>
  <si>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</si>
  <si>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</si>
  <si>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</si>
  <si>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</si>
  <si>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</si>
  <si>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</si>
  <si>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</si>
  <si>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</si>
  <si>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</si>
  <si>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</si>
  <si>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</si>
  <si>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</si>
  <si>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</si>
  <si>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</si>
  <si>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</si>
  <si>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</si>
  <si>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</si>
  <si>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</si>
  <si>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</si>
  <si>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</si>
  <si>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</si>
  <si>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</si>
  <si>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</si>
  <si>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</si>
  <si>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</si>
  <si>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</si>
  <si>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</si>
  <si>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</si>
  <si>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</si>
  <si>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</si>
  <si>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</si>
  <si>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</si>
  <si>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</si>
  <si>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</si>
  <si>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</si>
  <si>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</si>
  <si>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</si>
  <si>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</si>
  <si>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</si>
  <si>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</si>
  <si>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</si>
  <si>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</si>
  <si>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</si>
  <si>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</si>
  <si>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</si>
  <si>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</si>
  <si>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</si>
  <si>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</si>
  <si>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</si>
  <si>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</si>
  <si>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</si>
  <si>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</si>
  <si>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</si>
  <si>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</si>
  <si>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</si>
  <si>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</si>
  <si>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</si>
  <si>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</si>
  <si>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</si>
  <si>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</si>
  <si>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</si>
  <si>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</si>
  <si>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</si>
  <si>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</si>
  <si>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</si>
  <si>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</si>
  <si>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</si>
  <si>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</si>
  <si>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</si>
  <si>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</si>
  <si>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</si>
  <si>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</si>
  <si>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</si>
  <si>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</si>
  <si>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</si>
  <si>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</si>
  <si>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</si>
  <si>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</si>
  <si>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</si>
  <si>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</si>
  <si>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</si>
  <si>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</si>
  <si>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</si>
  <si>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</si>
  <si>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</si>
  <si>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</si>
  <si>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</si>
  <si>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</si>
  <si>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</si>
  <si>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</si>
  <si>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</si>
  <si>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</si>
  <si>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</si>
  <si>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</si>
  <si>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</si>
  <si>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</si>
  <si>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</si>
  <si>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</si>
  <si>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</si>
  <si>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</si>
  <si>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</si>
  <si>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</si>
  <si>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</si>
  <si>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</si>
  <si>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</si>
  <si>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</si>
  <si>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</si>
  <si>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</si>
  <si>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</si>
  <si>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</si>
  <si>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</si>
  <si>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</si>
  <si>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</si>
  <si>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</si>
  <si>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</si>
  <si>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</si>
  <si>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</si>
  <si>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</si>
  <si>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</si>
  <si>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</si>
  <si>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</si>
  <si>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</si>
  <si>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</si>
  <si>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</si>
  <si>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</si>
  <si>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</si>
  <si>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</si>
  <si>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</si>
  <si>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</si>
  <si>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</si>
  <si>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</si>
  <si>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</si>
  <si>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</si>
  <si>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</si>
  <si>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</si>
  <si>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</si>
  <si>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</si>
  <si>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</si>
  <si>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</si>
  <si>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</si>
  <si>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</si>
  <si>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</si>
  <si>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</si>
  <si>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</si>
  <si>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</si>
  <si>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</si>
  <si>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</si>
  <si>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</si>
  <si>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</si>
  <si>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</si>
  <si>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</si>
  <si>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</si>
  <si>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</si>
  <si>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</si>
  <si>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</si>
  <si>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</si>
  <si>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</si>
  <si>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</si>
  <si>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</si>
  <si>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</si>
  <si>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</si>
  <si>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</si>
  <si>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</si>
  <si>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</si>
  <si>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</si>
  <si>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</si>
  <si>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</si>
  <si>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</si>
  <si>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</si>
  <si>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</si>
  <si>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</si>
  <si>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</si>
  <si>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</si>
  <si>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</si>
  <si>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</si>
  <si>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</si>
  <si>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</si>
  <si>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</si>
  <si>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</si>
  <si>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</si>
  <si>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</si>
  <si>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</si>
  <si>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</si>
  <si>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</si>
  <si>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</si>
  <si>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</si>
  <si>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</si>
  <si>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</si>
  <si>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</si>
  <si>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</si>
  <si>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</si>
  <si>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</si>
  <si>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</si>
  <si>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</si>
  <si>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</si>
  <si>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</si>
  <si>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</si>
  <si>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</si>
  <si>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</si>
  <si>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</si>
  <si>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</si>
  <si>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</si>
  <si>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</si>
  <si>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</si>
  <si>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</si>
  <si>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</si>
  <si>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</si>
  <si>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</si>
  <si>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</si>
  <si>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</si>
  <si>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</si>
  <si>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</si>
  <si>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</si>
  <si>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</si>
  <si>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</si>
  <si>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</si>
  <si>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</si>
  <si>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</si>
  <si>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</si>
  <si>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</si>
  <si>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</si>
  <si>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</si>
  <si>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</si>
  <si>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</si>
  <si>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</si>
  <si>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</si>
  <si>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</si>
  <si>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</si>
  <si>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</si>
  <si>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</si>
  <si>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</si>
  <si>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</si>
  <si>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</si>
  <si>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</si>
  <si>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</si>
  <si>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</si>
  <si>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</si>
  <si>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</si>
  <si>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</si>
  <si>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</si>
  <si>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</si>
  <si>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</si>
  <si>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</si>
  <si>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</si>
  <si>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</si>
  <si>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</si>
  <si>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</si>
  <si>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</si>
  <si>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</si>
  <si>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</si>
  <si>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</si>
  <si>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</si>
  <si>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</si>
  <si>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</si>
  <si>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</si>
  <si>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</si>
  <si>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</si>
  <si>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</si>
  <si>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</si>
  <si>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</si>
  <si>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</si>
  <si>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</si>
  <si>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</si>
  <si>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</si>
  <si>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</si>
  <si>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</si>
  <si>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</si>
  <si>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</si>
  <si>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</si>
  <si>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</si>
  <si>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</si>
  <si>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</si>
  <si>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</si>
  <si>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</si>
  <si>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</si>
  <si>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</si>
  <si>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</si>
  <si>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</si>
  <si>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</si>
  <si>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</si>
  <si>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</si>
  <si>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</si>
  <si>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</si>
  <si>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</si>
  <si>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</si>
  <si>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</si>
  <si>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</si>
  <si>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</si>
  <si>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</si>
  <si>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</si>
  <si>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</si>
  <si>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</si>
  <si>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</si>
  <si>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</si>
  <si>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</si>
  <si>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</si>
  <si>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</si>
  <si>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</si>
  <si>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</si>
  <si>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</si>
  <si>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</si>
  <si>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</si>
  <si>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</si>
  <si>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</si>
  <si>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</si>
  <si>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</si>
  <si>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</si>
  <si>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</si>
  <si>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</si>
  <si>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</si>
  <si>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</si>
  <si>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</si>
  <si>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</si>
  <si>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</si>
  <si>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</si>
  <si>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</si>
  <si>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</si>
  <si>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</si>
  <si>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</si>
  <si>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</si>
  <si>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</si>
  <si>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</si>
  <si>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</si>
  <si>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</si>
  <si>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</si>
  <si>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</si>
  <si>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</si>
  <si>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</si>
  <si>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</si>
  <si>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</si>
  <si>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</si>
  <si>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</si>
  <si>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</si>
  <si>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</si>
  <si>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</si>
  <si>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</si>
  <si>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</si>
  <si>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</si>
  <si>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</si>
  <si>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</si>
  <si>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</si>
  <si>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</si>
  <si>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</si>
  <si>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</si>
  <si>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</si>
  <si>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</si>
  <si>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</si>
  <si>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</si>
  <si>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</si>
  <si>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</si>
  <si>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</si>
  <si>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</si>
  <si>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</si>
  <si>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</si>
  <si>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</si>
  <si>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</si>
  <si>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</si>
  <si>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</si>
  <si>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</si>
  <si>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</si>
  <si>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</si>
  <si>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</si>
  <si>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</si>
  <si>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</si>
  <si>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</si>
  <si>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</si>
  <si>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</si>
  <si>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</si>
  <si>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</si>
  <si>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</si>
  <si>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</si>
  <si>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</si>
  <si>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</si>
  <si>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</si>
  <si>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</si>
  <si>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</si>
  <si>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</si>
  <si>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</si>
  <si>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</si>
  <si>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</si>
  <si>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</si>
  <si>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</si>
  <si>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</si>
  <si>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</si>
  <si>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</si>
  <si>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</si>
  <si>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</si>
  <si>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</si>
  <si>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</si>
  <si>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</si>
  <si>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</si>
  <si>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</si>
  <si>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</si>
  <si>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</si>
  <si>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</si>
  <si>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</si>
  <si>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</si>
  <si>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</si>
  <si>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</si>
  <si>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</si>
  <si>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</si>
  <si>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</si>
  <si>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</si>
  <si>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</si>
  <si>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</si>
  <si>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</si>
  <si>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</si>
  <si>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</si>
  <si>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</si>
  <si>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</si>
  <si>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</si>
  <si>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</si>
  <si>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</si>
  <si>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</si>
  <si>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</si>
  <si>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</si>
  <si>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</si>
  <si>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</si>
  <si>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</si>
  <si>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</si>
  <si>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</si>
  <si>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</si>
  <si>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</si>
  <si>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</si>
  <si>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</si>
  <si>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</si>
  <si>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</si>
  <si>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</si>
  <si>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</si>
  <si>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</si>
  <si>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</si>
  <si>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</si>
  <si>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</si>
  <si>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</si>
  <si>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</si>
  <si>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</si>
  <si>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</si>
  <si>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</si>
  <si>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</si>
  <si>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</si>
  <si>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</si>
  <si>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</si>
  <si>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</si>
  <si>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</si>
  <si>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</si>
  <si>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</si>
  <si>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</si>
  <si>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</si>
  <si>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</si>
  <si>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</si>
  <si>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</si>
  <si>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</si>
  <si>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</si>
  <si>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</si>
  <si>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</si>
  <si>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</si>
  <si>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</si>
  <si>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</si>
  <si>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</si>
  <si>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</si>
  <si>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</si>
  <si>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</si>
  <si>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</si>
  <si>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</si>
  <si>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</si>
  <si>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</si>
  <si>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</si>
  <si>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</si>
  <si>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</si>
  <si>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</si>
  <si>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</si>
  <si>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</si>
  <si>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</si>
  <si>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</si>
  <si>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</si>
  <si>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</si>
  <si>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</si>
  <si>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</si>
  <si>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</si>
  <si>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</si>
  <si>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</si>
  <si>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</si>
  <si>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</si>
  <si>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</si>
  <si>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</si>
  <si>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</si>
  <si>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</si>
  <si>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</si>
  <si>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</si>
  <si>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</si>
  <si>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</si>
  <si>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</si>
  <si>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</si>
  <si>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</si>
  <si>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</si>
  <si>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</si>
  <si>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</si>
  <si>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</si>
  <si>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</si>
  <si>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</si>
  <si>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</si>
  <si>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</si>
  <si>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</si>
  <si>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</si>
  <si>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</si>
  <si>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</si>
  <si>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</si>
  <si>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</si>
  <si>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</si>
  <si>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</si>
  <si>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</si>
  <si>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</si>
  <si>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</si>
  <si>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</si>
  <si>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</si>
  <si>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</si>
  <si>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</si>
  <si>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</si>
  <si>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</si>
  <si>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</si>
  <si>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</si>
  <si>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</si>
  <si>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</si>
  <si>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</si>
  <si>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</si>
  <si>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</si>
  <si>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</si>
  <si>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</si>
  <si>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</si>
  <si>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</si>
  <si>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</si>
  <si>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</si>
  <si>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</si>
  <si>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</si>
  <si>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</si>
  <si>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</si>
  <si>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</si>
  <si>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</si>
  <si>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</si>
  <si>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</si>
  <si>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</si>
  <si>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</si>
  <si>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</si>
  <si>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</si>
  <si>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</si>
  <si>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</si>
  <si>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</si>
  <si>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</si>
  <si>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</si>
  <si>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</si>
  <si>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</si>
  <si>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</si>
  <si>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</si>
  <si>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</si>
  <si>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</si>
  <si>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</si>
  <si>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</si>
  <si>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</si>
  <si>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</si>
  <si>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</si>
  <si>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</si>
  <si>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</si>
  <si>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</si>
  <si>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</si>
  <si>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</si>
  <si>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</si>
  <si>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</si>
  <si>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</si>
  <si>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</si>
  <si>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</si>
  <si>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</si>
  <si>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</si>
  <si>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</si>
  <si>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</si>
  <si>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</si>
  <si>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</si>
  <si>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</si>
  <si>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</si>
  <si>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</si>
  <si>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</si>
  <si>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</si>
  <si>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</si>
  <si>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</si>
  <si>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</si>
  <si>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</si>
  <si>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</si>
  <si>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</si>
  <si>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</si>
  <si>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</si>
  <si>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</si>
  <si>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</si>
  <si>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</si>
  <si>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</si>
  <si>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</si>
  <si>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</si>
  <si>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</si>
  <si>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</si>
  <si>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</si>
  <si>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</si>
  <si>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</si>
  <si>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</si>
  <si>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</si>
  <si>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</si>
  <si>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</si>
  <si>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</si>
  <si>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</si>
  <si>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</si>
  <si>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</si>
  <si>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</si>
  <si>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</si>
  <si>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</si>
  <si>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</si>
  <si>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</si>
  <si>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</si>
  <si>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</si>
  <si>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</si>
  <si>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</si>
  <si>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</si>
  <si>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</si>
  <si>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</si>
  <si>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</si>
  <si>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</si>
  <si>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</si>
  <si>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</si>
  <si>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</si>
  <si>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</si>
  <si>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</si>
  <si>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</si>
  <si>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</si>
  <si>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</si>
  <si>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</si>
  <si>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</si>
  <si>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</si>
  <si>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</si>
  <si>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</si>
  <si>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</si>
  <si>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</si>
  <si>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</si>
  <si>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</si>
  <si>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</si>
  <si>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</si>
  <si>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</si>
  <si>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</si>
  <si>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</si>
  <si>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</si>
  <si>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</si>
  <si>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</si>
  <si>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</si>
  <si>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</si>
  <si>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</si>
  <si>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</si>
  <si>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</si>
  <si>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</si>
  <si>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</si>
  <si>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</si>
  <si>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</si>
  <si>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</si>
  <si>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</si>
  <si>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</si>
  <si>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</si>
  <si>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</si>
  <si>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</si>
  <si>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</si>
  <si>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</si>
  <si>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</si>
  <si>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</si>
  <si>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</si>
  <si>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</si>
  <si>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</si>
  <si>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</si>
  <si>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</si>
  <si>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</si>
  <si>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</si>
  <si>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</si>
  <si>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</si>
  <si>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</si>
  <si>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</si>
  <si>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</si>
  <si>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</si>
  <si>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</si>
  <si>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</si>
  <si>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</si>
  <si>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</si>
  <si>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</si>
  <si>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</si>
  <si>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</si>
  <si>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</si>
  <si>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</si>
  <si>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</si>
  <si>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</si>
  <si>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</si>
  <si>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</si>
  <si>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</si>
  <si>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</si>
  <si>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</si>
  <si>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</si>
  <si>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</si>
  <si>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</si>
  <si>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</si>
  <si>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</si>
  <si>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</si>
  <si>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</si>
  <si>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</si>
  <si>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</si>
  <si>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</si>
  <si>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</si>
  <si>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</si>
  <si>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</si>
  <si>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</si>
  <si>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</si>
  <si>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</si>
  <si>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</si>
  <si>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</si>
  <si>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</si>
  <si>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</si>
  <si>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</si>
  <si>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</si>
  <si>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</si>
  <si>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</si>
  <si>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</si>
  <si>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</si>
  <si>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</si>
  <si>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</si>
  <si>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</si>
  <si>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</si>
  <si>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</si>
  <si>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</si>
  <si>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</si>
  <si>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</si>
  <si>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</si>
  <si>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</si>
  <si>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</si>
  <si>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</si>
  <si>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</si>
  <si>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</si>
  <si>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</si>
  <si>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</si>
  <si>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</si>
  <si>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</si>
  <si>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</si>
  <si>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</si>
  <si>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</si>
  <si>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</si>
  <si>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</si>
  <si>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</si>
  <si>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</si>
  <si>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</si>
  <si>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</si>
  <si>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</si>
  <si>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</si>
  <si>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</si>
  <si>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</si>
  <si>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</si>
  <si>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</si>
  <si>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</si>
  <si>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</si>
  <si>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</si>
  <si>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</si>
  <si>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</si>
  <si>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</si>
  <si>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</si>
  <si>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</si>
  <si>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</si>
  <si>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</si>
  <si>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</si>
  <si>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</si>
  <si>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</si>
  <si>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</si>
  <si>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</si>
  <si>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</si>
  <si>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</si>
  <si>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</si>
  <si>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</si>
  <si>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</si>
  <si>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</si>
  <si>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</si>
  <si>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</si>
  <si>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</si>
  <si>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</si>
  <si>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</si>
  <si>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</si>
  <si>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</si>
  <si>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</si>
  <si>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</si>
  <si>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</si>
  <si>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</si>
  <si>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</si>
  <si>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</si>
  <si>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</si>
  <si>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</si>
  <si>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</si>
  <si>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</si>
  <si>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</si>
  <si>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</si>
  <si>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</si>
  <si>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</si>
  <si>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</si>
  <si>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</si>
  <si>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</si>
  <si>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</si>
  <si>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</si>
  <si>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</si>
  <si>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</si>
  <si>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</si>
  <si>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</si>
  <si>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</si>
  <si>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</si>
  <si>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</si>
  <si>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</si>
  <si>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</si>
  <si>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</si>
  <si>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</si>
  <si>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</si>
  <si>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</si>
  <si>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</si>
  <si>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</si>
  <si>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</si>
  <si>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</si>
  <si>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</si>
  <si>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</si>
  <si>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</si>
  <si>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</si>
  <si>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</si>
  <si>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</si>
  <si>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</si>
  <si>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</si>
  <si>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</si>
  <si>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</si>
  <si>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</si>
  <si>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</si>
  <si>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</si>
  <si>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</si>
  <si>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</si>
  <si>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</si>
  <si>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</si>
  <si>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</si>
  <si>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</si>
  <si>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</si>
  <si>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</si>
  <si>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</si>
  <si>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</si>
  <si>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</si>
  <si>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</si>
  <si>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</si>
  <si>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</si>
  <si>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</si>
  <si>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</si>
  <si>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</si>
  <si>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</si>
  <si>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</si>
  <si>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</si>
  <si>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</si>
  <si>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</si>
  <si>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</si>
  <si>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</si>
  <si>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</si>
  <si>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</si>
  <si>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</si>
  <si>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</si>
  <si>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</si>
  <si>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</si>
  <si>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</si>
  <si>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</si>
  <si>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</si>
  <si>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</si>
  <si>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</si>
  <si>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</si>
  <si>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</si>
  <si>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</si>
  <si>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</si>
  <si>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</si>
  <si>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</si>
  <si>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</si>
  <si>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</si>
  <si>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</si>
  <si>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</si>
  <si>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</si>
  <si>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</si>
  <si>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</si>
  <si>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</si>
  <si>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</si>
  <si>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</si>
  <si>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</si>
  <si>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</si>
  <si>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</si>
  <si>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</si>
  <si>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</si>
  <si>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</si>
  <si>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</si>
  <si>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</si>
  <si>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</si>
  <si>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</si>
  <si>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</si>
  <si>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</si>
  <si>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</si>
  <si>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</si>
  <si>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</si>
  <si>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</si>
  <si>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</si>
  <si>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</si>
  <si>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</si>
  <si>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</si>
  <si>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</si>
  <si>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</si>
  <si>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</si>
  <si>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</si>
  <si>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</si>
  <si>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</si>
  <si>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</si>
  <si>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</si>
  <si>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</si>
  <si>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</si>
  <si>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</si>
  <si>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</si>
  <si>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</si>
  <si>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</si>
  <si>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</si>
  <si>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</si>
  <si>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</si>
  <si>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</si>
  <si>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</si>
  <si>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</si>
  <si>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</si>
  <si>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</si>
  <si>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</si>
  <si>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</si>
  <si>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</si>
  <si>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</si>
  <si>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</si>
  <si>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</si>
  <si>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</si>
  <si>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</si>
  <si>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</si>
  <si>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</si>
  <si>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</si>
  <si>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</si>
  <si>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</si>
  <si>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</si>
  <si>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</si>
  <si>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</si>
  <si>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</si>
  <si>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</si>
  <si>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</si>
  <si>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</si>
  <si>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</si>
  <si>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</si>
  <si>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</si>
  <si>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</si>
  <si>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</si>
  <si>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</si>
  <si>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</si>
  <si>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</si>
  <si>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</si>
  <si>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</si>
  <si>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</si>
  <si>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</si>
  <si>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</si>
  <si>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</si>
  <si>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</si>
  <si>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</si>
  <si>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</si>
  <si>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</si>
  <si>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</si>
  <si>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</si>
  <si>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</si>
  <si>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</si>
  <si>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</si>
  <si>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</si>
  <si>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</si>
  <si>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</si>
  <si>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</si>
  <si>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</si>
  <si>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</si>
  <si>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</si>
  <si>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</si>
  <si>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</si>
  <si>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</si>
  <si>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</si>
  <si>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</si>
  <si>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</si>
  <si>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</si>
  <si>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</si>
  <si>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</si>
  <si>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</si>
  <si>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</si>
  <si>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</si>
  <si>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</si>
  <si>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</si>
  <si>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</si>
  <si>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</si>
  <si>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</si>
  <si>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</si>
  <si>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</si>
  <si>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</si>
  <si>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</si>
  <si>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</si>
  <si>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</si>
  <si>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</si>
  <si>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</si>
  <si>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</si>
  <si>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</si>
  <si>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</si>
  <si>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</si>
  <si>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</si>
  <si>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</si>
  <si>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</si>
  <si>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</si>
  <si>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</si>
  <si>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</si>
  <si>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</si>
  <si>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</si>
  <si>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</si>
  <si>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</si>
  <si>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</si>
  <si>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</si>
  <si>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</si>
  <si>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</si>
  <si>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</si>
  <si>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</si>
  <si>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</si>
  <si>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</si>
  <si>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</si>
  <si>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</si>
  <si>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</si>
  <si>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</si>
  <si>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</si>
  <si>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</si>
  <si>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</si>
  <si>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</si>
  <si>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</si>
  <si>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</si>
  <si>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</si>
  <si>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</si>
  <si>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</si>
  <si>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</si>
  <si>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</si>
  <si>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</si>
  <si>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</si>
  <si>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</si>
  <si>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</si>
  <si>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</si>
  <si>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</si>
  <si>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</si>
  <si>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</si>
  <si>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</si>
  <si>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</si>
  <si>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</si>
  <si>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</si>
  <si>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</si>
  <si>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</si>
  <si>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</si>
  <si>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</si>
  <si>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</si>
  <si>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</si>
  <si>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</si>
  <si>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</si>
  <si>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</si>
  <si>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</si>
  <si>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</si>
  <si>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</si>
  <si>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</si>
  <si>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</si>
  <si>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</si>
  <si>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</si>
  <si>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</si>
  <si>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</si>
  <si>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</si>
  <si>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</si>
  <si>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</si>
  <si>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</si>
  <si>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</si>
  <si>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</si>
  <si>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</si>
  <si>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</si>
  <si>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</si>
  <si>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</si>
  <si>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</si>
  <si>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</si>
  <si>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</si>
  <si>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</si>
  <si>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</si>
  <si>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</si>
  <si>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</si>
  <si>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</si>
  <si>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</si>
  <si>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</si>
  <si>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</si>
  <si>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</si>
  <si>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</si>
  <si>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</si>
  <si>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</si>
  <si>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</si>
  <si>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</si>
  <si>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</si>
  <si>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</si>
  <si>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</si>
  <si>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</si>
  <si>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</si>
  <si>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</si>
  <si>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</si>
  <si>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</si>
  <si>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</si>
  <si>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</si>
  <si>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</si>
  <si>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</si>
  <si>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</si>
  <si>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</si>
  <si>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</si>
  <si>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</si>
  <si>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</si>
  <si>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</si>
  <si>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</si>
  <si>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</si>
  <si>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</si>
  <si>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</si>
  <si>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</si>
  <si>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</si>
  <si>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</si>
  <si>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</si>
  <si>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</si>
  <si>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</si>
  <si>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</si>
  <si>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</si>
  <si>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</si>
  <si>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</si>
  <si>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</si>
  <si>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</si>
  <si>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</si>
  <si>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</si>
  <si>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</si>
  <si>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</si>
  <si>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</si>
  <si>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</si>
  <si>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</si>
  <si>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</si>
  <si>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</si>
  <si>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</si>
  <si>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</si>
  <si>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</si>
  <si>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</si>
  <si>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</si>
  <si>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</si>
  <si>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</si>
  <si>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</si>
  <si>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</si>
  <si>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</si>
  <si>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</si>
  <si>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</si>
  <si>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</si>
  <si>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</si>
  <si>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</si>
  <si>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</si>
  <si>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</si>
  <si>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</si>
  <si>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</si>
  <si>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</si>
  <si>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</si>
  <si>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</si>
  <si>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</si>
  <si>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</si>
  <si>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</si>
  <si>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</si>
  <si>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</si>
  <si>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</si>
  <si>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</si>
  <si>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</si>
  <si>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</si>
  <si>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</si>
  <si>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</si>
  <si>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</si>
  <si>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</si>
  <si>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</si>
  <si>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</si>
  <si>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</si>
  <si>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</si>
  <si>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</si>
  <si>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</si>
  <si>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</si>
  <si>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</si>
  <si>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</si>
  <si>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</si>
  <si>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</si>
  <si>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</si>
  <si>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</si>
  <si>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</si>
  <si>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</si>
  <si>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</si>
  <si>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</si>
  <si>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</si>
  <si>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</si>
  <si>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</si>
  <si>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</si>
  <si>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</si>
  <si>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</si>
  <si>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</si>
  <si>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</si>
  <si>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</si>
  <si>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</si>
  <si>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</si>
  <si>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</si>
  <si>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</si>
  <si>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</si>
  <si>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</si>
  <si>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</si>
  <si>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</si>
  <si>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</si>
  <si>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</si>
  <si>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</si>
  <si>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</si>
  <si>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</si>
  <si>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</si>
  <si>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</si>
  <si>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</si>
  <si>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</si>
  <si>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</si>
  <si>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</si>
  <si>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</si>
  <si>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</si>
  <si>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</si>
  <si>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</si>
  <si>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</si>
  <si>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</si>
  <si>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</si>
  <si>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</si>
  <si>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</si>
  <si>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</si>
  <si>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</si>
  <si>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</si>
  <si>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</si>
  <si>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</si>
  <si>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</si>
  <si>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</si>
  <si>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</si>
  <si>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</si>
  <si>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</si>
  <si>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</si>
  <si>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</si>
  <si>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</si>
  <si>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</si>
  <si>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</si>
  <si>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</si>
  <si>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</si>
  <si>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</si>
  <si>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</si>
  <si>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</si>
  <si>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</si>
  <si>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</si>
  <si>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</si>
  <si>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</si>
  <si>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</si>
  <si>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</si>
  <si>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</si>
  <si>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</si>
  <si>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</si>
  <si>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</si>
  <si>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</si>
  <si>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</si>
  <si>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</si>
  <si>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</si>
  <si>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</si>
  <si>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</si>
  <si>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</si>
  <si>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</si>
  <si>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</si>
  <si>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</si>
  <si>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</si>
  <si>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</si>
  <si>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</si>
  <si>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</si>
  <si>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</si>
  <si>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</si>
  <si>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</si>
  <si>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</si>
  <si>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</si>
  <si>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</si>
  <si>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</si>
  <si>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</si>
  <si>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</si>
  <si>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</si>
  <si>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</si>
  <si>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</si>
  <si>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</si>
  <si>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</si>
  <si>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</si>
  <si>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</si>
  <si>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</si>
  <si>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</si>
  <si>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</si>
  <si>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</si>
  <si>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</si>
  <si>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</si>
  <si>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</si>
  <si>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</si>
  <si>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</si>
  <si>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</si>
  <si>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</si>
  <si>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</si>
  <si>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</si>
  <si>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</si>
  <si>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</si>
  <si>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</si>
  <si>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</si>
  <si>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</si>
  <si>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</si>
  <si>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</si>
  <si>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</si>
  <si>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</si>
  <si>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</si>
  <si>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</si>
  <si>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</si>
  <si>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</si>
  <si>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</si>
  <si>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</si>
  <si>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</si>
  <si>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</si>
  <si>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</si>
  <si>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</si>
  <si>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</si>
  <si>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</si>
  <si>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</si>
  <si>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</si>
  <si>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</si>
  <si>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</si>
  <si>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</si>
  <si>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</si>
  <si>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</si>
  <si>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</si>
  <si>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</si>
  <si>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</si>
  <si>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</si>
  <si>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</si>
  <si>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</si>
  <si>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</si>
  <si>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</si>
  <si>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</si>
  <si>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</si>
  <si>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</si>
  <si>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</si>
  <si>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</si>
  <si>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</si>
  <si>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</si>
  <si>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</si>
  <si>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</si>
  <si>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</si>
  <si>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</si>
  <si>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</si>
  <si>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</si>
  <si>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</si>
  <si>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</si>
  <si>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</si>
  <si>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</si>
  <si>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</si>
  <si>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</si>
  <si>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</si>
  <si>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</si>
  <si>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</si>
  <si>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</si>
  <si>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</si>
  <si>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</si>
  <si>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</si>
  <si>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</si>
  <si>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</si>
  <si>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</si>
  <si>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</si>
  <si>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</si>
  <si>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</si>
  <si>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</si>
  <si>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</si>
  <si>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</si>
  <si>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</si>
  <si>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</si>
  <si>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</si>
  <si>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</si>
  <si>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</si>
  <si>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</si>
  <si>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</si>
  <si>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</si>
  <si>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</si>
  <si>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</si>
  <si>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</si>
  <si>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</si>
  <si>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</si>
  <si>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</si>
  <si>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</si>
  <si>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</si>
  <si>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</si>
  <si>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</si>
  <si>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</si>
  <si>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</si>
  <si>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</si>
  <si>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</si>
  <si>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</si>
  <si>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</si>
  <si>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</si>
  <si>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</si>
  <si>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</si>
  <si>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</si>
  <si>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</si>
  <si>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</si>
  <si>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</si>
  <si>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</si>
  <si>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</si>
  <si>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</si>
  <si>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</si>
  <si>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</si>
  <si>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</si>
  <si>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</si>
  <si>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</si>
  <si>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</si>
  <si>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</si>
  <si>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</si>
  <si>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</si>
  <si>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</si>
  <si>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</si>
  <si>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</si>
  <si>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</si>
  <si>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</si>
  <si>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</si>
  <si>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</si>
  <si>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</si>
  <si>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</si>
  <si>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</si>
  <si>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</si>
  <si>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</si>
  <si>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</si>
  <si>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</si>
  <si>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</si>
  <si>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</si>
  <si>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</si>
  <si>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</si>
  <si>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</si>
  <si>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</si>
  <si>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</si>
  <si>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</si>
  <si>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</si>
  <si>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</si>
  <si>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</si>
  <si>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</si>
  <si>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</si>
  <si>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</si>
  <si>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</si>
  <si>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</si>
  <si>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</si>
  <si>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</si>
  <si>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</si>
  <si>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</si>
  <si>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</si>
  <si>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</si>
  <si>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</si>
  <si>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</si>
  <si>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</si>
  <si>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</si>
  <si>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</si>
  <si>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</si>
  <si>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</si>
  <si>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</si>
  <si>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</si>
  <si>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</si>
  <si>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</si>
  <si>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</si>
  <si>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</si>
  <si>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</si>
  <si>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</si>
  <si>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</si>
  <si>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</si>
  <si>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</si>
  <si>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</si>
  <si>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</si>
  <si>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</si>
  <si>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</si>
  <si>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</si>
  <si>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</si>
  <si>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</si>
  <si>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</si>
  <si>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</si>
  <si>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</si>
  <si>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</si>
  <si>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</si>
  <si>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</si>
  <si>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</si>
  <si>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</si>
  <si>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</si>
  <si>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</si>
  <si>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</si>
  <si>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</si>
  <si>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</si>
  <si>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</si>
  <si>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</si>
  <si>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</si>
  <si>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</si>
  <si>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</si>
  <si>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</si>
  <si>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</si>
  <si>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</si>
  <si>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</si>
  <si>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</si>
  <si>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</si>
  <si>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</si>
  <si>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</si>
  <si>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</si>
  <si>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</si>
  <si>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</si>
  <si>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</si>
  <si>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</si>
  <si>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</si>
  <si>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</si>
  <si>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</si>
  <si>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</si>
  <si>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</si>
  <si>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</si>
  <si>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</si>
  <si>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</si>
  <si>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</si>
  <si>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</si>
  <si>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</si>
  <si>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</si>
  <si>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</si>
  <si>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</si>
  <si>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</si>
  <si>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</si>
  <si>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</si>
  <si>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</si>
  <si>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</si>
  <si>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</si>
  <si>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</si>
  <si>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</si>
  <si>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</si>
  <si>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</si>
  <si>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</si>
  <si>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</si>
  <si>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</si>
  <si>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</si>
  <si>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</si>
  <si>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</si>
  <si>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</si>
  <si>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</si>
  <si>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</si>
  <si>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</si>
  <si>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</si>
  <si>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</si>
  <si>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</si>
  <si>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</si>
  <si>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</si>
  <si>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</si>
  <si>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</si>
  <si>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</si>
  <si>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</si>
  <si>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</si>
  <si>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</si>
  <si>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</si>
  <si>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</si>
  <si>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</si>
  <si>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</si>
  <si>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</si>
  <si>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</si>
  <si>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</si>
  <si>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</si>
  <si>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</si>
  <si>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</si>
  <si>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</si>
  <si>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</si>
  <si>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</si>
  <si>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</si>
  <si>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</si>
  <si>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</si>
  <si>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</si>
  <si>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</si>
  <si>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</si>
  <si>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</si>
  <si>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</si>
  <si>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</si>
  <si>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</si>
  <si>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</si>
  <si>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</si>
  <si>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</si>
  <si>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</si>
  <si>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</si>
  <si>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</si>
  <si>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</si>
  <si>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</si>
  <si>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</si>
  <si>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</si>
  <si>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</si>
  <si>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</si>
  <si>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</si>
  <si>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</si>
  <si>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</si>
  <si>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</si>
  <si>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</si>
  <si>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</si>
  <si>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</si>
  <si>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</si>
  <si>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</si>
  <si>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</si>
  <si>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</si>
  <si>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</si>
  <si>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</si>
  <si>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</si>
  <si>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</si>
  <si>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</si>
  <si>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</si>
  <si>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</si>
  <si>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</si>
  <si>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</si>
  <si>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</si>
  <si>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</si>
  <si>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</si>
  <si>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</si>
  <si>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</si>
  <si>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</si>
  <si>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</si>
  <si>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</si>
  <si>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</si>
  <si>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</si>
  <si>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</si>
  <si>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</si>
  <si>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</si>
  <si>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</si>
  <si>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</si>
  <si>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</si>
  <si>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</si>
  <si>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</si>
  <si>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</si>
  <si>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</si>
  <si>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</si>
  <si>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</si>
  <si>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</si>
  <si>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</si>
  <si>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</si>
  <si>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</si>
  <si>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</si>
  <si>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</si>
  <si>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</si>
  <si>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</si>
  <si>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</si>
  <si>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</si>
  <si>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</si>
  <si>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</si>
  <si>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</si>
  <si>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</si>
  <si>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</si>
  <si>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</si>
  <si>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</si>
  <si>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</si>
  <si>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</si>
  <si>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</si>
  <si>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</si>
  <si>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</si>
  <si>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</si>
  <si>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</si>
  <si>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</si>
  <si>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</si>
  <si>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</si>
  <si>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</si>
  <si>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</si>
  <si>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</si>
  <si>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</si>
  <si>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</si>
  <si>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</si>
  <si>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</si>
  <si>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</si>
  <si>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</si>
  <si>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</si>
  <si>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</si>
  <si>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</si>
  <si>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</si>
  <si>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</si>
  <si>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</si>
  <si>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</si>
  <si>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</si>
  <si>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</si>
  <si>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</si>
  <si>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</si>
  <si>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</si>
  <si>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</si>
  <si>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</si>
  <si>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</si>
  <si>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</si>
  <si>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</si>
  <si>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</si>
  <si>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</si>
  <si>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</si>
  <si>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</si>
  <si>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</si>
  <si>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</si>
  <si>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</si>
  <si>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</si>
  <si>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</si>
  <si>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</si>
  <si>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</si>
  <si>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</si>
  <si>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</si>
  <si>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</si>
  <si>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</si>
  <si>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</si>
  <si>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</si>
  <si>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</si>
  <si>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</si>
  <si>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</si>
  <si>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</si>
  <si>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</si>
  <si>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</si>
  <si>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</si>
  <si>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</si>
  <si>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</si>
  <si>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</si>
  <si>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</si>
  <si>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</si>
  <si>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</si>
  <si>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</si>
  <si>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</si>
  <si>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</si>
  <si>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</si>
  <si>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</si>
  <si>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</si>
  <si>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</si>
  <si>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</si>
  <si>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</si>
  <si>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</si>
  <si>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</si>
  <si>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</si>
  <si>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</si>
  <si>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</si>
  <si>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</si>
  <si>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</si>
  <si>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</si>
  <si>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</si>
  <si>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</si>
  <si>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</si>
  <si>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</si>
  <si>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</si>
  <si>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</si>
  <si>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</si>
  <si>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</si>
  <si>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</si>
  <si>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</si>
  <si>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</si>
  <si>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</si>
  <si>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</si>
  <si>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</si>
  <si>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</si>
  <si>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</si>
  <si>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</si>
  <si>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</si>
  <si>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</si>
  <si>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</si>
  <si>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</si>
  <si>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</si>
  <si>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</si>
  <si>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</si>
  <si>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</si>
  <si>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</si>
  <si>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</si>
  <si>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</si>
  <si>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</si>
  <si>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</si>
  <si>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</si>
  <si>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</si>
  <si>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</si>
  <si>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</si>
  <si>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</si>
  <si>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</si>
  <si>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</si>
  <si>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</si>
  <si>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</si>
  <si>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</si>
  <si>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</si>
  <si>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</si>
  <si>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</si>
  <si>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</si>
  <si>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</si>
  <si>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</si>
  <si>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</si>
  <si>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</si>
  <si>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</si>
  <si>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</si>
  <si>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</si>
  <si>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</si>
  <si>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</si>
  <si>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</si>
  <si>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</si>
  <si>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</si>
  <si>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</si>
  <si>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</si>
  <si>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</si>
  <si>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</si>
  <si>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</si>
  <si>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</si>
  <si>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</si>
  <si>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</si>
  <si>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</si>
  <si>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</si>
  <si>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</si>
  <si>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</si>
  <si>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</si>
  <si>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</si>
  <si>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</si>
  <si>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</si>
  <si>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</si>
  <si>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</si>
  <si>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</si>
  <si>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</si>
  <si>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</si>
  <si>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</si>
  <si>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</si>
  <si>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</si>
  <si>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</si>
  <si>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</si>
  <si>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</si>
  <si>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</si>
  <si>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</si>
  <si>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</si>
  <si>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</si>
  <si>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</si>
  <si>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</si>
  <si>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</si>
  <si>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</si>
  <si>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</si>
  <si>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</si>
  <si>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</si>
  <si>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</si>
  <si>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</si>
  <si>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</si>
  <si>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</si>
  <si>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</si>
  <si>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</si>
  <si>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</si>
  <si>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</si>
  <si>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</si>
  <si>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</si>
  <si>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</si>
  <si>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</si>
  <si>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</si>
  <si>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</si>
  <si>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</si>
  <si>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</si>
  <si>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</si>
  <si>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</si>
  <si>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</si>
  <si>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</si>
  <si>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</si>
  <si>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</si>
  <si>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</si>
  <si>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</si>
  <si>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</si>
  <si>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</si>
  <si>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</si>
  <si>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</si>
  <si>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</si>
  <si>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</si>
  <si>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</si>
  <si>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</si>
  <si>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</si>
  <si>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</si>
  <si>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</si>
  <si>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</si>
  <si>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</si>
  <si>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</si>
  <si>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</si>
  <si>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</si>
  <si>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</si>
  <si>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</si>
  <si>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</si>
  <si>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</si>
  <si>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</si>
  <si>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</si>
  <si>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</si>
  <si>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</si>
  <si>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</si>
  <si>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</si>
  <si>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</si>
  <si>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</si>
  <si>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</si>
  <si>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</si>
  <si>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</si>
  <si>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</si>
  <si>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</si>
  <si>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</si>
  <si>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</si>
  <si>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</si>
  <si>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</si>
  <si>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</si>
  <si>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</si>
  <si>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</si>
  <si>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</si>
  <si>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</si>
  <si>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</si>
  <si>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</si>
  <si>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</si>
  <si>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</si>
  <si>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</si>
  <si>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</si>
  <si>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</si>
  <si>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</si>
  <si>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</si>
  <si>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</si>
  <si>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</si>
  <si>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</si>
  <si>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</si>
  <si>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</si>
  <si>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</si>
  <si>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</si>
  <si>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</si>
  <si>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</si>
  <si>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</si>
  <si>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</si>
  <si>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</si>
  <si>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</si>
  <si>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</si>
  <si>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</si>
  <si>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</si>
  <si>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</si>
  <si>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</si>
  <si>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</si>
  <si>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</si>
  <si>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</si>
  <si>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</si>
  <si>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</si>
  <si>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</si>
  <si>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</si>
  <si>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</si>
  <si>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</si>
  <si>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</si>
  <si>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</si>
  <si>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</si>
  <si>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</si>
  <si>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</si>
  <si>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</si>
  <si>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</si>
  <si>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</si>
  <si>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</si>
  <si>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</si>
  <si>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</si>
  <si>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</si>
  <si>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</si>
  <si>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</si>
  <si>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</si>
  <si>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</si>
  <si>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</si>
  <si>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</si>
  <si>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</si>
  <si>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</si>
  <si>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</si>
  <si>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</si>
  <si>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</si>
  <si>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</si>
  <si>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</si>
  <si>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</si>
  <si>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</si>
  <si>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</si>
  <si>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</si>
  <si>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</si>
  <si>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</si>
  <si>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</si>
  <si>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</si>
  <si>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</si>
  <si>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</si>
  <si>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</si>
  <si>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</si>
  <si>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</si>
  <si>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</si>
  <si>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</si>
  <si>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</si>
  <si>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</si>
  <si>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</si>
  <si>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</si>
  <si>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</si>
  <si>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</si>
  <si>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</si>
  <si>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</si>
  <si>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</si>
  <si>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</si>
  <si>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</si>
  <si>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</si>
  <si>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</si>
  <si>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</si>
  <si>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</si>
  <si>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</si>
  <si>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</si>
  <si>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</si>
  <si>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</si>
  <si>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</si>
  <si>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</si>
  <si>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</si>
  <si>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</si>
  <si>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</si>
  <si>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</si>
  <si>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</si>
  <si>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</si>
  <si>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</si>
  <si>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</si>
  <si>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</si>
  <si>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</si>
  <si>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</si>
  <si>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</si>
  <si>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</si>
  <si>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</si>
  <si>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</si>
  <si>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</si>
  <si>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</si>
  <si>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</si>
  <si>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</si>
  <si>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</si>
  <si>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</si>
  <si>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</si>
  <si>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</si>
  <si>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</si>
  <si>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</si>
  <si>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</si>
  <si>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</si>
  <si>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</si>
  <si>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</si>
  <si>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</si>
  <si>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</si>
  <si>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</si>
  <si>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</si>
  <si>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</si>
  <si>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</si>
  <si>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</si>
  <si>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</si>
  <si>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</si>
  <si>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</si>
  <si>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</si>
  <si>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</si>
  <si>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</si>
  <si>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</si>
  <si>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</si>
  <si>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</si>
  <si>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</si>
  <si>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</si>
  <si>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</si>
  <si>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</si>
  <si>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</si>
  <si>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</si>
  <si>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</si>
  <si>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</si>
  <si>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</si>
  <si>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</si>
  <si>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</si>
  <si>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</si>
  <si>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</si>
  <si>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</si>
  <si>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</si>
  <si>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</si>
  <si>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</si>
  <si>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</si>
  <si>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</si>
  <si>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</si>
  <si>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</si>
  <si>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</si>
  <si>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</si>
  <si>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</si>
  <si>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</si>
  <si>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</si>
  <si>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</si>
  <si>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</si>
  <si>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</si>
  <si>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</si>
  <si>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</si>
  <si>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</si>
  <si>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</si>
  <si>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</si>
  <si>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</si>
  <si>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</si>
  <si>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</si>
  <si>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</si>
  <si>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</si>
  <si>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</si>
  <si>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</si>
  <si>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</si>
  <si>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</si>
  <si>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</si>
  <si>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</si>
  <si>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</si>
  <si>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</si>
  <si>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</si>
  <si>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</si>
  <si>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</si>
  <si>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</si>
  <si>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</si>
  <si>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</si>
  <si>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</si>
  <si>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</si>
  <si>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</si>
  <si>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</si>
  <si>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</si>
  <si>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</si>
  <si>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</si>
  <si>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</si>
  <si>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</si>
  <si>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</si>
  <si>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</si>
  <si>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</si>
  <si>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</si>
  <si>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</si>
  <si>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</si>
  <si>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</si>
  <si>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</si>
  <si>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</si>
  <si>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</si>
  <si>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</si>
  <si>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</si>
  <si>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</si>
  <si>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</si>
  <si>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</si>
  <si>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</si>
  <si>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</si>
  <si>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</si>
  <si>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</si>
  <si>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</si>
  <si>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</si>
  <si>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</si>
  <si>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</si>
  <si>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</si>
  <si>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</si>
  <si>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</si>
  <si>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</si>
  <si>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</si>
  <si>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</si>
  <si>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</si>
  <si>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</si>
  <si>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</si>
  <si>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</si>
  <si>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</si>
  <si>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</si>
  <si>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</si>
  <si>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</si>
  <si>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</si>
  <si>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</si>
  <si>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</si>
  <si>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</si>
  <si>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</si>
  <si>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</si>
  <si>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</si>
  <si>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</si>
  <si>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</si>
  <si>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</si>
  <si>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</si>
  <si>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</si>
  <si>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</si>
  <si>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</si>
  <si>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</si>
  <si>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</si>
  <si>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</si>
  <si>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</si>
  <si>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</si>
  <si>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</si>
  <si>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</si>
  <si>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</si>
  <si>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</si>
  <si>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</si>
  <si>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</si>
  <si>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</si>
  <si>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</si>
  <si>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</si>
  <si>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</si>
  <si>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</si>
  <si>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</si>
  <si>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</si>
  <si>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</si>
  <si>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</si>
  <si>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</si>
  <si>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</si>
  <si>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</si>
  <si>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</si>
  <si>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</si>
  <si>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</si>
  <si>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</si>
  <si>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</si>
  <si>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</si>
  <si>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</si>
  <si>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</si>
  <si>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</si>
  <si>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</si>
  <si>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</si>
  <si>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</si>
  <si>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</si>
  <si>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</si>
  <si>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</si>
  <si>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</si>
  <si>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</si>
  <si>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</si>
  <si>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</si>
  <si>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</si>
  <si>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</si>
  <si>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</si>
  <si>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</si>
  <si>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</si>
  <si>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</si>
  <si>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</si>
  <si>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</si>
  <si>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</si>
  <si>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</si>
  <si>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</si>
  <si>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</si>
  <si>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</si>
  <si>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</si>
  <si>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</si>
  <si>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</si>
  <si>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</si>
  <si>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</si>
  <si>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</si>
  <si>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</si>
  <si>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</si>
  <si>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</si>
  <si>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</si>
  <si>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</si>
  <si>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</si>
  <si>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</si>
  <si>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</si>
  <si>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</si>
  <si>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</si>
  <si>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</si>
  <si>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</si>
  <si>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</si>
  <si>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</si>
  <si>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</si>
  <si>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</si>
  <si>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</si>
  <si>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</si>
  <si>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</si>
  <si>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</si>
  <si>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</si>
  <si>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</si>
  <si>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</si>
  <si>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</si>
  <si>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</si>
  <si>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</si>
  <si>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</si>
  <si>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</si>
  <si>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</si>
  <si>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</si>
  <si>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</si>
  <si>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</si>
  <si>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</si>
  <si>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</si>
  <si>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</si>
  <si>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</si>
  <si>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</si>
  <si>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</si>
  <si>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</si>
  <si>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</si>
  <si>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</si>
  <si>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</si>
  <si>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</si>
  <si>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</si>
  <si>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</si>
  <si>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</si>
  <si>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</si>
  <si>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</si>
  <si>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</si>
  <si>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</si>
  <si>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</si>
  <si>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</si>
  <si>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</si>
  <si>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</si>
  <si>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</si>
  <si>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</si>
  <si>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</si>
  <si>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</si>
  <si>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</si>
  <si>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</si>
  <si>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</si>
  <si>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</si>
  <si>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</si>
  <si>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</si>
  <si>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</si>
  <si>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</si>
  <si>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</si>
  <si>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</si>
  <si>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</si>
  <si>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</si>
  <si>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</si>
  <si>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</si>
  <si>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</si>
  <si>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</si>
  <si>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</si>
  <si>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</si>
  <si>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</si>
  <si>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</si>
  <si>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</si>
  <si>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</si>
  <si>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</si>
  <si>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</si>
  <si>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</si>
  <si>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</si>
  <si>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</si>
  <si>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</si>
  <si>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</si>
  <si>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</si>
  <si>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</si>
  <si>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</si>
  <si>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</si>
  <si>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</si>
  <si>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</si>
  <si>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</si>
  <si>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</si>
  <si>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</si>
  <si>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</si>
  <si>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</si>
  <si>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</si>
  <si>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</si>
  <si>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</si>
  <si>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</si>
  <si>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</si>
  <si>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</si>
  <si>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</si>
  <si>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</si>
  <si>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</si>
  <si>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</si>
  <si>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</si>
  <si>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</si>
  <si>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</si>
  <si>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</si>
  <si>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</si>
  <si>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</si>
  <si>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</si>
  <si>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</si>
  <si>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</si>
  <si>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</si>
  <si>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</si>
  <si>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</si>
  <si>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</si>
  <si>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</si>
  <si>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</si>
  <si>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</si>
  <si>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</si>
  <si>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</si>
  <si>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</si>
  <si>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</si>
  <si>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</si>
  <si>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</si>
  <si>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</si>
  <si>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</si>
  <si>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</si>
  <si>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</si>
  <si>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</si>
  <si>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</si>
  <si>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</si>
  <si>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</si>
  <si>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</si>
  <si>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</si>
  <si>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</si>
  <si>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</si>
  <si>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</si>
  <si>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</si>
  <si>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</si>
  <si>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</si>
  <si>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</si>
  <si>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</si>
  <si>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</si>
  <si>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</si>
  <si>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</si>
  <si>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</si>
  <si>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</si>
  <si>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</si>
  <si>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</si>
  <si>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</si>
  <si>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</si>
  <si>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</si>
  <si>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</si>
  <si>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</si>
  <si>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</si>
  <si>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</si>
  <si>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</si>
  <si>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</si>
  <si>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</si>
  <si>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</si>
  <si>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</si>
  <si>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</si>
  <si>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</si>
  <si>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</si>
  <si>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</si>
  <si>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</si>
  <si>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</si>
  <si>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</si>
  <si>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</si>
  <si>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</si>
  <si>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</si>
  <si>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</si>
  <si>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</si>
  <si>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</si>
  <si>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</si>
  <si>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</si>
  <si>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</si>
  <si>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</si>
  <si>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</si>
  <si>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</si>
  <si>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</si>
  <si>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</si>
  <si>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</si>
  <si>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</si>
  <si>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</si>
  <si>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</si>
  <si>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</si>
  <si>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</si>
  <si>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</si>
  <si>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</si>
  <si>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</si>
  <si>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</si>
  <si>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</si>
  <si>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</si>
  <si>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</si>
  <si>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</si>
  <si>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</si>
  <si>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</si>
  <si>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</si>
  <si>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</si>
  <si>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</si>
  <si>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</si>
  <si>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</si>
  <si>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</si>
  <si>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</si>
  <si>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</si>
  <si>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</si>
  <si>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</si>
  <si>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</si>
  <si>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</si>
  <si>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</si>
  <si>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</si>
  <si>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</si>
  <si>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</si>
  <si>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</si>
  <si>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</si>
  <si>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</si>
  <si>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</si>
  <si>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</si>
  <si>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</si>
  <si>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</si>
  <si>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</si>
  <si>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</si>
  <si>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</si>
  <si>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</si>
  <si>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</si>
  <si>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</si>
  <si>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</si>
  <si>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</si>
  <si>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</si>
  <si>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</si>
  <si>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</si>
  <si>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</si>
  <si>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</si>
  <si>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</si>
  <si>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</si>
  <si>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</si>
  <si>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</si>
  <si>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</si>
  <si>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</si>
  <si>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</si>
  <si>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</si>
  <si>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</si>
  <si>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</si>
  <si>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</si>
  <si>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</si>
  <si>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</si>
  <si>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</si>
  <si>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</si>
  <si>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</si>
  <si>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</si>
  <si>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</si>
  <si>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</si>
  <si>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</si>
  <si>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</si>
  <si>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</si>
  <si>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</si>
  <si>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</si>
  <si>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</si>
  <si>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</si>
  <si>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</si>
  <si>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</si>
  <si>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</si>
  <si>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</si>
  <si>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</si>
  <si>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</si>
  <si>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</si>
  <si>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</si>
  <si>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</si>
  <si>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</si>
  <si>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</si>
  <si>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</si>
  <si>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</si>
  <si>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</si>
  <si>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</si>
  <si>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</si>
  <si>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</si>
  <si>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</si>
  <si>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</si>
  <si>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</si>
  <si>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</si>
  <si>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</si>
  <si>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</si>
  <si>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</si>
  <si>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</si>
  <si>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</si>
  <si>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</si>
  <si>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</si>
  <si>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</si>
  <si>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</si>
  <si>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</si>
  <si>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</si>
  <si>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</si>
  <si>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</si>
  <si>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</si>
  <si>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</si>
  <si>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</si>
  <si>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</si>
  <si>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</si>
  <si>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</si>
  <si>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</si>
  <si>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</si>
  <si>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</si>
  <si>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</si>
  <si>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</si>
  <si>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</si>
  <si>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</si>
  <si>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</si>
  <si>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</si>
  <si>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</si>
  <si>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</si>
  <si>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</si>
  <si>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</si>
  <si>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</si>
  <si>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</si>
  <si>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</si>
  <si>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</si>
  <si>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</si>
  <si>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</si>
  <si>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</si>
  <si>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</si>
  <si>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</si>
  <si>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</si>
  <si>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</si>
  <si>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</si>
  <si>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</si>
  <si>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</si>
  <si>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</si>
  <si>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</si>
  <si>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</si>
  <si>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</si>
  <si>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</si>
  <si>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</si>
  <si>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</si>
  <si>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</si>
  <si>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</si>
  <si>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</si>
  <si>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</si>
  <si>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</si>
  <si>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</si>
  <si>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</si>
  <si>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</si>
  <si>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</si>
  <si>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</si>
  <si>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</si>
  <si>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</si>
  <si>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</si>
  <si>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</si>
  <si>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</si>
  <si>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</si>
  <si>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</si>
  <si>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</si>
  <si>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</si>
  <si>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</si>
  <si>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</si>
  <si>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</si>
  <si>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</si>
  <si>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</si>
  <si>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</si>
  <si>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</si>
  <si>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</si>
  <si>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</si>
  <si>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</si>
  <si>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</si>
  <si>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</si>
  <si>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</si>
  <si>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</si>
  <si>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</si>
  <si>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</si>
  <si>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</si>
  <si>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</si>
  <si>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</si>
  <si>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</si>
  <si>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</si>
  <si>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</si>
  <si>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</si>
  <si>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</si>
  <si>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</si>
  <si>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</si>
  <si>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</si>
  <si>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</si>
  <si>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</si>
  <si>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</si>
  <si>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</si>
  <si>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</si>
  <si>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</si>
  <si>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</si>
  <si>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</si>
  <si>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</si>
  <si>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</si>
  <si>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</si>
  <si>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</si>
  <si>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</si>
  <si>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</si>
  <si>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</si>
  <si>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</si>
  <si>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</si>
  <si>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</si>
  <si>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</si>
  <si>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</si>
  <si>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</si>
  <si>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</si>
  <si>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</si>
  <si>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</si>
  <si>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</si>
  <si>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</si>
  <si>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</si>
  <si>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</si>
  <si>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</si>
  <si>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</si>
  <si>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</si>
  <si>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</si>
  <si>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</si>
  <si>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</si>
  <si>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</si>
  <si>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</si>
  <si>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</si>
  <si>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</si>
  <si>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</si>
  <si>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</si>
  <si>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</si>
  <si>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</si>
  <si>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</si>
  <si>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</si>
  <si>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</si>
  <si>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</si>
  <si>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</si>
  <si>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</si>
  <si>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</si>
  <si>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</si>
  <si>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</si>
  <si>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</si>
  <si>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</si>
  <si>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</si>
  <si>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</si>
  <si>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</si>
  <si>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</si>
  <si>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</si>
  <si>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</si>
  <si>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</si>
  <si>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</si>
  <si>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</si>
  <si>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</si>
  <si>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</si>
  <si>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</si>
  <si>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</si>
  <si>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</si>
  <si>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</si>
  <si>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</si>
  <si>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</si>
  <si>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</si>
  <si>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</si>
  <si>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</si>
  <si>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</si>
  <si>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</si>
  <si>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</si>
  <si>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</si>
  <si>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</si>
  <si>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</si>
  <si>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</si>
  <si>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</si>
  <si>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</si>
  <si>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</si>
  <si>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</si>
  <si>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</si>
  <si>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</si>
  <si>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</si>
  <si>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</si>
  <si>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</si>
  <si>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</si>
  <si>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</si>
  <si>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</si>
  <si>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</si>
  <si>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</si>
  <si>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</si>
  <si>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</si>
  <si>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</si>
  <si>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</si>
  <si>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</si>
  <si>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</si>
  <si>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</si>
  <si>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</si>
  <si>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</si>
  <si>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</si>
  <si>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</si>
  <si>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</si>
  <si>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</si>
  <si>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</si>
  <si>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</si>
  <si>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</si>
  <si>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</si>
  <si>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</si>
  <si>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</si>
  <si>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</si>
  <si>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</si>
  <si>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</si>
  <si>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</si>
  <si>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</si>
  <si>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</si>
  <si>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</si>
  <si>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</si>
  <si>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</si>
  <si>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</si>
  <si>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</si>
  <si>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</si>
  <si>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</si>
  <si>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</si>
  <si>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</si>
  <si>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</si>
  <si>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</si>
  <si>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</si>
  <si>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</si>
  <si>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</si>
  <si>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</si>
  <si>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</si>
  <si>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</si>
  <si>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</si>
  <si>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</si>
  <si>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</si>
  <si>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</si>
  <si>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</si>
  <si>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</si>
  <si>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</si>
  <si>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</si>
  <si>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</si>
  <si>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</si>
  <si>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</si>
  <si>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</si>
  <si>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</si>
  <si>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</si>
  <si>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</si>
  <si>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</si>
  <si>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</si>
  <si>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</si>
  <si>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</si>
  <si>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</si>
  <si>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</si>
  <si>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</si>
  <si>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</si>
  <si>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</si>
  <si>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</si>
  <si>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</si>
  <si>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</si>
  <si>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</si>
  <si>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</si>
  <si>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</si>
  <si>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</si>
  <si>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</si>
  <si>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</si>
  <si>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</si>
  <si>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</si>
  <si>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</si>
  <si>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</si>
  <si>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</si>
  <si>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</si>
  <si>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</si>
  <si>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</si>
  <si>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</si>
  <si>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</si>
  <si>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</si>
  <si>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</si>
  <si>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</si>
  <si>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</si>
  <si>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</si>
  <si>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</si>
  <si>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</si>
  <si>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</si>
  <si>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</si>
  <si>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</si>
  <si>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</si>
  <si>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</si>
  <si>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</si>
  <si>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</si>
  <si>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</si>
  <si>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</si>
  <si>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</si>
  <si>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</si>
  <si>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</si>
  <si>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</si>
  <si>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</si>
  <si>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</si>
  <si>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</si>
  <si>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</si>
  <si>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</si>
  <si>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</si>
  <si>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</si>
  <si>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</si>
  <si>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</si>
  <si>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</si>
  <si>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</si>
  <si>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</si>
  <si>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</si>
  <si>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</si>
  <si>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</si>
  <si>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</si>
  <si>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</si>
  <si>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</si>
  <si>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</si>
  <si>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</si>
  <si>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</si>
  <si>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</si>
  <si>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</si>
  <si>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</si>
  <si>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</si>
  <si>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</si>
  <si>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</si>
  <si>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</si>
  <si>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</si>
  <si>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</si>
  <si>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</si>
  <si>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</si>
  <si>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</si>
  <si>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</si>
  <si>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</si>
  <si>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</si>
  <si>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</si>
  <si>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</si>
  <si>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</si>
  <si>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</si>
  <si>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</si>
  <si>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</si>
  <si>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</si>
  <si>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</si>
  <si>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</si>
  <si>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</si>
  <si>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</si>
  <si>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</si>
  <si>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</si>
  <si>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</si>
  <si>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</si>
  <si>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</si>
  <si>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</si>
  <si>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</si>
  <si>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</si>
  <si>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</si>
  <si>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</si>
  <si>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</si>
  <si>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</si>
  <si>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</si>
  <si>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</si>
  <si>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</si>
  <si>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</si>
  <si>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</si>
  <si>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</si>
  <si>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</si>
  <si>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</si>
  <si>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</si>
  <si>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</si>
  <si>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</si>
  <si>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</si>
  <si>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</si>
  <si>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</si>
  <si>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</si>
  <si>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</si>
  <si>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</si>
  <si>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</si>
  <si>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</si>
  <si>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</si>
  <si>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</si>
  <si>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</si>
  <si>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</si>
  <si>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</si>
  <si>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</si>
  <si>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</si>
  <si>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</si>
  <si>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</si>
  <si>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</si>
  <si>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</si>
  <si>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</si>
  <si>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</si>
  <si>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</si>
  <si>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</si>
  <si>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</si>
  <si>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</si>
  <si>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</si>
  <si>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</si>
  <si>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</si>
  <si>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</si>
  <si>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</si>
  <si>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</si>
  <si>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</si>
  <si>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</si>
  <si>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</si>
  <si>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</si>
  <si>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</si>
  <si>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</si>
  <si>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</si>
  <si>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</si>
  <si>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</si>
  <si>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</si>
  <si>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</si>
  <si>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</si>
  <si>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</si>
  <si>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</si>
  <si>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</si>
  <si>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</si>
  <si>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</si>
  <si>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</si>
  <si>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</si>
  <si>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</si>
  <si>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</si>
  <si>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</si>
  <si>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</si>
  <si>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</si>
  <si>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</si>
  <si>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</si>
  <si>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</si>
  <si>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</si>
  <si>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</si>
  <si>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</si>
  <si>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</si>
  <si>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</si>
  <si>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</si>
  <si>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</si>
  <si>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</si>
  <si>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</si>
  <si>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</si>
  <si>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</si>
  <si>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</si>
  <si>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</si>
  <si>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</si>
  <si>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</si>
  <si>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</si>
  <si>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</si>
  <si>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</si>
  <si>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</si>
  <si>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</si>
  <si>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</si>
  <si>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</si>
  <si>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</si>
  <si>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</si>
  <si>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</si>
  <si>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</si>
  <si>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</si>
  <si>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</si>
  <si>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</si>
  <si>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</si>
  <si>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</si>
  <si>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</si>
  <si>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</si>
  <si>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</si>
  <si>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</si>
  <si>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</si>
  <si>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</si>
  <si>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</si>
  <si>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</si>
  <si>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</si>
  <si>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</si>
  <si>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</si>
  <si>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</si>
  <si>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</si>
  <si>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</si>
  <si>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</si>
  <si>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</si>
  <si>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</si>
  <si>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</si>
  <si>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</si>
  <si>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</si>
  <si>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</si>
  <si>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</si>
  <si>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</si>
  <si>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</si>
  <si>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</si>
  <si>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</si>
  <si>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</si>
  <si>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</si>
  <si>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</si>
  <si>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</si>
  <si>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</si>
  <si>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</si>
  <si>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</si>
  <si>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</si>
  <si>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</si>
  <si>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</si>
  <si>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</si>
  <si>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</si>
  <si>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</si>
  <si>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</si>
  <si>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</si>
  <si>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</si>
  <si>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</si>
  <si>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</si>
  <si>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</si>
  <si>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</si>
  <si>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</si>
  <si>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</si>
  <si>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</si>
  <si>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</si>
  <si>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</si>
  <si>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</si>
  <si>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</si>
  <si>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</si>
  <si>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</si>
  <si>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</si>
  <si>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</si>
  <si>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</si>
  <si>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</si>
  <si>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</si>
  <si>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</si>
  <si>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</si>
  <si>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</si>
  <si>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</si>
  <si>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</si>
  <si>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</si>
  <si>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</si>
  <si>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</si>
  <si>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</si>
  <si>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</si>
  <si>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</si>
  <si>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</si>
  <si>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</si>
  <si>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</si>
  <si>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</si>
  <si>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</si>
  <si>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</si>
  <si>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</si>
  <si>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</si>
  <si>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</si>
  <si>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</si>
  <si>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</si>
  <si>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</si>
  <si>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</si>
  <si>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</si>
  <si>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</si>
  <si>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</si>
  <si>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</si>
  <si>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</si>
  <si>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</si>
  <si>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</si>
  <si>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</si>
  <si>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</si>
  <si>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</si>
  <si>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</si>
  <si>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</si>
  <si>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</si>
  <si>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</si>
  <si>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</si>
  <si>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</si>
  <si>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</si>
  <si>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</si>
  <si>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</si>
  <si>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</si>
  <si>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</si>
  <si>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</si>
  <si>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</si>
  <si>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</si>
  <si>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</si>
  <si>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</si>
  <si>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</si>
  <si>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</si>
  <si>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</si>
  <si>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</si>
  <si>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</si>
  <si>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</si>
  <si>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</si>
  <si>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</si>
  <si>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</si>
  <si>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</si>
  <si>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</si>
  <si>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</si>
  <si>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</si>
  <si>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</si>
  <si>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</si>
  <si>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</si>
  <si>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</si>
  <si>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</si>
  <si>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</si>
  <si>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</si>
  <si>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</si>
  <si>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</si>
  <si>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</si>
  <si>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</si>
  <si>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</si>
  <si>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</si>
  <si>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</si>
  <si>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</si>
  <si>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</si>
  <si>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</si>
  <si>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</si>
  <si>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</si>
  <si>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</si>
  <si>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</si>
  <si>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</si>
  <si>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</si>
  <si>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</si>
  <si>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</si>
  <si>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</si>
  <si>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</si>
  <si>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</si>
  <si>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</si>
  <si>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</si>
  <si>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</si>
  <si>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</si>
  <si>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</si>
  <si>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</si>
  <si>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</si>
  <si>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</si>
  <si>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</si>
  <si>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</si>
  <si>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</si>
  <si>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</si>
  <si>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</si>
  <si>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</si>
  <si>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</si>
  <si>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</si>
  <si>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</si>
  <si>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</si>
  <si>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</si>
  <si>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</si>
  <si>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</si>
  <si>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</si>
  <si>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</si>
  <si>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</si>
  <si>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</si>
  <si>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</si>
  <si>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</si>
  <si>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</si>
  <si>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</si>
  <si>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</si>
  <si>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</si>
  <si>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</si>
  <si>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</si>
  <si>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</si>
  <si>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</si>
  <si>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</si>
  <si>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</si>
  <si>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</si>
  <si>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</si>
  <si>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</si>
  <si>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</si>
  <si>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</si>
  <si>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</si>
  <si>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</si>
  <si>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</si>
  <si>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</si>
  <si>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</si>
  <si>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</si>
  <si>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</si>
  <si>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</si>
  <si>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</si>
  <si>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</si>
  <si>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</si>
  <si>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</si>
  <si>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</si>
  <si>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</si>
  <si>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</si>
  <si>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</si>
  <si>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</si>
  <si>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</si>
  <si>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</si>
  <si>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</si>
  <si>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</si>
  <si>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</si>
  <si>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</si>
  <si>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</si>
  <si>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</si>
  <si>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</si>
  <si>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</si>
  <si>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</si>
  <si>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</si>
  <si>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</si>
  <si>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</si>
  <si>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</si>
  <si>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</si>
  <si>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</si>
  <si>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</si>
  <si>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</si>
  <si>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</si>
  <si>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</si>
  <si>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</si>
  <si>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</si>
  <si>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</si>
  <si>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</si>
  <si>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</si>
  <si>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</si>
  <si>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</si>
  <si>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</si>
  <si>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</si>
  <si>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</si>
  <si>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</si>
  <si>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</si>
  <si>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</si>
  <si>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</si>
  <si>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</si>
  <si>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</si>
  <si>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</si>
  <si>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</si>
  <si>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</si>
  <si>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</si>
  <si>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</si>
  <si>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</si>
  <si>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</si>
  <si>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</si>
  <si>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</si>
  <si>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</si>
  <si>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</si>
  <si>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</si>
  <si>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</si>
  <si>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</si>
  <si>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</si>
  <si>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</si>
  <si>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</si>
  <si>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</si>
  <si>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</si>
  <si>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</si>
  <si>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</si>
  <si>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</si>
  <si>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</si>
  <si>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</si>
  <si>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</si>
  <si>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</si>
  <si>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</si>
  <si>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</si>
  <si>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</si>
  <si>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</si>
  <si>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</si>
  <si>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</si>
  <si>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</si>
  <si>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</si>
  <si>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</si>
  <si>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</si>
  <si>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</si>
  <si>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</si>
  <si>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</si>
  <si>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</si>
  <si>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</si>
  <si>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</si>
  <si>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</si>
  <si>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</si>
  <si>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</si>
  <si>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</si>
  <si>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</si>
  <si>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</si>
  <si>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</si>
  <si>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</si>
  <si>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</si>
  <si>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</si>
  <si>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</si>
  <si>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</si>
  <si>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</si>
  <si>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</si>
  <si>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</si>
  <si>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</si>
  <si>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</si>
  <si>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</si>
  <si>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</si>
  <si>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</si>
  <si>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</si>
  <si>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</si>
  <si>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</si>
  <si>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</si>
  <si>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</si>
  <si>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</si>
  <si>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</si>
  <si>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</si>
  <si>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</si>
  <si>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</si>
  <si>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</si>
  <si>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</si>
  <si>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</si>
  <si>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</si>
  <si>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</si>
  <si>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</si>
  <si>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</si>
  <si>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</si>
  <si>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</si>
  <si>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</si>
  <si>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</si>
  <si>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</si>
  <si>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</si>
  <si>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</si>
  <si>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</si>
  <si>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</si>
  <si>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</si>
  <si>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</si>
  <si>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</si>
  <si>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</si>
  <si>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</si>
  <si>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</si>
  <si>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</si>
  <si>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</si>
  <si>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</si>
  <si>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</si>
  <si>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</si>
  <si>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</si>
  <si>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</si>
  <si>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</si>
  <si>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</si>
  <si>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</si>
  <si>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</si>
  <si>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</si>
  <si>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</si>
  <si>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</si>
  <si>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</si>
  <si>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</si>
  <si>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</si>
  <si>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</si>
  <si>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</si>
  <si>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</si>
  <si>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</si>
  <si>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</si>
  <si>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</si>
  <si>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</si>
  <si>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</si>
  <si>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</si>
  <si>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</si>
  <si>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</si>
  <si>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</si>
  <si>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</si>
  <si>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</si>
  <si>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</si>
  <si>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</si>
  <si>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</si>
  <si>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</si>
  <si>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</si>
  <si>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</si>
  <si>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</si>
  <si>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</si>
  <si>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</si>
  <si>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</si>
  <si>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</si>
  <si>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</si>
  <si>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</si>
  <si>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</si>
  <si>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</si>
  <si>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</si>
  <si>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</si>
  <si>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</si>
  <si>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</si>
  <si>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</si>
  <si>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</si>
  <si>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</si>
  <si>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</si>
  <si>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</si>
  <si>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</si>
  <si>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</si>
  <si>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</si>
  <si>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</si>
  <si>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</si>
  <si>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</si>
  <si>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</si>
  <si>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</si>
  <si>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</si>
  <si>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</si>
  <si>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</si>
  <si>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</si>
  <si>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</si>
  <si>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</si>
  <si>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</si>
  <si>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</si>
  <si>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</si>
  <si>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</si>
  <si>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</si>
  <si>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</si>
  <si>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</si>
  <si>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</si>
  <si>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</si>
  <si>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</si>
  <si>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</si>
  <si>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</si>
  <si>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</si>
  <si>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</si>
  <si>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</si>
  <si>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</si>
  <si>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</si>
  <si>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</si>
  <si>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</si>
  <si>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</si>
  <si>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</si>
  <si>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</si>
  <si>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</si>
  <si>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</si>
  <si>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</si>
  <si>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</si>
  <si>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</si>
  <si>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</si>
  <si>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</si>
  <si>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</si>
  <si>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</si>
  <si>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</si>
  <si>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</si>
  <si>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</si>
  <si>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</si>
  <si>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</si>
  <si>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</si>
  <si>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</si>
  <si>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</si>
  <si>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</si>
  <si>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</si>
  <si>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</si>
  <si>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</si>
  <si>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</si>
  <si>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</si>
  <si>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</si>
  <si>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</si>
  <si>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</si>
  <si>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</si>
  <si>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</si>
  <si>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</si>
  <si>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</si>
  <si>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</si>
  <si>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</si>
  <si>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</si>
  <si>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</si>
  <si>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</si>
  <si>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</si>
  <si>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</si>
  <si>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</si>
  <si>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</si>
  <si>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</si>
  <si>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</si>
  <si>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</si>
  <si>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</si>
  <si>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</si>
  <si>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</si>
  <si>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</si>
  <si>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</si>
  <si>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</si>
  <si>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</si>
  <si>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</si>
  <si>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</si>
  <si>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</si>
  <si>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</si>
  <si>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</si>
  <si>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</si>
  <si>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</si>
  <si>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</si>
  <si>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</si>
  <si>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</si>
  <si>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</si>
  <si>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</si>
  <si>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</si>
  <si>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</si>
  <si>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</si>
  <si>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</si>
  <si>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</si>
  <si>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</si>
  <si>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</si>
  <si>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</si>
  <si>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</si>
  <si>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</si>
  <si>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</si>
  <si>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</si>
  <si>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</si>
  <si>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</si>
  <si>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</si>
  <si>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</si>
  <si>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</si>
  <si>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</si>
  <si>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</si>
  <si>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</si>
  <si>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</si>
  <si>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</si>
  <si>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</si>
  <si>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</si>
  <si>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</si>
  <si>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</si>
  <si>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</si>
  <si>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</si>
  <si>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</si>
  <si>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</si>
  <si>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</si>
  <si>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</si>
  <si>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</si>
  <si>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</si>
  <si>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</si>
  <si>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</si>
  <si>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</si>
  <si>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</si>
  <si>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</si>
  <si>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</si>
  <si>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</si>
  <si>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</si>
  <si>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</si>
  <si>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</si>
  <si>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</si>
  <si>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</si>
  <si>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</si>
  <si>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</si>
  <si>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</si>
  <si>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</si>
  <si>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</si>
  <si>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</si>
  <si>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</si>
  <si>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</si>
  <si>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</si>
  <si>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</si>
  <si>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</si>
  <si>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</si>
  <si>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</si>
  <si>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</si>
  <si>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</si>
  <si>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</si>
  <si>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</si>
  <si>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</si>
  <si>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</si>
  <si>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</si>
  <si>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</si>
  <si>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</si>
  <si>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</si>
  <si>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</si>
  <si>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</si>
  <si>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</si>
  <si>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</si>
  <si>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</si>
  <si>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</si>
  <si>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</si>
  <si>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</si>
  <si>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</si>
  <si>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</si>
  <si>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</si>
  <si>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</si>
  <si>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</si>
  <si>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</si>
  <si>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</si>
  <si>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</si>
  <si>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</si>
  <si>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</si>
  <si>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</si>
  <si>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</si>
  <si>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</si>
  <si>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</si>
  <si>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</si>
  <si>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</si>
  <si>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</si>
  <si>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</si>
  <si>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</si>
  <si>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</si>
  <si>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</si>
  <si>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</si>
  <si>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</si>
  <si>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</si>
  <si>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</si>
  <si>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</si>
  <si>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</si>
  <si>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</si>
  <si>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</si>
  <si>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</si>
  <si>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</si>
  <si>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</si>
  <si>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</si>
  <si>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</si>
  <si>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</si>
  <si>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</si>
  <si>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</si>
  <si>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</si>
  <si>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</si>
  <si>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</si>
  <si>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</si>
  <si>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</si>
  <si>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</si>
  <si>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</si>
  <si>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</si>
  <si>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</si>
  <si>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</si>
  <si>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</si>
  <si>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</si>
  <si>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</si>
  <si>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</si>
  <si>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</si>
  <si>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</si>
  <si>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</si>
  <si>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</si>
  <si>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</si>
  <si>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</si>
  <si>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</si>
  <si>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</si>
  <si>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</si>
  <si>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</si>
  <si>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</si>
  <si>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</si>
  <si>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</si>
  <si>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</si>
  <si>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</si>
  <si>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</si>
  <si>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</si>
  <si>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</si>
  <si>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</si>
  <si>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</si>
  <si>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</si>
  <si>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</si>
  <si>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</si>
  <si>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</si>
  <si>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</si>
  <si>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</si>
  <si>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</si>
  <si>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</si>
  <si>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</si>
  <si>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</si>
  <si>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</si>
  <si>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</si>
  <si>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</si>
  <si>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</si>
  <si>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</si>
  <si>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</si>
  <si>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</si>
  <si>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</si>
  <si>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</si>
  <si>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</si>
  <si>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</si>
  <si>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</si>
  <si>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</si>
  <si>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</si>
  <si>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</si>
  <si>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</si>
  <si>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</si>
  <si>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</si>
  <si>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</si>
  <si>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</si>
  <si>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</si>
  <si>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</si>
  <si>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</si>
  <si>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</si>
  <si>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</si>
  <si>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</si>
  <si>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</si>
  <si>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</si>
  <si>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</si>
  <si>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</si>
  <si>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</si>
  <si>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</si>
  <si>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</si>
  <si>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</si>
  <si>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</si>
  <si>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</si>
  <si>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</si>
  <si>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</si>
  <si>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</si>
  <si>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</si>
  <si>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</si>
  <si>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</si>
  <si>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</si>
  <si>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</si>
  <si>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</si>
  <si>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</si>
  <si>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</si>
  <si>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</si>
  <si>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</si>
  <si>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</si>
  <si>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</si>
  <si>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</si>
  <si>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</si>
  <si>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</si>
  <si>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</si>
  <si>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</si>
  <si>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</si>
  <si>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</si>
  <si>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</si>
  <si>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</si>
  <si>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</si>
  <si>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</si>
  <si>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</si>
  <si>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</si>
  <si>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</si>
  <si>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</si>
  <si>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</si>
  <si>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</si>
  <si>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</si>
  <si>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</si>
  <si>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</si>
  <si>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</si>
  <si>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</si>
  <si>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</si>
  <si>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</si>
  <si>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</si>
  <si>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</si>
  <si>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</si>
  <si>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</si>
  <si>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</si>
  <si>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</si>
  <si>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</si>
  <si>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</si>
  <si>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</si>
  <si>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</si>
  <si>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</si>
  <si>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</si>
  <si>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</si>
  <si>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</si>
  <si>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</si>
  <si>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</si>
  <si>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</si>
  <si>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</si>
  <si>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</si>
  <si>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</si>
  <si>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</si>
  <si>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</si>
  <si>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</si>
  <si>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</si>
  <si>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</si>
  <si>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</si>
  <si>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</si>
  <si>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</si>
  <si>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</si>
  <si>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</si>
  <si>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</si>
  <si>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</si>
  <si>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</si>
  <si>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</si>
  <si>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</si>
  <si>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</si>
  <si>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</si>
  <si>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</si>
  <si>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</si>
  <si>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</si>
  <si>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</si>
  <si>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</si>
  <si>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</si>
  <si>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</si>
  <si>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</si>
  <si>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</si>
  <si>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</si>
  <si>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</si>
  <si>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</si>
  <si>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</si>
  <si>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</si>
  <si>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</si>
  <si>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</si>
  <si>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</si>
  <si>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</si>
  <si>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</si>
  <si>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</si>
  <si>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</si>
  <si>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</si>
  <si>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</si>
  <si>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</si>
  <si>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</si>
  <si>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</si>
  <si>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</si>
  <si>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</si>
  <si>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</si>
  <si>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</si>
  <si>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</si>
  <si>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</si>
  <si>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</si>
  <si>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</si>
  <si>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</si>
  <si>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</si>
  <si>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</si>
  <si>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</si>
  <si>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</si>
  <si>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</si>
  <si>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</si>
  <si>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</si>
  <si>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</si>
  <si>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</si>
  <si>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</si>
  <si>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</si>
  <si>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</si>
  <si>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</si>
  <si>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</si>
  <si>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</si>
  <si>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</si>
  <si>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</si>
  <si>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</si>
  <si>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</si>
  <si>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</si>
  <si>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</si>
  <si>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</si>
  <si>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</si>
  <si>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</si>
  <si>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</si>
  <si>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</si>
  <si>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</si>
  <si>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</si>
  <si>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</si>
  <si>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</si>
  <si>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</si>
  <si>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</si>
  <si>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</si>
  <si>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</si>
  <si>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</si>
  <si>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</si>
  <si>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</si>
  <si>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</si>
  <si>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</si>
  <si>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</si>
  <si>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</si>
  <si>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</si>
  <si>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</si>
  <si>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</si>
  <si>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</si>
  <si>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</si>
  <si>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</si>
  <si>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</si>
  <si>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</si>
  <si>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</si>
  <si>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</si>
  <si>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</si>
  <si>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</si>
  <si>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</si>
  <si>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</si>
  <si>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</si>
  <si>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</si>
  <si>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</si>
  <si>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</si>
  <si>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</si>
  <si>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</si>
  <si>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</si>
  <si>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</si>
  <si>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</si>
  <si>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</si>
  <si>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</si>
  <si>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</si>
  <si>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</si>
  <si>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</si>
  <si>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</si>
  <si>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</si>
  <si>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</si>
  <si>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</si>
  <si>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</si>
  <si>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</si>
  <si>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</si>
  <si>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</si>
  <si>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</si>
  <si>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</si>
  <si>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</si>
  <si>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</si>
  <si>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</si>
  <si>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</si>
  <si>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</si>
  <si>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</si>
  <si>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</si>
  <si>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</si>
  <si>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</si>
  <si>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</si>
  <si>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</si>
  <si>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</si>
  <si>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</si>
  <si>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</si>
  <si>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</si>
  <si>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</si>
  <si>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</si>
  <si>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</si>
  <si>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</si>
  <si>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</si>
  <si>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</si>
  <si>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</si>
  <si>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</si>
  <si>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</si>
  <si>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</si>
  <si>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</si>
  <si>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</si>
  <si>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</si>
  <si>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</si>
  <si>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</si>
  <si>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</si>
  <si>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</si>
  <si>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</si>
  <si>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</si>
  <si>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</si>
  <si>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</si>
  <si>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</si>
  <si>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</si>
  <si>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</si>
  <si>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</si>
  <si>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</si>
  <si>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</si>
  <si>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</si>
  <si>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</si>
  <si>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</si>
  <si>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</si>
  <si>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</si>
  <si>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</si>
  <si>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</si>
  <si>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</si>
  <si>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</si>
  <si>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</si>
  <si>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</si>
  <si>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</si>
  <si>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</si>
  <si>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</si>
  <si>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</si>
  <si>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</si>
  <si>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</si>
  <si>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</si>
  <si>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</si>
  <si>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</si>
  <si>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</si>
  <si>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</si>
  <si>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</si>
  <si>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</si>
  <si>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</si>
  <si>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</si>
  <si>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</si>
  <si>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</si>
  <si>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</si>
  <si>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</si>
  <si>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</si>
  <si>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</si>
  <si>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</si>
  <si>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</si>
  <si>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</si>
  <si>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</si>
  <si>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</si>
  <si>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</si>
  <si>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</si>
  <si>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</si>
  <si>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</si>
  <si>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</si>
  <si>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</si>
  <si>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</si>
  <si>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</si>
  <si>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</si>
  <si>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</si>
  <si>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</si>
  <si>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</si>
  <si>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</si>
  <si>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</si>
  <si>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</si>
  <si>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</si>
  <si>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</si>
  <si>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</si>
  <si>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</si>
  <si>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</si>
  <si>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</si>
  <si>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</si>
  <si>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</si>
  <si>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</si>
  <si>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</si>
  <si>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</si>
  <si>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</si>
  <si>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</si>
  <si>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</si>
  <si>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</si>
  <si>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</si>
  <si>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</si>
  <si>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</si>
  <si>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</si>
  <si>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</si>
  <si>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</si>
  <si>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</si>
  <si>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</si>
  <si>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</si>
  <si>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</si>
  <si>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</si>
  <si>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</si>
  <si>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</si>
  <si>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</si>
  <si>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</si>
  <si>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</si>
  <si>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</si>
  <si>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</si>
  <si>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</si>
  <si>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</si>
  <si>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</si>
  <si>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</si>
  <si>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</si>
  <si>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</si>
  <si>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</si>
  <si>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</si>
  <si>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</si>
  <si>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</si>
  <si>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</si>
  <si>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</si>
  <si>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</si>
  <si>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</si>
  <si>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</si>
  <si>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</si>
  <si>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</si>
  <si>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</si>
  <si>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</si>
  <si>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</si>
  <si>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</si>
  <si>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</si>
  <si>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</si>
  <si>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</si>
  <si>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</si>
  <si>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</si>
  <si>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</si>
  <si>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</si>
  <si>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</si>
  <si>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</si>
  <si>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</si>
  <si>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</si>
  <si>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</si>
  <si>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</si>
  <si>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</si>
  <si>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</si>
  <si>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</si>
  <si>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</si>
  <si>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</si>
  <si>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</si>
  <si>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</si>
  <si>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</si>
  <si>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</si>
  <si>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</si>
  <si>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</si>
  <si>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</si>
  <si>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</si>
  <si>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</si>
  <si>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</si>
  <si>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</si>
  <si>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</si>
  <si>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</si>
  <si>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</si>
  <si>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</si>
  <si>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</si>
  <si>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</si>
  <si>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</si>
  <si>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</si>
  <si>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</si>
  <si>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</si>
  <si>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</si>
  <si>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</si>
  <si>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</si>
  <si>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</si>
  <si>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</si>
  <si>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</si>
  <si>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</si>
  <si>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</si>
  <si>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</si>
  <si>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</si>
  <si>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</si>
  <si>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</si>
  <si>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</si>
  <si>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</si>
  <si>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</si>
  <si>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</si>
  <si>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</si>
  <si>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</si>
  <si>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</si>
  <si>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</si>
  <si>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</si>
  <si>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</si>
  <si>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</si>
  <si>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</si>
  <si>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</si>
  <si>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</si>
  <si>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</si>
  <si>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</si>
  <si>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</si>
  <si>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</si>
  <si>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</si>
  <si>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</si>
  <si>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</si>
  <si>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</si>
  <si>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</si>
  <si>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</si>
  <si>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</si>
  <si>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</si>
  <si>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</si>
  <si>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</si>
  <si>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</si>
  <si>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</si>
  <si>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</si>
  <si>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</si>
  <si>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</si>
  <si>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</si>
  <si>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</si>
  <si>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</si>
  <si>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</si>
  <si>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</si>
  <si>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</si>
  <si>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</si>
  <si>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</si>
  <si>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</si>
  <si>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</si>
  <si>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</si>
  <si>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</si>
  <si>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</si>
  <si>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</si>
  <si>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</si>
  <si>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</si>
  <si>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</si>
  <si>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</si>
  <si>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</si>
  <si>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</si>
  <si>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</si>
  <si>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</si>
  <si>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</si>
  <si>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</si>
  <si>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</si>
  <si>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</si>
  <si>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</si>
  <si>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</si>
  <si>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</si>
  <si>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</si>
  <si>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</si>
  <si>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</si>
  <si>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</si>
  <si>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</si>
  <si>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</si>
  <si>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</si>
  <si>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</si>
  <si>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</si>
  <si>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</si>
  <si>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</si>
  <si>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</si>
  <si>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</si>
  <si>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</si>
  <si>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</si>
  <si>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</si>
  <si>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</si>
  <si>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</si>
  <si>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</si>
  <si>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</si>
  <si>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</si>
  <si>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</si>
  <si>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</si>
  <si>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</si>
  <si>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</si>
  <si>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</si>
  <si>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</si>
  <si>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</si>
  <si>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</si>
  <si>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</si>
  <si>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</si>
  <si>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</si>
  <si>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</si>
  <si>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</si>
  <si>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</si>
  <si>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</si>
  <si>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</si>
  <si>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</si>
  <si>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</si>
  <si>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</si>
  <si>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</si>
  <si>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</si>
  <si>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</si>
  <si>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</si>
  <si>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</si>
  <si>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</si>
  <si>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</si>
  <si>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</si>
  <si>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</si>
  <si>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</si>
  <si>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</si>
  <si>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</si>
  <si>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</si>
  <si>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</si>
  <si>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</si>
  <si>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</si>
  <si>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</si>
  <si>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</si>
  <si>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</si>
  <si>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</si>
  <si>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</si>
  <si>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</si>
  <si>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</si>
  <si>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</si>
  <si>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</si>
  <si>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</si>
  <si>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</si>
  <si>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</si>
  <si>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</si>
  <si>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</si>
  <si>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</si>
  <si>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</si>
  <si>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</si>
  <si>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</si>
  <si>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</si>
  <si>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</si>
  <si>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</si>
  <si>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</si>
  <si>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</si>
  <si>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</si>
  <si>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</si>
  <si>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</si>
  <si>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</si>
  <si>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</si>
  <si>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</si>
  <si>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</si>
  <si>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</si>
  <si>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</si>
  <si>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</si>
  <si>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</si>
  <si>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</si>
  <si>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</si>
  <si>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</si>
  <si>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</si>
  <si>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</si>
  <si>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</si>
  <si>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</si>
  <si>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</si>
  <si>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</si>
  <si>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</si>
  <si>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</si>
  <si>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</si>
  <si>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</si>
  <si>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</si>
  <si>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</si>
  <si>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</si>
  <si>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</si>
  <si>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</si>
  <si>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</si>
  <si>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</si>
  <si>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</si>
  <si>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</si>
  <si>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</si>
  <si>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</si>
  <si>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</si>
  <si>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</si>
  <si>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</si>
  <si>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</si>
  <si>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</si>
  <si>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</si>
  <si>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</si>
  <si>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</si>
  <si>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</si>
  <si>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</si>
  <si>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</si>
  <si>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</si>
  <si>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</si>
  <si>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</si>
  <si>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</si>
  <si>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</si>
  <si>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</si>
  <si>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</si>
  <si>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</si>
  <si>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</si>
  <si>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</si>
  <si>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</si>
  <si>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</si>
  <si>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</si>
  <si>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</si>
  <si>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</si>
  <si>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</si>
  <si>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</si>
  <si>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</si>
  <si>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</si>
  <si>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</si>
  <si>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</si>
  <si>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</si>
  <si>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</si>
  <si>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</si>
  <si>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</si>
  <si>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</si>
  <si>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</si>
  <si>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</si>
  <si>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</si>
  <si>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</si>
  <si>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</si>
  <si>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</si>
  <si>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</si>
  <si>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</si>
  <si>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</si>
  <si>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</si>
  <si>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</si>
  <si>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</si>
  <si>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</si>
  <si>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</si>
  <si>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</si>
  <si>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</si>
  <si>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</si>
  <si>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</si>
  <si>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</si>
  <si>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</si>
  <si>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</si>
  <si>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</si>
  <si>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</si>
  <si>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</si>
  <si>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</si>
  <si>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</si>
  <si>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</si>
  <si>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</si>
  <si>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</si>
  <si>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</si>
  <si>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</si>
  <si>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</si>
  <si>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</si>
  <si>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</si>
  <si>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</si>
  <si>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</si>
  <si>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</si>
  <si>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</si>
  <si>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</si>
  <si>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</si>
  <si>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</si>
  <si>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</si>
  <si>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</si>
  <si>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</si>
  <si>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</si>
  <si>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</si>
  <si>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</si>
  <si>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</si>
  <si>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</si>
  <si>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</si>
  <si>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</si>
  <si>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</si>
  <si>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</si>
  <si>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</si>
  <si>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</si>
  <si>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</si>
  <si>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</si>
  <si>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</si>
  <si>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</si>
  <si>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</si>
  <si>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</si>
  <si>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</si>
  <si>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</si>
  <si>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</si>
  <si>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</si>
  <si>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</si>
  <si>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</si>
  <si>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</si>
  <si>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</si>
  <si>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</si>
  <si>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</si>
  <si>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</si>
  <si>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</si>
  <si>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</si>
  <si>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</si>
  <si>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</si>
  <si>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</si>
  <si>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</si>
  <si>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</si>
  <si>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</si>
  <si>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</si>
  <si>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</si>
  <si>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</si>
  <si>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</si>
  <si>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</si>
  <si>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</si>
  <si>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</si>
  <si>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</si>
  <si>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</si>
  <si>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</si>
  <si>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</si>
  <si>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</si>
  <si>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</si>
  <si>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</si>
  <si>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</si>
  <si>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</si>
  <si>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</si>
  <si>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</si>
  <si>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</si>
  <si>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</si>
  <si>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</si>
  <si>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</si>
  <si>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</si>
  <si>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</si>
  <si>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</si>
  <si>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</si>
  <si>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</si>
  <si>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</si>
  <si>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</si>
  <si>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</si>
  <si>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</si>
  <si>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</si>
  <si>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</si>
  <si>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</si>
  <si>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</si>
  <si>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</si>
  <si>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</si>
  <si>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</si>
  <si>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</si>
  <si>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</si>
  <si>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</si>
  <si>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</si>
  <si>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</si>
  <si>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</si>
  <si>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</si>
  <si>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</si>
  <si>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</si>
  <si>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</si>
  <si>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</si>
  <si>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</si>
  <si>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</si>
  <si>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</si>
  <si>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</si>
  <si>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</si>
  <si>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</si>
  <si>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</si>
  <si>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</si>
  <si>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</si>
  <si>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</si>
  <si>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</si>
  <si>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</si>
  <si>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</si>
  <si>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</si>
  <si>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</si>
  <si>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</si>
  <si>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</si>
  <si>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</si>
  <si>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</si>
  <si>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</si>
  <si>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</si>
  <si>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</si>
  <si>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</si>
  <si>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</si>
  <si>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</si>
  <si>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</si>
  <si>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</si>
  <si>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</si>
  <si>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</si>
  <si>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</si>
  <si>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</si>
  <si>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</si>
  <si>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</si>
  <si>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</si>
  <si>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</si>
  <si>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</si>
  <si>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</si>
  <si>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</si>
  <si>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</si>
  <si>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</si>
  <si>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</si>
  <si>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</si>
  <si>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</si>
  <si>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</si>
  <si>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</si>
  <si>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</si>
  <si>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</si>
  <si>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</si>
  <si>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</si>
  <si>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</si>
  <si>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</si>
  <si>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</si>
  <si>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</si>
  <si>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</si>
  <si>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</si>
  <si>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</si>
  <si>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</si>
  <si>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</si>
  <si>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</si>
  <si>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</si>
  <si>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</si>
  <si>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</si>
  <si>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</si>
  <si>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</si>
  <si>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</si>
  <si>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</si>
  <si>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</si>
  <si>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</si>
  <si>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</si>
  <si>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</si>
  <si>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</si>
  <si>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</si>
  <si>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</si>
  <si>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</si>
  <si>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</si>
  <si>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</si>
  <si>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</si>
  <si>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</si>
  <si>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</si>
  <si>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</si>
  <si>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</si>
  <si>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</si>
  <si>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</si>
  <si>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</si>
  <si>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</si>
  <si>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</si>
  <si>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</si>
  <si>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</si>
  <si>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</si>
  <si>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</si>
  <si>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</si>
  <si>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</si>
  <si>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</si>
  <si>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</si>
  <si>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</si>
  <si>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</si>
  <si>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</si>
  <si>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</si>
  <si>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</si>
  <si>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</si>
  <si>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</si>
  <si>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</si>
  <si>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</si>
  <si>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</si>
  <si>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</si>
  <si>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</si>
  <si>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</si>
  <si>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</si>
  <si>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</si>
  <si>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</si>
  <si>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</si>
  <si>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</si>
  <si>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</si>
  <si>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</si>
  <si>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</si>
  <si>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</si>
  <si>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</si>
  <si>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</si>
  <si>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</si>
  <si>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</si>
  <si>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</si>
  <si>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</si>
  <si>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</si>
  <si>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</si>
  <si>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</si>
  <si>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</si>
  <si>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</si>
  <si>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</si>
  <si>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</si>
  <si>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</si>
  <si>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</si>
  <si>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</si>
  <si>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</si>
  <si>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</si>
  <si>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</si>
  <si>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</si>
  <si>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</si>
  <si>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</si>
  <si>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</si>
  <si>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</si>
  <si>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</si>
  <si>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</si>
  <si>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</si>
  <si>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</si>
  <si>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</si>
  <si>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</si>
  <si>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</si>
  <si>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</si>
  <si>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</si>
  <si>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</si>
  <si>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</si>
  <si>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</si>
  <si>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</si>
  <si>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</si>
  <si>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</si>
  <si>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</si>
  <si>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</si>
  <si>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</si>
  <si>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</si>
  <si>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</si>
  <si>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</si>
  <si>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</si>
  <si>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</si>
  <si>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</si>
  <si>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</si>
  <si>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</si>
  <si>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</si>
  <si>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</si>
  <si>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</si>
  <si>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</si>
  <si>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</si>
  <si>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</si>
  <si>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</si>
  <si>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</si>
  <si>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</si>
  <si>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</si>
  <si>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</si>
  <si>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</si>
  <si>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</si>
  <si>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</si>
  <si>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</si>
  <si>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</si>
  <si>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</si>
  <si>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</si>
  <si>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</si>
  <si>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</si>
  <si>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</si>
  <si>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</si>
  <si>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</si>
  <si>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</si>
  <si>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</si>
  <si>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</si>
  <si>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</si>
  <si>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</si>
  <si>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</si>
  <si>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</si>
  <si>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</si>
  <si>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</si>
  <si>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</si>
  <si>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</si>
  <si>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</si>
  <si>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</si>
  <si>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</si>
  <si>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</si>
  <si>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</si>
  <si>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</si>
  <si>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</si>
  <si>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</si>
  <si>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</si>
  <si>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</si>
  <si>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</si>
  <si>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</si>
  <si>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</si>
  <si>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</si>
  <si>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</si>
  <si>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</si>
  <si>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</si>
  <si>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</si>
  <si>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</si>
  <si>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</si>
  <si>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</si>
  <si>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</si>
  <si>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</si>
  <si>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</si>
  <si>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</si>
  <si>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</si>
  <si>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</si>
  <si>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</si>
  <si>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</si>
  <si>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</si>
  <si>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</si>
  <si>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</si>
  <si>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</si>
  <si>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</si>
  <si>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</si>
  <si>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</si>
  <si>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</si>
  <si>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</si>
  <si>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</si>
  <si>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</si>
  <si>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</si>
  <si>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</si>
  <si>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</si>
  <si>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</si>
  <si>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</si>
  <si>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</si>
  <si>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</si>
  <si>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</si>
  <si>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</si>
  <si>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</si>
  <si>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</si>
  <si>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</si>
  <si>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</si>
  <si>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</si>
  <si>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</si>
  <si>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</si>
  <si>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</si>
  <si>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</si>
  <si>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</si>
  <si>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</si>
  <si>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</si>
  <si>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</si>
  <si>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</si>
  <si>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</si>
  <si>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</si>
  <si>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</si>
  <si>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</si>
  <si>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</si>
  <si>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</si>
  <si>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</si>
  <si>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</si>
  <si>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</si>
  <si>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</si>
  <si>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</si>
  <si>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</si>
  <si>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</si>
  <si>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</si>
  <si>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</si>
  <si>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</si>
  <si>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</si>
  <si>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</si>
  <si>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</si>
  <si>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</si>
  <si>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</si>
  <si>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</si>
  <si>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</si>
  <si>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</si>
  <si>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</si>
  <si>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</si>
  <si>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</si>
  <si>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</si>
  <si>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</si>
  <si>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</si>
  <si>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</si>
  <si>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</si>
  <si>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</si>
  <si>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</si>
  <si>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</si>
  <si>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</si>
  <si>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</si>
  <si>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</si>
  <si>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</si>
  <si>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</si>
  <si>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</si>
  <si>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</si>
  <si>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</si>
  <si>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</si>
  <si>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</si>
  <si>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</si>
  <si>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</si>
  <si>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</si>
  <si>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</si>
  <si>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</si>
  <si>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</si>
  <si>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</si>
  <si>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</si>
  <si>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</si>
  <si>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</si>
  <si>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</si>
  <si>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</si>
  <si>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</si>
  <si>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</si>
  <si>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</si>
  <si>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</si>
  <si>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</si>
  <si>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</si>
  <si>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</si>
  <si>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</si>
  <si>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</si>
  <si>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</si>
  <si>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</si>
  <si>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</si>
  <si>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</si>
  <si>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</si>
  <si>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</si>
  <si>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</si>
  <si>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</si>
  <si>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</si>
  <si>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</si>
  <si>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</si>
  <si>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</si>
  <si>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</si>
  <si>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</si>
  <si>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</si>
  <si>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</si>
  <si>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</si>
  <si>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</si>
  <si>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</si>
  <si>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</si>
  <si>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</si>
  <si>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</si>
  <si>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</si>
  <si>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</si>
  <si>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</si>
  <si>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</si>
  <si>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</si>
  <si>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</si>
  <si>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</si>
  <si>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</si>
  <si>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</si>
  <si>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</si>
  <si>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</si>
  <si>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</si>
  <si>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</si>
  <si>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</si>
  <si>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</si>
  <si>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</si>
  <si>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</si>
  <si>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</si>
  <si>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</si>
  <si>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</si>
  <si>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</si>
  <si>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</si>
  <si>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</si>
  <si>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</si>
  <si>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</si>
  <si>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</si>
  <si>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</si>
  <si>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</si>
  <si>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</si>
  <si>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</si>
  <si>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</si>
  <si>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</si>
  <si>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</si>
  <si>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</si>
  <si>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</si>
  <si>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</si>
  <si>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</si>
  <si>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</si>
  <si>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</si>
  <si>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</si>
  <si>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</si>
  <si>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</si>
  <si>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</si>
  <si>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</si>
  <si>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</si>
  <si>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</si>
  <si>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</si>
  <si>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</si>
  <si>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</si>
  <si>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</si>
  <si>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</si>
  <si>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</si>
  <si>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</si>
  <si>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</si>
  <si>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</si>
  <si>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</si>
  <si>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</si>
  <si>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</si>
  <si>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</si>
  <si>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</si>
  <si>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</si>
  <si>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</si>
  <si>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</si>
  <si>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</si>
  <si>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</si>
  <si>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</si>
  <si>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</si>
  <si>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</si>
  <si>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</si>
  <si>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</si>
  <si>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</si>
  <si>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</si>
  <si>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</si>
  <si>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</si>
  <si>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</si>
  <si>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</si>
  <si>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</si>
  <si>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</si>
  <si>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</si>
  <si>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</si>
  <si>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</si>
  <si>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</si>
  <si>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</si>
  <si>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</si>
  <si>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</si>
  <si>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</si>
  <si>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</si>
  <si>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</si>
  <si>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</si>
  <si>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</si>
  <si>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</si>
  <si>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</si>
  <si>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</si>
  <si>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</si>
  <si>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</si>
  <si>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</si>
  <si>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</si>
  <si>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</si>
  <si>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</si>
  <si>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</si>
  <si>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</si>
  <si>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</si>
  <si>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</si>
  <si>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</si>
  <si>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</si>
  <si>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</si>
  <si>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</si>
  <si>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</si>
  <si>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</si>
  <si>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</si>
  <si>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</si>
  <si>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</si>
  <si>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</si>
  <si>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</si>
  <si>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</si>
  <si>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</si>
  <si>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</si>
  <si>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</si>
  <si>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</si>
  <si>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</si>
  <si>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</si>
  <si>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</si>
  <si>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</si>
  <si>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</si>
  <si>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</si>
  <si>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</si>
  <si>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</si>
  <si>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</si>
  <si>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</si>
  <si>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</si>
  <si>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</si>
  <si>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</si>
  <si>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</si>
  <si>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</si>
  <si>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</si>
  <si>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</si>
  <si>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</si>
  <si>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</si>
  <si>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</si>
  <si>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</si>
  <si>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</si>
  <si>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</si>
  <si>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</si>
  <si>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</si>
  <si>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</si>
  <si>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</si>
  <si>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</si>
  <si>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</si>
  <si>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</si>
  <si>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</si>
  <si>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</si>
  <si>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</si>
  <si>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</si>
  <si>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</si>
  <si>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</si>
  <si>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</si>
  <si>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</si>
  <si>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</si>
  <si>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</si>
  <si>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</si>
  <si>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</si>
  <si>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</si>
  <si>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</si>
  <si>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</si>
  <si>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</si>
  <si>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</si>
  <si>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</si>
  <si>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</si>
  <si>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</si>
  <si>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</si>
  <si>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</si>
  <si>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</si>
  <si>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</si>
  <si>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</si>
  <si>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</si>
  <si>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</si>
  <si>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</si>
  <si>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</si>
  <si>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</si>
  <si>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</si>
  <si>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</si>
  <si>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</si>
  <si>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</si>
  <si>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</si>
  <si>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</si>
  <si>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</si>
  <si>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</si>
  <si>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</si>
  <si>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</si>
  <si>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</si>
  <si>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</si>
  <si>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</si>
  <si>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</si>
  <si>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</si>
  <si>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</si>
  <si>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</si>
  <si>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</si>
  <si>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</si>
  <si>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</si>
  <si>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</si>
  <si>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</si>
  <si>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</si>
  <si>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</si>
  <si>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</si>
  <si>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</si>
  <si>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</si>
  <si>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</si>
  <si>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</si>
  <si>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</si>
  <si>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</si>
  <si>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</si>
  <si>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</si>
  <si>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</si>
  <si>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</si>
  <si>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</si>
  <si>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</si>
  <si>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</si>
  <si>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</si>
  <si>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</si>
  <si>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</si>
  <si>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</si>
  <si>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</si>
  <si>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</si>
  <si>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</si>
  <si>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</si>
  <si>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</si>
  <si>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</si>
  <si>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</si>
  <si>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</si>
  <si>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</si>
  <si>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</si>
  <si>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</si>
  <si>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</si>
  <si>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</si>
  <si>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</si>
  <si>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</si>
  <si>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</si>
  <si>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</si>
  <si>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</si>
  <si>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</si>
  <si>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</si>
  <si>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</si>
  <si>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</si>
  <si>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</si>
  <si>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</si>
  <si>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</si>
  <si>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</si>
  <si>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</si>
  <si>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</si>
  <si>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</si>
  <si>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</si>
  <si>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</si>
  <si>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</si>
  <si>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</si>
  <si>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</si>
  <si>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</si>
  <si>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</si>
  <si>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</si>
  <si>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</si>
  <si>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</si>
  <si>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</si>
  <si>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</si>
  <si>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</si>
  <si>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</si>
  <si>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</si>
  <si>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</si>
  <si>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</si>
  <si>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</si>
  <si>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</si>
  <si>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</si>
  <si>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</si>
  <si>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</si>
  <si>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</si>
  <si>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</si>
  <si>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</si>
  <si>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</si>
  <si>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</si>
  <si>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</si>
  <si>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</si>
  <si>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</si>
  <si>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</si>
  <si>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</si>
  <si>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</si>
  <si>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</si>
  <si>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</si>
  <si>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</si>
  <si>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</si>
  <si>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</si>
  <si>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</si>
  <si>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</si>
  <si>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</si>
  <si>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</si>
  <si>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</si>
  <si>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</si>
  <si>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</si>
  <si>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</si>
  <si>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</si>
  <si>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</si>
  <si>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</si>
  <si>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</si>
  <si>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</si>
  <si>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</si>
  <si>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</si>
  <si>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</si>
  <si>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</si>
  <si>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</si>
  <si>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</si>
  <si>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</si>
  <si>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</si>
  <si>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</si>
  <si>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</si>
  <si>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</si>
  <si>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</si>
  <si>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</si>
  <si>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</si>
  <si>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</si>
  <si>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</si>
  <si>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</si>
  <si>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</si>
  <si>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</si>
  <si>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</si>
  <si>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</si>
  <si>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</si>
  <si>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</si>
  <si>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</si>
  <si>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</si>
  <si>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</si>
  <si>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</si>
  <si>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</si>
  <si>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</si>
  <si>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</si>
  <si>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</si>
  <si>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</si>
  <si>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</si>
  <si>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</si>
  <si>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</si>
  <si>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</si>
  <si>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</si>
  <si>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</si>
  <si>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</si>
  <si>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</si>
  <si>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</si>
  <si>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</si>
  <si>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</si>
  <si>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</si>
  <si>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</si>
  <si>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</si>
  <si>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</si>
  <si>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</si>
  <si>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</si>
  <si>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</si>
  <si>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</si>
  <si>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</si>
  <si>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</si>
  <si>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</si>
  <si>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</si>
  <si>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</si>
  <si>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</si>
  <si>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</si>
  <si>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</si>
  <si>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</si>
  <si>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</si>
  <si>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</si>
  <si>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</si>
  <si>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</si>
  <si>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</si>
  <si>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</si>
  <si>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</si>
  <si>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</si>
  <si>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</si>
  <si>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</si>
  <si>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</si>
  <si>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</si>
  <si>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</si>
  <si>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</si>
  <si>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</si>
  <si>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</si>
  <si>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</si>
  <si>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</si>
  <si>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</si>
  <si>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</si>
  <si>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</si>
  <si>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</si>
  <si>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</si>
  <si>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</si>
  <si>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</si>
  <si>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</si>
  <si>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</si>
  <si>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</si>
  <si>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</si>
  <si>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</si>
  <si>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</si>
  <si>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</si>
  <si>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</si>
  <si>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</si>
  <si>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</si>
  <si>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</si>
  <si>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</si>
  <si>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</si>
  <si>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</si>
  <si>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</si>
  <si>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</si>
  <si>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</si>
  <si>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</si>
  <si>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</si>
  <si>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</si>
  <si>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</si>
  <si>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</si>
  <si>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</si>
  <si>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</si>
  <si>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</si>
  <si>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</si>
  <si>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</si>
  <si>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</si>
  <si>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</si>
  <si>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</si>
  <si>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</si>
  <si>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</si>
  <si>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</si>
  <si>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</si>
  <si>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</si>
  <si>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</si>
  <si>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</si>
  <si>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</si>
  <si>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</si>
  <si>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</si>
  <si>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</si>
  <si>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</si>
  <si>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</si>
  <si>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</si>
  <si>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</si>
  <si>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</si>
  <si>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</si>
  <si>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</si>
  <si>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</si>
  <si>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</si>
  <si>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</si>
  <si>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</si>
  <si>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</si>
  <si>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</si>
  <si>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</si>
  <si>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</si>
  <si>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</si>
  <si>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</si>
  <si>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</si>
  <si>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</si>
  <si>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</si>
  <si>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</si>
  <si>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</si>
  <si>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</si>
  <si>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</si>
  <si>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</si>
  <si>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</si>
  <si>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</si>
  <si>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</si>
  <si>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</si>
  <si>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</si>
  <si>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</si>
  <si>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</si>
  <si>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</si>
  <si>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</si>
  <si>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</si>
  <si>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</si>
  <si>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</si>
  <si>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</si>
  <si>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</si>
  <si>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</si>
  <si>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</si>
  <si>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</si>
  <si>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</si>
  <si>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</si>
  <si>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</si>
  <si>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</si>
  <si>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</si>
  <si>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</si>
  <si>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</si>
  <si>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</si>
  <si>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</si>
  <si>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</si>
  <si>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</si>
  <si>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</si>
  <si>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</si>
  <si>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</si>
  <si>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</si>
  <si>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</si>
  <si>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</si>
  <si>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</si>
  <si>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</si>
  <si>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</si>
  <si>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</si>
  <si>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</si>
  <si>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</si>
  <si>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</si>
  <si>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</si>
  <si>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</si>
  <si>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</si>
  <si>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</si>
  <si>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</si>
  <si>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</si>
  <si>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</si>
  <si>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</si>
  <si>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</si>
  <si>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</si>
  <si>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</si>
  <si>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</si>
  <si>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</si>
  <si>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</si>
  <si>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</si>
  <si>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</si>
  <si>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</si>
  <si>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</si>
  <si>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</si>
  <si>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</si>
  <si>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</si>
  <si>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</si>
  <si>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</si>
  <si>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</si>
  <si>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</si>
  <si>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</si>
  <si>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</si>
  <si>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</si>
  <si>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</si>
  <si>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</si>
  <si>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</si>
  <si>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</si>
  <si>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</si>
  <si>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</si>
  <si>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</si>
  <si>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</si>
  <si>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</si>
  <si>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</si>
  <si>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</si>
  <si>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</si>
  <si>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</si>
  <si>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</si>
  <si>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</si>
  <si>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</si>
  <si>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</si>
  <si>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</si>
  <si>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</si>
  <si>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</si>
  <si>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</si>
  <si>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</si>
  <si>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</si>
  <si>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</si>
  <si>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</si>
  <si>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</si>
  <si>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</si>
  <si>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</si>
  <si>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</si>
  <si>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</si>
  <si>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</si>
  <si>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</si>
  <si>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</si>
  <si>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</si>
  <si>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</si>
  <si>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</si>
  <si>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</si>
  <si>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</si>
  <si>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</si>
  <si>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</si>
  <si>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</si>
  <si>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</si>
  <si>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</si>
  <si>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</si>
  <si>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</si>
  <si>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</si>
  <si>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</si>
  <si>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</si>
  <si>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</si>
  <si>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</si>
  <si>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</si>
  <si>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</si>
  <si>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</si>
  <si>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</si>
  <si>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</si>
  <si>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</si>
  <si>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</si>
  <si>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</si>
  <si>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</si>
  <si>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</si>
  <si>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</si>
  <si>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</si>
  <si>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</si>
  <si>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</si>
  <si>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</si>
  <si>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</si>
  <si>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</si>
  <si>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</si>
  <si>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</si>
  <si>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</si>
  <si>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</si>
  <si>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</si>
  <si>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</si>
  <si>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</si>
  <si>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</si>
  <si>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</si>
  <si>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</si>
  <si>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</si>
  <si>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</si>
  <si>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</si>
  <si>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</si>
  <si>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</si>
  <si>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</si>
  <si>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</si>
  <si>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</si>
  <si>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</si>
  <si>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</si>
  <si>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</si>
  <si>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</si>
  <si>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</si>
  <si>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</si>
  <si>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</si>
  <si>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</si>
  <si>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</si>
  <si>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</si>
  <si>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</si>
  <si>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</si>
  <si>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</si>
  <si>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</si>
  <si>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</si>
  <si>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</si>
  <si>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</si>
  <si>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</si>
  <si>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</si>
  <si>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</si>
  <si>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</si>
  <si>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</si>
  <si>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</si>
  <si>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</si>
  <si>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</si>
  <si>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</si>
  <si>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</si>
  <si>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</si>
  <si>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</si>
  <si>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</si>
  <si>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</si>
  <si>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</si>
  <si>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</si>
  <si>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</si>
  <si>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</si>
  <si>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</si>
  <si>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</si>
  <si>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</si>
  <si>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</si>
  <si>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</si>
  <si>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</si>
  <si>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</si>
  <si>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</si>
  <si>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</si>
  <si>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</si>
  <si>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</si>
  <si>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</si>
  <si>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</si>
  <si>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</si>
  <si>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</si>
  <si>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</si>
  <si>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</si>
  <si>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</si>
  <si>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</si>
  <si>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</si>
  <si>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</si>
  <si>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</si>
  <si>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</si>
  <si>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</si>
  <si>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</si>
  <si>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</si>
  <si>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</si>
  <si>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</si>
  <si>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</si>
  <si>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</si>
  <si>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</si>
  <si>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</si>
  <si>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</si>
  <si>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</si>
  <si>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</si>
  <si>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</si>
  <si>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</si>
  <si>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</si>
  <si>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</si>
  <si>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</si>
  <si>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</si>
  <si>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</si>
  <si>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</si>
  <si>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</si>
  <si>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</si>
  <si>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</si>
  <si>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</si>
  <si>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</si>
  <si>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</si>
  <si>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</si>
  <si>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</si>
  <si>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</si>
  <si>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</si>
  <si>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</si>
  <si>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</si>
  <si>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</si>
  <si>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</si>
  <si>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</si>
  <si>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</si>
  <si>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</si>
  <si>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</si>
  <si>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</si>
  <si>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</si>
  <si>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</si>
  <si>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</si>
  <si>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</si>
  <si>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</si>
  <si>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</si>
  <si>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</si>
  <si>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</si>
  <si>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</si>
  <si>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</si>
  <si>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</si>
  <si>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</si>
  <si>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</si>
  <si>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</si>
  <si>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</si>
  <si>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</si>
  <si>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</si>
  <si>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</si>
  <si>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</si>
  <si>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</si>
  <si>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</si>
  <si>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</si>
  <si>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</si>
  <si>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</si>
  <si>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</si>
  <si>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</si>
  <si>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</si>
  <si>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</si>
  <si>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</si>
  <si>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</si>
  <si>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</si>
  <si>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</si>
  <si>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</si>
  <si>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</si>
  <si>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</si>
  <si>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</si>
  <si>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</si>
  <si>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</si>
  <si>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</si>
  <si>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</si>
  <si>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</si>
  <si>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</si>
  <si>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</si>
  <si>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</si>
  <si>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</si>
  <si>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</si>
  <si>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</si>
  <si>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</si>
  <si>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</si>
  <si>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</si>
  <si>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</si>
  <si>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</si>
  <si>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</si>
  <si>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</si>
  <si>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</si>
  <si>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</si>
  <si>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</si>
  <si>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</si>
  <si>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</si>
  <si>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</si>
  <si>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</si>
  <si>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</si>
  <si>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</si>
  <si>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</si>
  <si>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</si>
  <si>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</si>
  <si>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</si>
  <si>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</si>
  <si>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</si>
  <si>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</si>
  <si>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</si>
  <si>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</si>
  <si>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</si>
  <si>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</si>
  <si>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</si>
  <si>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</si>
  <si>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</si>
  <si>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</si>
  <si>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</si>
  <si>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</si>
  <si>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</si>
  <si>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</si>
  <si>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</si>
  <si>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</si>
  <si>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</si>
  <si>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</si>
  <si>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</si>
  <si>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</si>
  <si>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</si>
  <si>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</si>
  <si>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</si>
  <si>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</si>
  <si>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</si>
  <si>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</si>
  <si>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</si>
  <si>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</si>
  <si>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</si>
  <si>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</si>
  <si>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</si>
  <si>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</si>
  <si>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</si>
  <si>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</si>
  <si>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</si>
  <si>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</si>
  <si>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</si>
  <si>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</si>
  <si>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</si>
  <si>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</si>
  <si>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</si>
  <si>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</si>
  <si>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</si>
  <si>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</si>
  <si>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</si>
  <si>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</si>
  <si>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</si>
  <si>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</si>
  <si>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</si>
  <si>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</si>
  <si>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</si>
  <si>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</si>
  <si>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</si>
  <si>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</si>
  <si>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</si>
  <si>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</si>
  <si>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</si>
  <si>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</si>
  <si>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</si>
  <si>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</si>
  <si>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</si>
  <si>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</si>
  <si>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</si>
  <si>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</si>
  <si>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</si>
  <si>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</si>
  <si>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</si>
  <si>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</si>
  <si>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</si>
  <si>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</si>
  <si>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</si>
  <si>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</si>
  <si>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</si>
  <si>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</si>
  <si>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</si>
  <si>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</si>
  <si>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</si>
  <si>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</si>
  <si>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</si>
  <si>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</si>
  <si>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</si>
  <si>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</si>
  <si>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</si>
  <si>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</si>
  <si>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</si>
  <si>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</si>
  <si>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</si>
  <si>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</si>
  <si>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</si>
  <si>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</si>
  <si>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</si>
  <si>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</si>
  <si>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</si>
  <si>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</si>
  <si>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</si>
  <si>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</si>
  <si>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</si>
  <si>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</si>
  <si>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</si>
  <si>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</si>
  <si>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</si>
  <si>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</si>
  <si>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</si>
  <si>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</si>
  <si>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</si>
  <si>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</si>
  <si>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</si>
  <si>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</si>
  <si>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</si>
  <si>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</si>
  <si>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</si>
  <si>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</si>
  <si>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</si>
  <si>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</si>
  <si>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</si>
  <si>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</si>
  <si>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</si>
  <si>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</si>
  <si>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</si>
  <si>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</si>
  <si>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</si>
  <si>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</si>
  <si>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</si>
  <si>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</si>
  <si>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</si>
  <si>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</si>
  <si>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</si>
  <si>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</si>
  <si>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</si>
  <si>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</si>
  <si>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</si>
  <si>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</si>
  <si>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</si>
  <si>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</si>
  <si>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</si>
  <si>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</si>
  <si>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</si>
  <si>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</si>
  <si>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</si>
  <si>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</si>
  <si>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</si>
  <si>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</si>
  <si>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</si>
  <si>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</si>
  <si>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</si>
  <si>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</si>
  <si>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</si>
  <si>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</si>
  <si>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</si>
  <si>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</si>
  <si>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</si>
  <si>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</si>
  <si>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</si>
  <si>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</si>
  <si>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</si>
  <si>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</si>
  <si>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</si>
  <si>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</si>
  <si>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</si>
  <si>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</si>
  <si>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</si>
  <si>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</si>
  <si>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</si>
  <si>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</si>
  <si>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</si>
  <si>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</si>
  <si>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</si>
  <si>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</si>
  <si>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</si>
  <si>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</si>
  <si>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</si>
  <si>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</si>
  <si>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</si>
  <si>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</si>
  <si>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</si>
  <si>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</si>
  <si>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</si>
  <si>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</si>
  <si>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</si>
  <si>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</si>
  <si>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</si>
  <si>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</si>
  <si>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</si>
  <si>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</si>
  <si>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</si>
  <si>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</si>
  <si>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</si>
  <si>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</si>
  <si>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</si>
  <si>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</si>
  <si>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</si>
  <si>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</si>
  <si>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</si>
  <si>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</si>
  <si>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</si>
  <si>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</si>
  <si>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</si>
  <si>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</si>
  <si>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</si>
  <si>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</si>
  <si>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</si>
  <si>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</si>
  <si>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</si>
  <si>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</si>
  <si>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</si>
  <si>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</si>
  <si>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</si>
  <si>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</si>
  <si>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</si>
  <si>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</si>
  <si>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</si>
  <si>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</si>
  <si>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</si>
  <si>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</si>
  <si>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</si>
  <si>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</si>
  <si>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</si>
  <si>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</si>
  <si>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</si>
  <si>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</si>
  <si>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</si>
  <si>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</si>
  <si>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</si>
  <si>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</si>
  <si>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</si>
  <si>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</si>
  <si>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</si>
  <si>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</si>
  <si>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</si>
  <si>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</si>
  <si>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</si>
  <si>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</si>
  <si>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</si>
  <si>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</si>
  <si>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</si>
  <si>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</si>
  <si>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</si>
  <si>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</si>
  <si>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</si>
  <si>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</si>
  <si>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</si>
  <si>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</si>
  <si>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</si>
  <si>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</si>
  <si>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</si>
  <si>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</si>
  <si>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</si>
  <si>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</si>
  <si>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</si>
  <si>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</si>
  <si>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</si>
  <si>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</si>
  <si>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</si>
  <si>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</si>
  <si>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</si>
  <si>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</si>
  <si>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</si>
  <si>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</si>
  <si>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</si>
  <si>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</si>
  <si>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</si>
  <si>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</si>
  <si>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</si>
  <si>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</si>
  <si>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</si>
  <si>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</si>
  <si>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</si>
  <si>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</si>
  <si>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</si>
  <si>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</si>
  <si>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</si>
  <si>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</si>
  <si>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</si>
  <si>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</si>
  <si>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</si>
  <si>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</si>
  <si>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</si>
  <si>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</si>
  <si>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</si>
  <si>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</si>
  <si>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</si>
  <si>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</si>
  <si>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</si>
  <si>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</si>
  <si>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</si>
  <si>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</si>
  <si>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</si>
  <si>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</si>
  <si>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</si>
  <si>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</si>
  <si>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</si>
  <si>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</si>
  <si>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</si>
  <si>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</si>
  <si>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</si>
  <si>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</si>
  <si>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</si>
  <si>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</si>
  <si>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</si>
  <si>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</si>
  <si>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</si>
  <si>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</si>
  <si>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</si>
  <si>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</si>
  <si>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</si>
  <si>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</si>
  <si>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</si>
  <si>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</si>
  <si>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</si>
  <si>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</si>
  <si>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</si>
  <si>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</si>
  <si>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</si>
  <si>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</si>
  <si>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</si>
  <si>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</si>
  <si>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</si>
  <si>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</si>
  <si>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</si>
  <si>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</si>
  <si>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</si>
  <si>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</si>
  <si>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</si>
  <si>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</si>
  <si>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</si>
  <si>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</si>
  <si>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</si>
  <si>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</si>
  <si>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</si>
  <si>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</si>
  <si>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</si>
  <si>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</si>
  <si>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</si>
  <si>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</si>
  <si>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</si>
  <si>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</si>
  <si>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</si>
  <si>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</si>
  <si>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</si>
  <si>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</si>
  <si>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</si>
  <si>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</si>
  <si>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</si>
  <si>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</si>
  <si>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</si>
  <si>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</si>
  <si>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</si>
  <si>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</si>
  <si>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</si>
  <si>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</si>
  <si>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</si>
  <si>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</si>
  <si>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</si>
  <si>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</si>
  <si>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</si>
  <si>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</si>
  <si>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</si>
  <si>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</si>
  <si>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</si>
  <si>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</si>
  <si>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</si>
  <si>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</si>
  <si>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</si>
  <si>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</si>
  <si>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</si>
  <si>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</si>
  <si>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</si>
  <si>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</si>
  <si>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</si>
  <si>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</si>
  <si>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</si>
  <si>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</si>
  <si>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</si>
  <si>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</si>
  <si>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</si>
  <si>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</si>
  <si>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</si>
  <si>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</si>
  <si>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</si>
  <si>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</si>
  <si>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</si>
  <si>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</si>
  <si>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</si>
  <si>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</si>
  <si>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</si>
  <si>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</si>
  <si>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</si>
  <si>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</si>
  <si>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</si>
  <si>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</si>
  <si>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</si>
  <si>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</si>
  <si>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</si>
  <si>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</si>
  <si>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</si>
  <si>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</si>
  <si>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</si>
  <si>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</si>
  <si>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</si>
  <si>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</si>
  <si>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</si>
  <si>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</si>
  <si>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</si>
  <si>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</si>
  <si>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</si>
  <si>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</si>
  <si>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</si>
  <si>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</si>
  <si>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</si>
  <si>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</si>
  <si>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</si>
  <si>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</si>
  <si>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</si>
  <si>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</si>
  <si>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</si>
  <si>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</si>
  <si>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</si>
  <si>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</si>
  <si>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</si>
  <si>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</si>
  <si>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</si>
  <si>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</si>
  <si>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</si>
  <si>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</si>
  <si>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</si>
  <si>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</si>
  <si>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</si>
  <si>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</si>
  <si>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</si>
  <si>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</si>
  <si>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</si>
  <si>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</si>
  <si>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</si>
  <si>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</si>
  <si>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</si>
  <si>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</si>
  <si>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</si>
  <si>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</si>
  <si>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</si>
  <si>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</si>
  <si>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</si>
  <si>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</si>
  <si>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</si>
  <si>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</si>
  <si>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</si>
  <si>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</si>
  <si>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</si>
  <si>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</si>
  <si>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</si>
  <si>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</si>
  <si>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</si>
  <si>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</si>
  <si>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</si>
  <si>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</si>
  <si>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</si>
  <si>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</si>
  <si>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</si>
  <si>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</si>
  <si>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</si>
  <si>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</si>
  <si>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</si>
  <si>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</si>
  <si>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</si>
  <si>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</si>
  <si>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</si>
  <si>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</si>
  <si>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</si>
  <si>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</si>
  <si>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</si>
  <si>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</si>
  <si>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</si>
  <si>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</si>
  <si>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</si>
  <si>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</si>
  <si>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</si>
  <si>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</si>
  <si>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</si>
  <si>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</si>
  <si>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</si>
  <si>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</si>
  <si>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</si>
  <si>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</si>
  <si>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</si>
  <si>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</si>
  <si>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</si>
  <si>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</si>
  <si>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</si>
  <si>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</si>
  <si>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</si>
  <si>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</si>
  <si>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</si>
  <si>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</si>
  <si>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</si>
  <si>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</si>
  <si>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</si>
  <si>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</si>
  <si>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</si>
  <si>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</si>
  <si>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</si>
  <si>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</si>
  <si>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</si>
  <si>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</si>
  <si>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</si>
  <si>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</si>
  <si>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</si>
  <si>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</si>
  <si>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</si>
  <si>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</si>
  <si>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</si>
  <si>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</si>
  <si>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</si>
  <si>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</si>
  <si>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</si>
  <si>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</si>
  <si>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</si>
  <si>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</si>
  <si>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</si>
  <si>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</si>
  <si>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</si>
  <si>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</si>
  <si>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</si>
  <si>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</si>
  <si>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</si>
  <si>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</si>
  <si>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</si>
  <si>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</si>
  <si>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</si>
  <si>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</si>
  <si>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</si>
  <si>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</si>
  <si>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</si>
  <si>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</si>
  <si>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</si>
  <si>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</si>
  <si>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</si>
  <si>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</si>
  <si>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</si>
  <si>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</si>
  <si>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</si>
  <si>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</si>
  <si>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</si>
  <si>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</si>
  <si>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</si>
  <si>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</si>
  <si>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</si>
  <si>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</si>
  <si>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</si>
  <si>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</si>
  <si>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</si>
  <si>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</si>
  <si>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</si>
  <si>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</si>
  <si>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</si>
  <si>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</si>
  <si>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</si>
  <si>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</si>
  <si>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</si>
  <si>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</si>
  <si>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</si>
  <si>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</si>
  <si>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</si>
  <si>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</si>
  <si>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</si>
  <si>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</si>
  <si>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</si>
  <si>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</si>
  <si>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</si>
  <si>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</si>
  <si>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</si>
  <si>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</si>
  <si>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</si>
  <si>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</si>
  <si>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</si>
  <si>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</si>
  <si>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</si>
  <si>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</si>
  <si>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</si>
  <si>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</si>
  <si>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</si>
  <si>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</si>
  <si>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</si>
  <si>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</si>
  <si>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</si>
  <si>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</si>
  <si>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</si>
  <si>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</si>
  <si>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</si>
  <si>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</si>
  <si>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</si>
  <si>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</si>
  <si>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</si>
  <si>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</si>
  <si>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</si>
  <si>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</si>
  <si>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</si>
  <si>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</si>
  <si>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</si>
  <si>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</si>
  <si>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</si>
  <si>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</si>
  <si>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</si>
  <si>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</si>
  <si>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</si>
  <si>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</si>
  <si>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</si>
  <si>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</si>
  <si>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</si>
  <si>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</si>
  <si>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</si>
  <si>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</si>
  <si>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</si>
  <si>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</si>
  <si>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</si>
  <si>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</si>
  <si>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</si>
  <si>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</si>
  <si>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</si>
  <si>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</si>
  <si>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</si>
  <si>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</si>
  <si>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</si>
  <si>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</si>
  <si>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</si>
  <si>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</si>
  <si>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</si>
  <si>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</si>
  <si>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</si>
  <si>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</si>
  <si>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</si>
  <si>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</si>
  <si>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</si>
  <si>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</si>
  <si>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</si>
  <si>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</si>
  <si>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</si>
  <si>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</si>
  <si>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</si>
  <si>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</si>
  <si>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</si>
  <si>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</si>
  <si>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</si>
  <si>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</si>
  <si>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</si>
  <si>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</si>
  <si>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</si>
  <si>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</si>
  <si>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</si>
  <si>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</si>
  <si>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</si>
  <si>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</si>
  <si>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</si>
  <si>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</si>
  <si>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</si>
  <si>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</si>
  <si>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</si>
  <si>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</si>
  <si>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</si>
  <si>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</si>
  <si>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</si>
  <si>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</si>
  <si>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</si>
  <si>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</si>
  <si>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</si>
  <si>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</si>
  <si>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</si>
  <si>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</si>
  <si>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</si>
  <si>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</si>
  <si>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</si>
  <si>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</si>
  <si>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</si>
  <si>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</si>
  <si>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</si>
  <si>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</si>
  <si>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</si>
  <si>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</si>
  <si>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</si>
  <si>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</si>
  <si>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</si>
  <si>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</si>
  <si>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</si>
  <si>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</si>
  <si>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</si>
  <si>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</si>
  <si>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</si>
  <si>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</si>
  <si>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</si>
  <si>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</si>
  <si>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</si>
  <si>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</si>
  <si>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</si>
  <si>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</si>
  <si>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</si>
  <si>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</si>
  <si>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</si>
  <si>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</si>
  <si>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</si>
  <si>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</si>
  <si>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</si>
  <si>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</si>
  <si>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</si>
  <si>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</si>
  <si>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</si>
  <si>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</si>
  <si>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</si>
  <si>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</si>
  <si>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</si>
  <si>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</si>
  <si>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</si>
  <si>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</si>
  <si>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</si>
  <si>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</si>
  <si>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</si>
  <si>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</si>
  <si>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</si>
  <si>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</si>
  <si>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</si>
  <si>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</si>
  <si>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</si>
  <si>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</si>
  <si>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</si>
  <si>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</si>
  <si>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</si>
  <si>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</si>
  <si>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</si>
  <si>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</si>
  <si>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</si>
  <si>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</si>
  <si>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</si>
  <si>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</si>
  <si>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</si>
  <si>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</si>
  <si>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</si>
  <si>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</si>
  <si>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</si>
  <si>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</si>
  <si>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</si>
  <si>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</si>
  <si>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</si>
  <si>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</si>
  <si>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</si>
  <si>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</si>
  <si>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</si>
  <si>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</si>
  <si>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</si>
  <si>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</si>
  <si>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</si>
  <si>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</si>
  <si>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</si>
  <si>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</si>
  <si>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</si>
  <si>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</si>
  <si>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</si>
  <si>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</si>
  <si>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</si>
  <si>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</si>
  <si>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</si>
  <si>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</si>
  <si>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</si>
  <si>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</si>
  <si>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</si>
  <si>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</si>
  <si>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</si>
  <si>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</si>
  <si>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</si>
  <si>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</si>
  <si>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</si>
  <si>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</si>
  <si>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</si>
  <si>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</si>
  <si>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</si>
  <si>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</si>
  <si>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</si>
  <si>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</si>
  <si>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</si>
  <si>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</si>
  <si>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</si>
  <si>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</si>
  <si>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</si>
  <si>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</si>
  <si>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</si>
  <si>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</si>
  <si>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</si>
  <si>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</si>
  <si>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</si>
  <si>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</si>
  <si>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</si>
  <si>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</si>
  <si>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</si>
  <si>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</si>
  <si>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</si>
  <si>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</si>
  <si>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</si>
  <si>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</si>
  <si>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</si>
  <si>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</si>
  <si>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</si>
  <si>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</si>
  <si>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</si>
  <si>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</si>
  <si>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</si>
  <si>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</si>
  <si>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</si>
  <si>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</si>
  <si>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</si>
  <si>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</si>
  <si>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</si>
  <si>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</si>
  <si>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</si>
  <si>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</si>
  <si>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</si>
  <si>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</si>
  <si>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</si>
  <si>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</si>
  <si>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</si>
  <si>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</si>
  <si>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</si>
  <si>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</si>
  <si>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</si>
  <si>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</si>
  <si>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</si>
  <si>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</si>
  <si>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</si>
  <si>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</si>
  <si>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</si>
  <si>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</si>
  <si>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</si>
  <si>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</si>
  <si>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</si>
  <si>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</si>
  <si>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</si>
  <si>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</si>
  <si>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</si>
  <si>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</si>
  <si>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</si>
  <si>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</si>
  <si>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</si>
  <si>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</si>
  <si>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</si>
  <si>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</si>
  <si>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</si>
  <si>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</si>
  <si>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</si>
  <si>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</si>
  <si>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</si>
  <si>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</si>
  <si>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</si>
  <si>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</si>
  <si>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</si>
  <si>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</si>
  <si>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</si>
  <si>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</si>
  <si>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</si>
  <si>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</si>
  <si>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</si>
  <si>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</si>
  <si>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</si>
  <si>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</si>
  <si>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</si>
  <si>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</si>
  <si>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</si>
  <si>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</si>
  <si>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</si>
  <si>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</si>
  <si>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</si>
  <si>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</si>
  <si>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</si>
  <si>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</si>
  <si>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</si>
  <si>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</si>
  <si>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</si>
  <si>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</si>
  <si>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</si>
  <si>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</si>
  <si>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</si>
  <si>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</si>
  <si>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</si>
  <si>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</si>
  <si>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</si>
  <si>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</si>
  <si>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</si>
  <si>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</si>
  <si>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</si>
  <si>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</si>
  <si>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</si>
  <si>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</si>
  <si>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</si>
  <si>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</si>
  <si>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</si>
  <si>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</si>
  <si>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</si>
  <si>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</si>
  <si>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</si>
  <si>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</si>
  <si>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</si>
  <si>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</si>
  <si>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</si>
  <si>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</si>
  <si>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</si>
  <si>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</si>
  <si>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</si>
  <si>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</si>
  <si>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</si>
  <si>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</si>
  <si>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</si>
  <si>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</si>
  <si>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</si>
  <si>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</si>
  <si>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</si>
  <si>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</si>
  <si>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</si>
  <si>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</si>
  <si>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</si>
  <si>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</si>
  <si>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</si>
  <si>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</si>
  <si>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</si>
  <si>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</si>
  <si>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</si>
  <si>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</si>
  <si>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</si>
  <si>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</si>
  <si>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</si>
  <si>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</si>
  <si>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</si>
  <si>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</si>
  <si>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</si>
  <si>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</si>
  <si>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</si>
  <si>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</si>
  <si>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</si>
  <si>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</si>
  <si>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</si>
  <si>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</si>
  <si>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</si>
  <si>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</si>
  <si>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</si>
  <si>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</si>
  <si>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</si>
  <si>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</si>
  <si>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</si>
  <si>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</si>
  <si>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</si>
  <si>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</si>
  <si>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</si>
  <si>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</si>
  <si>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</si>
  <si>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</si>
  <si>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</si>
  <si>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</si>
  <si>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</si>
  <si>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</si>
  <si>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</si>
  <si>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</si>
  <si>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</si>
  <si>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</si>
  <si>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</si>
  <si>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</si>
  <si>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</si>
  <si>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</si>
  <si>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</si>
  <si>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</si>
  <si>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</si>
  <si>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</si>
  <si>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</si>
  <si>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</si>
  <si>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</si>
  <si>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</si>
  <si>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</si>
  <si>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</si>
  <si>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</si>
  <si>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</si>
  <si>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</si>
  <si>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</si>
  <si>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</si>
  <si>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</si>
  <si>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</si>
  <si>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</si>
  <si>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</si>
  <si>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</si>
  <si>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</si>
  <si>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</si>
  <si>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</si>
  <si>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</si>
  <si>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</si>
  <si>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(Multiple Items)</t>
  </si>
  <si>
    <t>Date Created Conversion</t>
  </si>
  <si>
    <t>Date Ended Conversion</t>
  </si>
  <si>
    <t>May</t>
  </si>
  <si>
    <t>Jun</t>
  </si>
  <si>
    <t>Jul</t>
  </si>
  <si>
    <t>Aug</t>
  </si>
  <si>
    <t>Oct</t>
  </si>
  <si>
    <t>Dec</t>
  </si>
  <si>
    <t>Apr</t>
  </si>
  <si>
    <t>Sep</t>
  </si>
  <si>
    <t>Nov</t>
  </si>
  <si>
    <t>Feb</t>
  </si>
  <si>
    <t>Mar</t>
  </si>
  <si>
    <t>Jan</t>
  </si>
  <si>
    <t>Years</t>
  </si>
  <si>
    <t>Name</t>
  </si>
  <si>
    <t>Blurb</t>
  </si>
  <si>
    <t>Be prepared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</si>
  <si>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</si>
  <si>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</si>
  <si>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</si>
  <si>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</si>
  <si>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</si>
  <si>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</si>
  <si>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</si>
  <si>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</si>
  <si>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</si>
  <si>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</si>
  <si>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</si>
  <si>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</si>
  <si>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</si>
  <si>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</si>
  <si>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</si>
  <si>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</si>
  <si>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</si>
  <si>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</si>
  <si>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</si>
  <si>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</si>
  <si>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</si>
  <si>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</si>
  <si>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</si>
  <si>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</si>
  <si>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</si>
  <si>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</si>
  <si>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</si>
  <si>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</si>
  <si>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</si>
  <si>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</si>
  <si>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</si>
  <si>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</si>
  <si>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Number Failed</t>
  </si>
  <si>
    <t>1000 to 4999</t>
  </si>
  <si>
    <t>0 to 1000</t>
  </si>
  <si>
    <t>50000 and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</si>
</sst>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A5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Date!Outcome Vs Lanch Month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E-5E4E-B5F6-5C3034CEFB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31</c:v>
                </c:pt>
                <c:pt idx="1">
                  <c:v>37</c:v>
                </c:pt>
                <c:pt idx="2">
                  <c:v>34</c:v>
                </c:pt>
                <c:pt idx="3">
                  <c:v>40</c:v>
                </c:pt>
                <c:pt idx="4">
                  <c:v>54</c:v>
                </c:pt>
                <c:pt idx="5">
                  <c:v>52</c:v>
                </c:pt>
                <c:pt idx="6">
                  <c:v>52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E-5E4E-B5F6-5C3034CEFB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E-5E4E-B5F6-5C3034CEF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046192"/>
        <c:axId val="787758336"/>
      </c:lineChart>
      <c:catAx>
        <c:axId val="67504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758336"/>
        <c:crosses val="autoZero"/>
        <c:auto val="1"/>
        <c:lblAlgn val="ctr"/>
        <c:lblOffset val="100"/>
        <c:noMultiLvlLbl val="0"/>
      </c:catAx>
      <c:valAx>
        <c:axId val="7877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Based on Goal (Plays)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up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AD-1E42-BD38-29277353BD5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A54F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up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AD-1E42-BD38-29277353BD5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up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AD-1E42-BD38-29277353B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268896"/>
        <c:axId val="630297328"/>
      </c:lineChart>
      <c:catAx>
        <c:axId val="71226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97328"/>
        <c:crosses val="autoZero"/>
        <c:auto val="1"/>
        <c:lblAlgn val="ctr"/>
        <c:lblOffset val="100"/>
        <c:noMultiLvlLbl val="0"/>
      </c:catAx>
      <c:valAx>
        <c:axId val="63029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6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E-B44A-867D-2B0F3D640D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104</c:v>
                </c:pt>
                <c:pt idx="2">
                  <c:v>109</c:v>
                </c:pt>
                <c:pt idx="3">
                  <c:v>102</c:v>
                </c:pt>
                <c:pt idx="4">
                  <c:v>128</c:v>
                </c:pt>
                <c:pt idx="5">
                  <c:v>150</c:v>
                </c:pt>
                <c:pt idx="6">
                  <c:v>152</c:v>
                </c:pt>
                <c:pt idx="7">
                  <c:v>137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41-044C-B2E5-D7BCEC6FAA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41-044C-B2E5-D7BCEC6FAA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41-044C-B2E5-D7BCEC6FA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335504"/>
        <c:axId val="867342768"/>
      </c:lineChart>
      <c:catAx>
        <c:axId val="86733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342768"/>
        <c:crosses val="autoZero"/>
        <c:auto val="1"/>
        <c:lblAlgn val="ctr"/>
        <c:lblOffset val="100"/>
        <c:noMultiLvlLbl val="0"/>
      </c:catAx>
      <c:valAx>
        <c:axId val="8673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33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0-6145-AE8A-F47F23BE45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70-6145-AE8A-F47F23BE45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70-6145-AE8A-F47F23BE45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70-6145-AE8A-F47F23BE4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798559"/>
        <c:axId val="229800207"/>
      </c:barChart>
      <c:catAx>
        <c:axId val="22979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00207"/>
        <c:crosses val="autoZero"/>
        <c:auto val="1"/>
        <c:lblAlgn val="ctr"/>
        <c:lblOffset val="100"/>
        <c:noMultiLvlLbl val="0"/>
      </c:catAx>
      <c:valAx>
        <c:axId val="2298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9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8-5846-8442-993A946A10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78-5846-8442-993A946A10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78-5846-8442-993A946A1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413071"/>
        <c:axId val="225083503"/>
      </c:barChart>
      <c:catAx>
        <c:axId val="1704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83503"/>
        <c:crosses val="autoZero"/>
        <c:auto val="1"/>
        <c:lblAlgn val="ctr"/>
        <c:lblOffset val="100"/>
        <c:noMultiLvlLbl val="0"/>
      </c:catAx>
      <c:valAx>
        <c:axId val="22508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6</xdr:row>
      <xdr:rowOff>38100</xdr:rowOff>
    </xdr:from>
    <xdr:to>
      <xdr:col>19</xdr:col>
      <xdr:colOff>114300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B319B-EECD-744A-853D-AE152D59F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16</xdr:row>
      <xdr:rowOff>88900</xdr:rowOff>
    </xdr:from>
    <xdr:to>
      <xdr:col>10</xdr:col>
      <xdr:colOff>165100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ED998-04A1-6043-B6FE-07EA16004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0</xdr:rowOff>
    </xdr:from>
    <xdr:to>
      <xdr:col>10</xdr:col>
      <xdr:colOff>698500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31C88-DFBC-0843-8D6D-3EC83FEFB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9</xdr:row>
      <xdr:rowOff>69850</xdr:rowOff>
    </xdr:from>
    <xdr:to>
      <xdr:col>6</xdr:col>
      <xdr:colOff>292100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BBF63-C1B5-1148-BCC0-E3EE4B36C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184150</xdr:rowOff>
    </xdr:from>
    <xdr:to>
      <xdr:col>5</xdr:col>
      <xdr:colOff>508000</xdr:colOff>
      <xdr:row>23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FC981-A506-8147-93BB-D24F23CDB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rales" refreshedDate="44618.987761574077" createdVersion="7" refreshedVersion="7" minRefreshableVersion="3" recordCount="4115" xr:uid="{2BA85785-03C3-364C-BBA8-AB95AF5B42D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087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rales" refreshedDate="44618.987762037039" createdVersion="7" refreshedVersion="7" minRefreshableVersion="3" recordCount="4115" xr:uid="{2C8711EE-84E9-3742-89C5-A3C9A5BC866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087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rales" refreshedDate="44618.987762500001" createdVersion="7" refreshedVersion="7" minRefreshableVersion="3" recordCount="4114" xr:uid="{5148362A-58E1-1843-82C3-38DC940FDE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0"/>
    <d v="2015-07-23T0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1"/>
    <d v="2017-03-02T14:24:4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2"/>
    <d v="2016-02-15T16:51:23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"/>
    <d v="2014-08-07T12:21:47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"/>
    <d v="2015-12-19T20:01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5"/>
    <d v="2016-07-29T05:35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6"/>
    <d v="2014-06-14T01:44:1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7"/>
    <d v="2016-07-05T01:07:4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8"/>
    <d v="2016-04-15T21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9"/>
    <d v="2016-04-17T02:29:0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0"/>
    <d v="2014-06-25T01:37:59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1"/>
    <d v="2016-08-22T03:00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2"/>
    <d v="2014-07-16T03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3"/>
    <d v="2016-06-23T20:27: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4"/>
    <d v="2014-07-13T13:59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5"/>
    <d v="2015-09-27T20:14:0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6"/>
    <d v="2014-06-16T05:30:00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7"/>
    <d v="2014-11-04T18:33:4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18"/>
    <d v="2014-09-17T13:00:56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9"/>
    <d v="2015-07-20T19:35:3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0"/>
    <d v="2015-09-13T18:11:5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1"/>
    <d v="2014-09-26T15:03:0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2"/>
    <d v="2015-01-01T07:59:00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3"/>
    <d v="2015-04-30T15:2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4"/>
    <d v="2015-09-15T19:39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5"/>
    <d v="2016-01-09T00:36:0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6"/>
    <d v="2014-08-17T12:22:24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7"/>
    <d v="2014-11-16T04:57:13"/>
    <x v="3"/>
  </r>
  <r>
    <m/>
    <m/>
    <m/>
    <m/>
    <m/>
    <x v="4"/>
    <m/>
    <m/>
    <m/>
    <m/>
    <m/>
    <m/>
    <m/>
    <m/>
    <m/>
    <m/>
    <x v="9"/>
    <m/>
    <x v="4086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0"/>
    <d v="2015-07-23T0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1"/>
    <d v="2017-03-02T14:24: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2"/>
    <d v="2016-02-15T16:51: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"/>
    <d v="2014-08-07T12:21: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"/>
    <d v="2015-12-19T20:01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5"/>
    <d v="2016-07-29T05:35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6"/>
    <d v="2014-06-14T01:44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7"/>
    <d v="2016-07-05T01:07:4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8"/>
    <d v="2016-04-15T21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9"/>
    <d v="2016-04-17T02:29: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0"/>
    <d v="2014-06-25T01:37:5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1"/>
    <d v="2016-08-22T03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2"/>
    <d v="2014-07-16T03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3"/>
    <d v="2016-06-23T20:27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4"/>
    <d v="2014-07-13T13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5"/>
    <d v="2015-09-27T20:14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6"/>
    <d v="2014-06-16T05:3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7"/>
    <d v="2014-11-04T18:33:4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18"/>
    <d v="2014-09-17T13:00: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9"/>
    <d v="2015-07-20T19:35:3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0"/>
    <d v="2015-09-13T18:11:5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1"/>
    <d v="2014-09-26T15:03:0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2"/>
    <d v="2015-01-01T07:59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3"/>
    <d v="2015-04-30T15:2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4"/>
    <d v="2015-09-15T19:39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5"/>
    <d v="2016-01-09T00:36:0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6"/>
    <d v="2014-08-17T12:22: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7"/>
    <d v="2014-11-16T04:57:13"/>
  </r>
  <r>
    <m/>
    <m/>
    <m/>
    <m/>
    <m/>
    <x v="4"/>
    <m/>
    <m/>
    <m/>
    <m/>
    <m/>
    <m/>
    <m/>
    <m/>
    <m/>
    <m/>
    <x v="9"/>
    <m/>
    <x v="408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B7F60-FB20-734F-9859-56810CF777E9}" name="Outcome Vs Lanch Month" cacheId="10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C94D3-C949-8B43-9A82-62F88E04FC57}" name="PivotTable5" cacheId="10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1"/>
        <item sd="0" x="2"/>
        <item sd="0" x="3"/>
        <item sd="0" x="4"/>
        <item x="0"/>
        <item x="5"/>
      </items>
    </pivotField>
    <pivotField showAll="0" defaultSubtotal="0">
      <items count="11">
        <item sd="0" x="6"/>
        <item sd="0" x="7"/>
        <item sd="0" x="8"/>
        <item sd="0" x="9"/>
        <item x="0"/>
        <item x="1"/>
        <item x="2"/>
        <item x="3"/>
        <item x="4"/>
        <item x="5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1C3F4-2543-8041-8B2C-E8BC3802B699}" name="PivotTable1" cacheId="10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5C63-63D7-A54E-AAD4-63EF37BF4ABD}" name="PivotTable2" cacheId="10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142" zoomScaleNormal="142" workbookViewId="0">
      <pane ySplit="1" topLeftCell="A2" activePane="bottomLeft" state="frozen"/>
      <selection pane="bottomLeft" activeCell="F6" sqref="F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5" bestFit="1" customWidth="1"/>
    <col min="17" max="17" width="41.1640625" customWidth="1"/>
    <col min="18" max="18" width="14.5" bestFit="1" customWidth="1"/>
    <col min="19" max="19" width="21" style="15" bestFit="1" customWidth="1"/>
    <col min="20" max="20" width="19.6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  <c r="U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87" si="317">(((J4035/60)/60)/24)+DATE(1970,1,1)</f>
        <v>42614.268796296295</v>
      </c>
      <c r="T4035" s="15">
        <f t="shared" ref="T4035:T4087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>(((J2/60)/60)/24)+DATE(1970,1,1)</f>
        <v>42177.007071759261</v>
      </c>
      <c r="T4088" s="15">
        <f>(((I2/60)/60)/24)+DATE(1970,1,1)</f>
        <v>42208.125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ref="S4089:S4115" si="320">(((J3/60)/60)/24)+DATE(1970,1,1)</f>
        <v>42766.600497685184</v>
      </c>
      <c r="T4089" s="15">
        <f t="shared" ref="T4089:T4115" si="321">(((I3/60)/60)/24)+DATE(1970,1,1)</f>
        <v>42796.600497685184</v>
      </c>
      <c r="U4089">
        <f t="shared" si="319"/>
        <v>2017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20"/>
        <v>42405.702349537038</v>
      </c>
      <c r="T4090" s="15">
        <f t="shared" si="321"/>
        <v>42415.702349537038</v>
      </c>
      <c r="U4090">
        <f t="shared" si="319"/>
        <v>2016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20"/>
        <v>41828.515127314815</v>
      </c>
      <c r="T4091" s="15">
        <f t="shared" si="321"/>
        <v>41858.515127314815</v>
      </c>
      <c r="U4091">
        <f t="shared" si="319"/>
        <v>2014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20"/>
        <v>42327.834247685183</v>
      </c>
      <c r="T4092" s="15">
        <f t="shared" si="321"/>
        <v>42357.834247685183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20"/>
        <v>42563.932951388888</v>
      </c>
      <c r="T4093" s="15">
        <f t="shared" si="321"/>
        <v>42580.232638888891</v>
      </c>
      <c r="U4093">
        <f t="shared" si="319"/>
        <v>2016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20"/>
        <v>41794.072337962964</v>
      </c>
      <c r="T4094" s="15">
        <f t="shared" si="321"/>
        <v>41804.072337962964</v>
      </c>
      <c r="U4094">
        <f t="shared" si="319"/>
        <v>2014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20"/>
        <v>42516.047071759262</v>
      </c>
      <c r="T4095" s="15">
        <f t="shared" si="321"/>
        <v>42556.047071759262</v>
      </c>
      <c r="U4095">
        <f t="shared" si="319"/>
        <v>2016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20"/>
        <v>42468.94458333333</v>
      </c>
      <c r="T4096" s="15">
        <f t="shared" si="321"/>
        <v>42475.875</v>
      </c>
      <c r="U4096">
        <f t="shared" si="319"/>
        <v>2016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20"/>
        <v>42447.103518518517</v>
      </c>
      <c r="T4097" s="15">
        <f t="shared" si="321"/>
        <v>42477.103518518517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20"/>
        <v>41780.068043981482</v>
      </c>
      <c r="T4098" s="15">
        <f t="shared" si="321"/>
        <v>41815.068043981482</v>
      </c>
      <c r="U4098">
        <f t="shared" si="319"/>
        <v>2014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>
        <f t="shared" ref="P4099:P4115" si="323">IFERROR(ROUND(E4099/L4099,2),0)</f>
        <v>0</v>
      </c>
      <c r="Q4099" s="10" t="s">
        <v>8315</v>
      </c>
      <c r="R4099" t="s">
        <v>8316</v>
      </c>
      <c r="S4099" s="15">
        <f t="shared" si="320"/>
        <v>42572.778495370367</v>
      </c>
      <c r="T4099" s="15">
        <f t="shared" si="321"/>
        <v>42604.125</v>
      </c>
      <c r="U4099">
        <f t="shared" ref="U4099:U4115" si="324">YEAR(S4099)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3"/>
        <v>0</v>
      </c>
      <c r="Q4100" s="10" t="s">
        <v>8315</v>
      </c>
      <c r="R4100" t="s">
        <v>8316</v>
      </c>
      <c r="S4100" s="15">
        <f t="shared" si="320"/>
        <v>41791.713252314818</v>
      </c>
      <c r="T4100" s="15">
        <f t="shared" si="321"/>
        <v>41836.125</v>
      </c>
      <c r="U4100">
        <f t="shared" si="324"/>
        <v>2014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3"/>
        <v>50</v>
      </c>
      <c r="Q4101" s="10" t="s">
        <v>8315</v>
      </c>
      <c r="R4101" t="s">
        <v>8316</v>
      </c>
      <c r="S4101" s="15">
        <f t="shared" si="320"/>
        <v>42508.677187499998</v>
      </c>
      <c r="T4101" s="15">
        <f t="shared" si="321"/>
        <v>42544.852083333331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3"/>
        <v>0</v>
      </c>
      <c r="Q4102" s="10" t="s">
        <v>8315</v>
      </c>
      <c r="R4102" t="s">
        <v>8316</v>
      </c>
      <c r="S4102" s="15">
        <f t="shared" si="320"/>
        <v>41808.02648148148</v>
      </c>
      <c r="T4102" s="15">
        <f t="shared" si="321"/>
        <v>41833.582638888889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3"/>
        <v>0</v>
      </c>
      <c r="Q4103" s="10" t="s">
        <v>8315</v>
      </c>
      <c r="R4103" t="s">
        <v>8316</v>
      </c>
      <c r="S4103" s="15">
        <f t="shared" si="320"/>
        <v>42256.391875000001</v>
      </c>
      <c r="T4103" s="15">
        <f t="shared" si="321"/>
        <v>42274.843055555553</v>
      </c>
      <c r="U4103">
        <f t="shared" si="324"/>
        <v>2015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3"/>
        <v>22.83</v>
      </c>
      <c r="Q4104" s="10" t="s">
        <v>8315</v>
      </c>
      <c r="R4104" t="s">
        <v>8316</v>
      </c>
      <c r="S4104" s="15">
        <f t="shared" si="320"/>
        <v>41760.796423611115</v>
      </c>
      <c r="T4104" s="15">
        <f t="shared" si="321"/>
        <v>41806.229166666664</v>
      </c>
      <c r="U4104">
        <f t="shared" si="324"/>
        <v>2014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3"/>
        <v>16.670000000000002</v>
      </c>
      <c r="Q4105" s="10" t="s">
        <v>8315</v>
      </c>
      <c r="R4105" t="s">
        <v>8316</v>
      </c>
      <c r="S4105" s="15">
        <f t="shared" si="320"/>
        <v>41917.731736111113</v>
      </c>
      <c r="T4105" s="15">
        <f t="shared" si="321"/>
        <v>41947.773402777777</v>
      </c>
      <c r="U4105">
        <f t="shared" si="324"/>
        <v>2014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3"/>
        <v>45.79</v>
      </c>
      <c r="Q4106" s="10" t="s">
        <v>8315</v>
      </c>
      <c r="R4106" t="s">
        <v>8316</v>
      </c>
      <c r="S4106" s="15">
        <f t="shared" si="320"/>
        <v>41869.542314814818</v>
      </c>
      <c r="T4106" s="15">
        <f t="shared" si="321"/>
        <v>41899.542314814818</v>
      </c>
      <c r="U4106">
        <f t="shared" si="324"/>
        <v>2014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3"/>
        <v>383.33</v>
      </c>
      <c r="Q4107" s="10" t="s">
        <v>8315</v>
      </c>
      <c r="R4107" t="s">
        <v>8316</v>
      </c>
      <c r="S4107" s="15">
        <f t="shared" si="320"/>
        <v>42175.816365740742</v>
      </c>
      <c r="T4107" s="15">
        <f t="shared" si="321"/>
        <v>42205.816365740742</v>
      </c>
      <c r="U4107">
        <f t="shared" si="324"/>
        <v>2015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3"/>
        <v>106.97</v>
      </c>
      <c r="Q4108" s="10" t="s">
        <v>8315</v>
      </c>
      <c r="R4108" t="s">
        <v>8316</v>
      </c>
      <c r="S4108" s="15">
        <f t="shared" si="320"/>
        <v>42200.758240740746</v>
      </c>
      <c r="T4108" s="15">
        <f t="shared" si="321"/>
        <v>42260.758240740746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3"/>
        <v>10.25</v>
      </c>
      <c r="Q4109" s="10" t="s">
        <v>8315</v>
      </c>
      <c r="R4109" t="s">
        <v>8316</v>
      </c>
      <c r="S4109" s="15">
        <f t="shared" si="320"/>
        <v>41878.627187500002</v>
      </c>
      <c r="T4109" s="15">
        <f t="shared" si="321"/>
        <v>41908.627187500002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3"/>
        <v>59</v>
      </c>
      <c r="Q4110" s="10" t="s">
        <v>8315</v>
      </c>
      <c r="R4110" t="s">
        <v>8316</v>
      </c>
      <c r="S4110" s="15">
        <f t="shared" si="320"/>
        <v>41989.91134259259</v>
      </c>
      <c r="T4110" s="15">
        <f t="shared" si="321"/>
        <v>42005.332638888889</v>
      </c>
      <c r="U4110">
        <f t="shared" si="324"/>
        <v>2014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3"/>
        <v>0</v>
      </c>
      <c r="Q4111" s="10" t="s">
        <v>8315</v>
      </c>
      <c r="R4111" t="s">
        <v>8316</v>
      </c>
      <c r="S4111" s="15">
        <f t="shared" si="320"/>
        <v>42097.778946759259</v>
      </c>
      <c r="T4111" s="15">
        <f t="shared" si="321"/>
        <v>42124.638888888891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3"/>
        <v>14.33</v>
      </c>
      <c r="Q4112" s="10" t="s">
        <v>8315</v>
      </c>
      <c r="R4112" t="s">
        <v>8316</v>
      </c>
      <c r="S4112" s="15">
        <f t="shared" si="320"/>
        <v>42229.820173611108</v>
      </c>
      <c r="T4112" s="15">
        <f t="shared" si="321"/>
        <v>42262.818750000006</v>
      </c>
      <c r="U4112">
        <f t="shared" si="324"/>
        <v>2015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3"/>
        <v>15.67</v>
      </c>
      <c r="Q4113" s="10" t="s">
        <v>8315</v>
      </c>
      <c r="R4113" t="s">
        <v>8316</v>
      </c>
      <c r="S4113" s="15">
        <f t="shared" si="320"/>
        <v>42318.025011574078</v>
      </c>
      <c r="T4113" s="15">
        <f t="shared" si="321"/>
        <v>42378.025011574078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3"/>
        <v>1</v>
      </c>
      <c r="Q4114" s="10" t="s">
        <v>8315</v>
      </c>
      <c r="R4114" t="s">
        <v>8316</v>
      </c>
      <c r="S4114" s="15">
        <f t="shared" si="320"/>
        <v>41828.515555555554</v>
      </c>
      <c r="T4114" s="15">
        <f t="shared" si="321"/>
        <v>41868.515555555554</v>
      </c>
      <c r="U4114">
        <f t="shared" si="324"/>
        <v>2014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3"/>
        <v>1</v>
      </c>
      <c r="Q4115" s="10" t="s">
        <v>8315</v>
      </c>
      <c r="R4115" t="s">
        <v>8316</v>
      </c>
      <c r="S4115" s="15">
        <f t="shared" si="320"/>
        <v>41929.164733796293</v>
      </c>
      <c r="T4115" s="15">
        <f t="shared" si="321"/>
        <v>41959.206400462965</v>
      </c>
      <c r="U4115">
        <f t="shared" si="324"/>
        <v>2014</v>
      </c>
    </row>
  </sheetData>
  <autoFilter ref="A1:T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EABF9-1E81-BC4D-9CB1-04B87A0CD58E}">
  <dimension ref="A1:E18"/>
  <sheetViews>
    <sheetView tabSelected="1"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8380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8379</v>
      </c>
      <c r="B6" s="13">
        <v>56</v>
      </c>
      <c r="C6" s="13">
        <v>31</v>
      </c>
      <c r="D6" s="13">
        <v>7</v>
      </c>
      <c r="E6" s="13">
        <v>94</v>
      </c>
    </row>
    <row r="7" spans="1:5" x14ac:dyDescent="0.2">
      <c r="A7" s="12" t="s">
        <v>8377</v>
      </c>
      <c r="B7" s="13">
        <v>71</v>
      </c>
      <c r="C7" s="13">
        <v>37</v>
      </c>
      <c r="D7" s="13">
        <v>3</v>
      </c>
      <c r="E7" s="13">
        <v>111</v>
      </c>
    </row>
    <row r="8" spans="1:5" x14ac:dyDescent="0.2">
      <c r="A8" s="12" t="s">
        <v>8378</v>
      </c>
      <c r="B8" s="13">
        <v>56</v>
      </c>
      <c r="C8" s="13">
        <v>34</v>
      </c>
      <c r="D8" s="13">
        <v>3</v>
      </c>
      <c r="E8" s="13">
        <v>93</v>
      </c>
    </row>
    <row r="9" spans="1:5" x14ac:dyDescent="0.2">
      <c r="A9" s="12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8368</v>
      </c>
      <c r="B10" s="13">
        <v>111</v>
      </c>
      <c r="C10" s="13">
        <v>54</v>
      </c>
      <c r="D10" s="13">
        <v>3</v>
      </c>
      <c r="E10" s="13">
        <v>168</v>
      </c>
    </row>
    <row r="11" spans="1:5" x14ac:dyDescent="0.2">
      <c r="A11" s="12" t="s">
        <v>8369</v>
      </c>
      <c r="B11" s="13">
        <v>100</v>
      </c>
      <c r="C11" s="13">
        <v>52</v>
      </c>
      <c r="D11" s="13">
        <v>4</v>
      </c>
      <c r="E11" s="13">
        <v>156</v>
      </c>
    </row>
    <row r="12" spans="1:5" x14ac:dyDescent="0.2">
      <c r="A12" s="12" t="s">
        <v>8370</v>
      </c>
      <c r="B12" s="13">
        <v>87</v>
      </c>
      <c r="C12" s="13">
        <v>52</v>
      </c>
      <c r="D12" s="13">
        <v>1</v>
      </c>
      <c r="E12" s="13">
        <v>140</v>
      </c>
    </row>
    <row r="13" spans="1:5" x14ac:dyDescent="0.2">
      <c r="A13" s="12" t="s">
        <v>8371</v>
      </c>
      <c r="B13" s="13">
        <v>72</v>
      </c>
      <c r="C13" s="13">
        <v>50</v>
      </c>
      <c r="D13" s="13">
        <v>4</v>
      </c>
      <c r="E13" s="13">
        <v>126</v>
      </c>
    </row>
    <row r="14" spans="1:5" x14ac:dyDescent="0.2">
      <c r="A14" s="12" t="s">
        <v>8375</v>
      </c>
      <c r="B14" s="13">
        <v>59</v>
      </c>
      <c r="C14" s="13">
        <v>32</v>
      </c>
      <c r="D14" s="13">
        <v>4</v>
      </c>
      <c r="E14" s="13">
        <v>95</v>
      </c>
    </row>
    <row r="15" spans="1:5" x14ac:dyDescent="0.2">
      <c r="A15" s="12" t="s">
        <v>8372</v>
      </c>
      <c r="B15" s="13">
        <v>65</v>
      </c>
      <c r="C15" s="13">
        <v>49</v>
      </c>
      <c r="D15" s="13"/>
      <c r="E15" s="13">
        <v>114</v>
      </c>
    </row>
    <row r="16" spans="1:5" x14ac:dyDescent="0.2">
      <c r="A16" s="12" t="s">
        <v>8376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8373</v>
      </c>
      <c r="B17" s="13">
        <v>37</v>
      </c>
      <c r="C17" s="13">
        <v>31</v>
      </c>
      <c r="D17" s="13">
        <v>3</v>
      </c>
      <c r="E17" s="13">
        <v>71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E5E1-0118-9E47-93FD-72D6C3FE7652}">
  <dimension ref="A1:H13"/>
  <sheetViews>
    <sheetView workbookViewId="0">
      <selection activeCell="O17" sqref="O1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5.33203125" customWidth="1"/>
    <col min="4" max="4" width="14.5" bestFit="1" customWidth="1"/>
    <col min="5" max="5" width="11.5" bestFit="1" customWidth="1"/>
    <col min="6" max="7" width="17.6640625" bestFit="1" customWidth="1"/>
    <col min="8" max="8" width="16.83203125" bestFit="1" customWidth="1"/>
  </cols>
  <sheetData>
    <row r="1" spans="1:8" x14ac:dyDescent="0.2">
      <c r="A1" t="s">
        <v>8384</v>
      </c>
      <c r="B1" t="s">
        <v>8401</v>
      </c>
      <c r="C1" t="s">
        <v>8416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8418</v>
      </c>
      <c r="B2">
        <f>COUNTIFS(Kickstarter!$D:$D,"&lt;1000",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8417</v>
      </c>
      <c r="B3">
        <f>COUNTIFS(Kickstarter!$D:$D,"&gt;=1000", Kickstarter!$D:$D,"&lt;=4999", Kickstarter!$F:$F,"successful", Kickstarter!$R:$R,"plays")</f>
        <v>388</v>
      </c>
      <c r="C3">
        <f>COUNTIFS(Kickstarter!$D:$D,"&gt;=1000", Kickstarter!$D:$D,"&lt;=4999", Kickstarter!$F:$F,"failed", Kickstarter!$R:$R,"plays")</f>
        <v>146</v>
      </c>
      <c r="D3">
        <f>COUNTIFS(Kickstarter!$D:$D,"&gt;=1000", Kickstarter!$D:$D,"&lt;=4999", Kickstarter!$F:$F,"canceled", Kickstarter!$R:$R,"plays")</f>
        <v>0</v>
      </c>
      <c r="E3">
        <f>SUM(B3:D3)</f>
        <v>534</v>
      </c>
      <c r="F3" s="17">
        <f>B3/E3</f>
        <v>0.72659176029962547</v>
      </c>
      <c r="G3" s="17">
        <f>C3/E3</f>
        <v>0.27340823970037453</v>
      </c>
      <c r="H3" s="17">
        <f>D3/E3</f>
        <v>0</v>
      </c>
    </row>
    <row r="4" spans="1:8" x14ac:dyDescent="0.2">
      <c r="A4" t="s">
        <v>8407</v>
      </c>
      <c r="B4">
        <f>COUNTIFS(Kickstarter!$D:$D,"&gt;=5000", Kickstarter!$D:$D,"&lt;=9999", Kickstarter!$F:$F,"successful", Kickstarter!$R:$R,"plays")</f>
        <v>93</v>
      </c>
      <c r="C4">
        <f>COUNTIFS(Kickstarter!$D:$D,"&gt;=5000", Kickstarter!$D:$D,"&lt;=9999", Kickstarter!$F:$F,"failed", Kickstarter!$R:$R,"plays")</f>
        <v>76</v>
      </c>
      <c r="D4">
        <f>COUNTIFS(Kickstarter!$D:$D,"&gt;=5000", Kickstarter!$D:$D,"&lt;=9999", Kickstarter!$F:$F,"canceled", Kickstarter!$R:$R,"plays")</f>
        <v>0</v>
      </c>
      <c r="E4">
        <f>SUM(B4:D4)</f>
        <v>169</v>
      </c>
      <c r="F4" s="17">
        <f t="shared" ref="F4:F13" si="0">B4/E4</f>
        <v>0.55029585798816572</v>
      </c>
      <c r="G4" s="17">
        <f t="shared" ref="G4:G13" si="1">C4/E4</f>
        <v>0.44970414201183434</v>
      </c>
      <c r="H4" s="17">
        <f t="shared" ref="H4:H13" si="2">D4/E4</f>
        <v>0</v>
      </c>
    </row>
    <row r="5" spans="1:8" x14ac:dyDescent="0.2">
      <c r="A5" t="s">
        <v>8408</v>
      </c>
      <c r="B5">
        <f>COUNTIFS(Kickstarter!$D:$D,"&gt;=10000", Kickstarter!$D:$D,"&lt;=14999", Kickstarter!$F:$F,"successful", Kickstarter!$R:$R,"plays")</f>
        <v>39</v>
      </c>
      <c r="C5">
        <f>COUNTIFS(Kickstarter!$D:$D,"&gt;=10000", Kickstarter!$D:$D,"&lt;=14999", Kickstarter!$F:$F,"failed", Kickstarter!$R:$R,"plays")</f>
        <v>33</v>
      </c>
      <c r="D5">
        <f>COUNTIFS(Kickstarter!$D:$D,"&gt;=10000", Kickstarter!$D:$D,"&lt;=14999", Kickstarter!$F:$F,"canceled", Kickstarter!$R:$R,"plays")</f>
        <v>0</v>
      </c>
      <c r="E5">
        <f t="shared" ref="E5:E13" si="3">SUM(B5:D5)</f>
        <v>72</v>
      </c>
      <c r="F5" s="17">
        <f t="shared" si="0"/>
        <v>0.54166666666666663</v>
      </c>
      <c r="G5" s="17">
        <f t="shared" si="1"/>
        <v>0.45833333333333331</v>
      </c>
      <c r="H5" s="17">
        <f t="shared" si="2"/>
        <v>0</v>
      </c>
    </row>
    <row r="6" spans="1:8" x14ac:dyDescent="0.2">
      <c r="A6" t="s">
        <v>8409</v>
      </c>
      <c r="B6">
        <f>COUNTIFS(Kickstarter!$D:$D,"&gt;=15000", Kickstarter!$D:$D,"&lt;=19999", Kickstarter!$F:$F,"successful", Kickstarter!$R:$R,"plays")</f>
        <v>12</v>
      </c>
      <c r="C6">
        <f>COUNTIFS(Kickstarter!$D:$D,"&gt;=15000", Kickstarter!$D:$D,"&lt;=19999", Kickstarter!$F:$F,"failed", Kickstarter!$R:$R,"plays")</f>
        <v>12</v>
      </c>
      <c r="D6">
        <f>COUNTIFS(Kickstarter!$D:$D,"&gt;=15000", Kickstarter!$D:$D,"&lt;=19999", Kickstarter!$F:$F,"canceled", Kickstarter!$R:$R,"plays")</f>
        <v>0</v>
      </c>
      <c r="E6">
        <f t="shared" si="3"/>
        <v>24</v>
      </c>
      <c r="F6" s="17">
        <f t="shared" si="0"/>
        <v>0.5</v>
      </c>
      <c r="G6" s="17">
        <f t="shared" si="1"/>
        <v>0.5</v>
      </c>
      <c r="H6" s="17">
        <f t="shared" si="2"/>
        <v>0</v>
      </c>
    </row>
    <row r="7" spans="1:8" x14ac:dyDescent="0.2">
      <c r="A7" t="s">
        <v>8410</v>
      </c>
      <c r="B7">
        <f>COUNTIFS(Kickstarter!$D:$D,"&gt;=20000", Kickstarter!$D:$D,"&lt;=24999", Kickstarter!$F:$F,"successful", Kickstarter!$R:$R,"plays")</f>
        <v>9</v>
      </c>
      <c r="C7">
        <f>COUNTIFS(Kickstarter!$D:$D,"&gt;=20000", Kickstarter!$D:$D,"&lt;=24999", Kickstarter!$F:$F,"failed", Kickstarter!$R:$R,"plays")</f>
        <v>11</v>
      </c>
      <c r="D7">
        <f>COUNTIFS(Kickstarter!$D:$D,"&gt;=20000", Kickstarter!$D:$D,"&lt;=24999", Kickstarter!$F:$F,"canceled", Kickstarter!$R:$R,"plays")</f>
        <v>0</v>
      </c>
      <c r="E7">
        <f t="shared" si="3"/>
        <v>20</v>
      </c>
      <c r="F7" s="17">
        <f t="shared" si="0"/>
        <v>0.45</v>
      </c>
      <c r="G7" s="17">
        <f t="shared" si="1"/>
        <v>0.55000000000000004</v>
      </c>
      <c r="H7" s="17">
        <f t="shared" si="2"/>
        <v>0</v>
      </c>
    </row>
    <row r="8" spans="1:8" x14ac:dyDescent="0.2">
      <c r="A8" t="s">
        <v>8411</v>
      </c>
      <c r="B8">
        <f>COUNTIFS(Kickstarter!$D:$D,"&gt;=25000", Kickstarter!$D:$D,"&lt;=29999", Kickstarter!$F:$F,"successful", Kickstarter!$R:$R,"plays")</f>
        <v>1</v>
      </c>
      <c r="C8">
        <f>COUNTIFS(Kickstarter!$D:$D,"&gt;=25000", Kickstarter!$D:$D,"&lt;=29999", Kickstarter!$F:$F,"failed", Kickstarter!$R:$R,"plays")</f>
        <v>4</v>
      </c>
      <c r="D8">
        <f>COUNTIFS(Kickstarter!$D:$D,"&gt;=25000", Kickstarter!$D:$D,"&lt;=29999", Kickstarter!$F:$F,"canceled", Kickstarter!$R:$R,"plays")</f>
        <v>0</v>
      </c>
      <c r="E8">
        <f t="shared" si="3"/>
        <v>5</v>
      </c>
      <c r="F8" s="17">
        <f t="shared" si="0"/>
        <v>0.2</v>
      </c>
      <c r="G8" s="17">
        <f t="shared" si="1"/>
        <v>0.8</v>
      </c>
      <c r="H8" s="17">
        <f t="shared" si="2"/>
        <v>0</v>
      </c>
    </row>
    <row r="9" spans="1:8" x14ac:dyDescent="0.2">
      <c r="A9" t="s">
        <v>8412</v>
      </c>
      <c r="B9">
        <f>COUNTIFS(Kickstarter!$D:$D,"&gt;=30000", Kickstarter!$D:$D,"&lt;=34999", Kickstarter!$F:$F,"successful", Kickstarter!$R:$R,"plays")</f>
        <v>3</v>
      </c>
      <c r="C9">
        <f>COUNTIFS(Kickstarter!$D:$D,"&gt;=30000", Kickstarter!$D:$D,"&lt;=34999", Kickstarter!$F:$F,"failed", Kickstarter!$R:$R,"plays")</f>
        <v>8</v>
      </c>
      <c r="D9">
        <f>COUNTIFS(Kickstarter!$D:$D,"&gt;=30000", Kickstarter!$D:$D,"&lt;=34999", Kickstarter!$F:$F,"canceled", Kickstarter!$R:$R,"plays")</f>
        <v>0</v>
      </c>
      <c r="E9">
        <f t="shared" si="3"/>
        <v>11</v>
      </c>
      <c r="F9" s="17">
        <f t="shared" si="0"/>
        <v>0.27272727272727271</v>
      </c>
      <c r="G9" s="17">
        <f t="shared" si="1"/>
        <v>0.72727272727272729</v>
      </c>
      <c r="H9" s="17">
        <f t="shared" si="2"/>
        <v>0</v>
      </c>
    </row>
    <row r="10" spans="1:8" x14ac:dyDescent="0.2">
      <c r="A10" t="s">
        <v>8413</v>
      </c>
      <c r="B10">
        <f>COUNTIFS(Kickstarter!$D:$D,"&gt;=35000", Kickstarter!$D:$D,"&lt;=39999", Kickstarter!$F:$F,"successful", Kickstarter!$R:$R,"plays")</f>
        <v>4</v>
      </c>
      <c r="C10">
        <f>COUNTIFS(Kickstarter!$D:$D,"&gt;=35000", Kickstarter!$D:$D,"&lt;=39999", Kickstarter!$F:$F,"failed", Kickstarter!$R:$R,"plays")</f>
        <v>2</v>
      </c>
      <c r="D10">
        <f>COUNTIFS(Kickstarter!$D:$D,"&gt;=35000", Kickstarter!$D:$D,"&lt;=39999", Kickstarter!$F:$F,"canceled", Kickstarter!$R:$R,"plays")</f>
        <v>0</v>
      </c>
      <c r="E10">
        <f t="shared" si="3"/>
        <v>6</v>
      </c>
      <c r="F10" s="17">
        <f t="shared" si="0"/>
        <v>0.66666666666666663</v>
      </c>
      <c r="G10" s="17">
        <f t="shared" si="1"/>
        <v>0.33333333333333331</v>
      </c>
      <c r="H10" s="17">
        <f t="shared" si="2"/>
        <v>0</v>
      </c>
    </row>
    <row r="11" spans="1:8" x14ac:dyDescent="0.2">
      <c r="A11" t="s">
        <v>8414</v>
      </c>
      <c r="B11">
        <f>COUNTIFS(Kickstarter!$D:$D,"&gt;=40000", Kickstarter!$D:$D,"&lt;=44999", Kickstarter!$F:$F,"successful", Kickstarter!$R:$R,"plays")</f>
        <v>2</v>
      </c>
      <c r="C11">
        <f>COUNTIFS(Kickstarter!$D:$D,"&gt;=40000", Kickstarter!$D:$D,"&lt;=44999", Kickstarter!$F:$F,"failed", Kickstarter!$R:$R,"plays")</f>
        <v>1</v>
      </c>
      <c r="D11">
        <f>COUNTIFS(Kickstarter!$D:$D,"&gt;=40000", Kickstarter!$D:$D,"&lt;=44999", Kickstarter!$F:$F,"canceled", Kickstarter!$R:$R,"plays")</f>
        <v>0</v>
      </c>
      <c r="E11">
        <f t="shared" si="3"/>
        <v>3</v>
      </c>
      <c r="F11" s="17">
        <f t="shared" si="0"/>
        <v>0.66666666666666663</v>
      </c>
      <c r="G11" s="17">
        <f t="shared" si="1"/>
        <v>0.33333333333333331</v>
      </c>
      <c r="H11" s="17">
        <f t="shared" si="2"/>
        <v>0</v>
      </c>
    </row>
    <row r="12" spans="1:8" x14ac:dyDescent="0.2">
      <c r="A12" t="s">
        <v>8415</v>
      </c>
      <c r="B12">
        <f>COUNTIFS(Kickstarter!$D:$D,"&gt;=45000", Kickstarter!$D:$D,"&lt;=49999", Kickstarter!$F:$F,"successful", Kickstarter!$R:$R,"plays")</f>
        <v>0</v>
      </c>
      <c r="C12">
        <f>COUNTIFS(Kickstarter!$D:$D,"&gt;=45000", Kickstarter!$D:$D,"&lt;=49999", Kickstarter!$F:$F,"failed", Kickstarter!$R:$R,"plays")</f>
        <v>1</v>
      </c>
      <c r="D12">
        <f>COUNTIFS(Kickstarter!$D:$D,"&gt;=45000", Kickstarter!$D:$D,"&lt;=49999", Kickstarter!$F:$F,"canceled", Kickstarter!$R:$R,"plays")</f>
        <v>0</v>
      </c>
      <c r="E12">
        <f t="shared" si="3"/>
        <v>1</v>
      </c>
      <c r="F12" s="17">
        <f t="shared" si="0"/>
        <v>0</v>
      </c>
      <c r="G12" s="17">
        <f t="shared" si="1"/>
        <v>1</v>
      </c>
      <c r="H12" s="17">
        <f t="shared" si="2"/>
        <v>0</v>
      </c>
    </row>
    <row r="13" spans="1:8" x14ac:dyDescent="0.2">
      <c r="A13" t="s">
        <v>8419</v>
      </c>
      <c r="B13">
        <f>COUNTIFS(Kickstarter!$D:$D,"&gt;=50000", Kickstarter!$F:$F,"successful", Kickstarter!$R:$R,"plays")</f>
        <v>2</v>
      </c>
      <c r="C13">
        <f>COUNTIFS(Kickstarter!$D:$D,"&gt;=50000", Kickstarter!$F:$F,"failed", Kickstarter!$R:$R,"plays")</f>
        <v>14</v>
      </c>
      <c r="D13">
        <f>COUNTIFS(Kickstarter!$D:$D,"&gt;=50000", Kickstarter!$F:$F,"canceled", Kickstarter!$R:$R,"plays")</f>
        <v>0</v>
      </c>
      <c r="E13">
        <f t="shared" si="3"/>
        <v>16</v>
      </c>
      <c r="F13" s="17">
        <f t="shared" si="0"/>
        <v>0.125</v>
      </c>
      <c r="G13" s="17">
        <f t="shared" si="1"/>
        <v>0.875</v>
      </c>
      <c r="H13" s="17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93FF-47BF-6948-8E84-78ABC22A91D9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16" t="e">
        <f>AVERAGE(#REF!)</f>
        <v>#REF!</v>
      </c>
      <c r="C2" s="6" t="e">
        <f>AVERAGE(#REF!)</f>
        <v>#REF!</v>
      </c>
    </row>
    <row r="3" spans="1:3" x14ac:dyDescent="0.2">
      <c r="A3" t="s">
        <v>8390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8393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8394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8395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8396</v>
      </c>
      <c r="B7" s="16" t="e">
        <f>B5-B6</f>
        <v>#REF!</v>
      </c>
      <c r="C7" s="16" t="e">
        <f>C5-C6</f>
        <v>#REF!</v>
      </c>
    </row>
    <row r="9" spans="1:3" x14ac:dyDescent="0.2">
      <c r="A9" t="s">
        <v>8391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8392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8397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8398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8399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">
      <c r="A14" t="s">
        <v>8400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7054-BAE7-F343-B551-468CB937EDCE}">
  <dimension ref="A2:F18"/>
  <sheetViews>
    <sheetView workbookViewId="0">
      <selection activeCell="A12" sqref="A6:A17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20" bestFit="1" customWidth="1"/>
    <col min="9" max="9" width="32" bestFit="1" customWidth="1"/>
  </cols>
  <sheetData>
    <row r="2" spans="1:6" x14ac:dyDescent="0.2">
      <c r="A2" s="11" t="s">
        <v>8358</v>
      </c>
      <c r="B2" t="s">
        <v>8365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8379</v>
      </c>
      <c r="B6" s="13">
        <v>34</v>
      </c>
      <c r="C6" s="13">
        <v>147</v>
      </c>
      <c r="D6" s="13">
        <v>2</v>
      </c>
      <c r="E6" s="13">
        <v>182</v>
      </c>
      <c r="F6" s="13">
        <v>365</v>
      </c>
    </row>
    <row r="7" spans="1:6" x14ac:dyDescent="0.2">
      <c r="A7" s="12" t="s">
        <v>8377</v>
      </c>
      <c r="B7" s="13">
        <v>27</v>
      </c>
      <c r="C7" s="13">
        <v>104</v>
      </c>
      <c r="D7" s="13">
        <v>18</v>
      </c>
      <c r="E7" s="13">
        <v>202</v>
      </c>
      <c r="F7" s="13">
        <v>351</v>
      </c>
    </row>
    <row r="8" spans="1:6" x14ac:dyDescent="0.2">
      <c r="A8" s="12" t="s">
        <v>8378</v>
      </c>
      <c r="B8" s="13">
        <v>28</v>
      </c>
      <c r="C8" s="13">
        <v>109</v>
      </c>
      <c r="D8" s="13">
        <v>30</v>
      </c>
      <c r="E8" s="13">
        <v>180</v>
      </c>
      <c r="F8" s="13">
        <v>347</v>
      </c>
    </row>
    <row r="9" spans="1:6" x14ac:dyDescent="0.2">
      <c r="A9" s="12" t="s">
        <v>8374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2" t="s">
        <v>8368</v>
      </c>
      <c r="B10" s="13">
        <v>26</v>
      </c>
      <c r="C10" s="13">
        <v>128</v>
      </c>
      <c r="D10" s="13"/>
      <c r="E10" s="13">
        <v>234</v>
      </c>
      <c r="F10" s="13">
        <v>388</v>
      </c>
    </row>
    <row r="11" spans="1:6" x14ac:dyDescent="0.2">
      <c r="A11" s="12" t="s">
        <v>8369</v>
      </c>
      <c r="B11" s="13">
        <v>27</v>
      </c>
      <c r="C11" s="13">
        <v>150</v>
      </c>
      <c r="D11" s="13"/>
      <c r="E11" s="13">
        <v>211</v>
      </c>
      <c r="F11" s="13">
        <v>388</v>
      </c>
    </row>
    <row r="12" spans="1:6" x14ac:dyDescent="0.2">
      <c r="A12" s="12" t="s">
        <v>8370</v>
      </c>
      <c r="B12" s="13">
        <v>43</v>
      </c>
      <c r="C12" s="13">
        <v>152</v>
      </c>
      <c r="D12" s="13"/>
      <c r="E12" s="13">
        <v>194</v>
      </c>
      <c r="F12" s="13">
        <v>389</v>
      </c>
    </row>
    <row r="13" spans="1:6" x14ac:dyDescent="0.2">
      <c r="A13" s="12" t="s">
        <v>8371</v>
      </c>
      <c r="B13" s="13">
        <v>33</v>
      </c>
      <c r="C13" s="13">
        <v>137</v>
      </c>
      <c r="D13" s="13"/>
      <c r="E13" s="13">
        <v>166</v>
      </c>
      <c r="F13" s="13">
        <v>336</v>
      </c>
    </row>
    <row r="14" spans="1:6" x14ac:dyDescent="0.2">
      <c r="A14" s="12" t="s">
        <v>8375</v>
      </c>
      <c r="B14" s="13">
        <v>24</v>
      </c>
      <c r="C14" s="13">
        <v>125</v>
      </c>
      <c r="D14" s="13"/>
      <c r="E14" s="13">
        <v>147</v>
      </c>
      <c r="F14" s="13">
        <v>296</v>
      </c>
    </row>
    <row r="15" spans="1:6" x14ac:dyDescent="0.2">
      <c r="A15" s="12" t="s">
        <v>8372</v>
      </c>
      <c r="B15" s="13">
        <v>20</v>
      </c>
      <c r="C15" s="13">
        <v>148</v>
      </c>
      <c r="D15" s="13"/>
      <c r="E15" s="13">
        <v>183</v>
      </c>
      <c r="F15" s="13">
        <v>351</v>
      </c>
    </row>
    <row r="16" spans="1:6" x14ac:dyDescent="0.2">
      <c r="A16" s="12" t="s">
        <v>8376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2" t="s">
        <v>8373</v>
      </c>
      <c r="B17" s="13">
        <v>23</v>
      </c>
      <c r="C17" s="13">
        <v>114</v>
      </c>
      <c r="D17" s="13"/>
      <c r="E17" s="13">
        <v>111</v>
      </c>
      <c r="F17" s="13">
        <v>248</v>
      </c>
    </row>
    <row r="18" spans="1:6" x14ac:dyDescent="0.2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96D52-A6A9-EC4C-A14D-B2CC08B41938}"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8381</v>
      </c>
      <c r="B1" t="s">
        <v>8382</v>
      </c>
      <c r="C1" t="s">
        <v>8384</v>
      </c>
      <c r="D1" t="s">
        <v>8385</v>
      </c>
      <c r="E1" t="s">
        <v>8307</v>
      </c>
      <c r="F1" t="s">
        <v>8386</v>
      </c>
    </row>
    <row r="2" spans="1:6" x14ac:dyDescent="0.2">
      <c r="A2" t="s">
        <v>8383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1B5-264E-3F44-AF00-4C423E618117}">
  <dimension ref="A1:F6"/>
  <sheetViews>
    <sheetView workbookViewId="0">
      <selection activeCell="A26" sqref="A26:XFD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083C6-62DF-3747-B43E-AA76F7C2E210}">
  <dimension ref="A1:E7"/>
  <sheetViews>
    <sheetView workbookViewId="0">
      <selection activeCell="A26" sqref="A26:XFD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Outcomes Based on Launch Date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Morales</cp:lastModifiedBy>
  <dcterms:created xsi:type="dcterms:W3CDTF">2017-04-20T15:17:24Z</dcterms:created>
  <dcterms:modified xsi:type="dcterms:W3CDTF">2022-02-27T16:56:31Z</dcterms:modified>
</cp:coreProperties>
</file>