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asa_ikpoun\Downloads\"/>
    </mc:Choice>
  </mc:AlternateContent>
  <xr:revisionPtr revIDLastSave="0" documentId="13_ncr:1_{437C83EB-61CF-45C4-82C0-AB95C9CC604D}" xr6:coauthVersionLast="47" xr6:coauthVersionMax="47" xr10:uidLastSave="{00000000-0000-0000-0000-000000000000}"/>
  <bookViews>
    <workbookView xWindow="-108" yWindow="-108" windowWidth="23256" windowHeight="12696" xr2:uid="{19CF4A5A-F160-4473-895C-0C881ED86A3A}"/>
  </bookViews>
  <sheets>
    <sheet name="Preco" sheetId="1" r:id="rId1"/>
  </sheets>
  <externalReferences>
    <externalReference r:id="rId2"/>
  </externalReferences>
  <definedNames>
    <definedName name="_xlnm.Print_Area" localSheetId="0">Preco!$A$1:$X$64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C49" i="1"/>
  <c r="AC71" i="1"/>
  <c r="M60" i="1" s="1"/>
  <c r="AC70" i="1"/>
  <c r="M58" i="1" s="1"/>
  <c r="M59" i="1" s="1"/>
  <c r="AC69" i="1"/>
  <c r="M57" i="1" s="1"/>
  <c r="AC68" i="1"/>
  <c r="M56" i="1" s="1"/>
  <c r="AC67" i="1"/>
  <c r="M54" i="1" s="1"/>
  <c r="AC66" i="1"/>
  <c r="M52" i="1" s="1"/>
  <c r="AC65" i="1"/>
  <c r="AC64" i="1"/>
  <c r="M48" i="1" s="1"/>
  <c r="N60" i="1"/>
  <c r="D59" i="1"/>
  <c r="D60" i="1" s="1"/>
  <c r="C59" i="1"/>
  <c r="N58" i="1"/>
  <c r="N59" i="1" s="1"/>
  <c r="D58" i="1"/>
  <c r="C58" i="1"/>
  <c r="E58" i="1" s="1"/>
  <c r="N57" i="1"/>
  <c r="D57" i="1"/>
  <c r="C57" i="1"/>
  <c r="E57" i="1" s="1"/>
  <c r="N56" i="1"/>
  <c r="D56" i="1"/>
  <c r="C56" i="1"/>
  <c r="E56" i="1" s="1"/>
  <c r="S54" i="1"/>
  <c r="S55" i="1" s="1"/>
  <c r="S56" i="1" s="1"/>
  <c r="S57" i="1" s="1"/>
  <c r="S58" i="1" s="1"/>
  <c r="S59" i="1" s="1"/>
  <c r="S60" i="1" s="1"/>
  <c r="N54" i="1"/>
  <c r="N55" i="1" s="1"/>
  <c r="D54" i="1"/>
  <c r="D55" i="1" s="1"/>
  <c r="C54" i="1"/>
  <c r="C55" i="1" s="1"/>
  <c r="E55" i="1" s="1"/>
  <c r="N53" i="1"/>
  <c r="N52" i="1"/>
  <c r="K52" i="1"/>
  <c r="E52" i="1"/>
  <c r="D52" i="1"/>
  <c r="D53" i="1" s="1"/>
  <c r="C52" i="1"/>
  <c r="C53" i="1" s="1"/>
  <c r="E53" i="1" s="1"/>
  <c r="A52" i="1"/>
  <c r="K51" i="1"/>
  <c r="A51" i="1"/>
  <c r="N50" i="1"/>
  <c r="N51" i="1" s="1"/>
  <c r="M50" i="1"/>
  <c r="M51" i="1" s="1"/>
  <c r="K50" i="1"/>
  <c r="G50" i="1"/>
  <c r="D50" i="1"/>
  <c r="D51" i="1" s="1"/>
  <c r="C50" i="1"/>
  <c r="C51" i="1" s="1"/>
  <c r="E51" i="1" s="1"/>
  <c r="A50" i="1"/>
  <c r="S49" i="1"/>
  <c r="S48" i="1" s="1"/>
  <c r="S47" i="1" s="1"/>
  <c r="K49" i="1"/>
  <c r="D49" i="1"/>
  <c r="D48" i="1" s="1"/>
  <c r="E49" i="1"/>
  <c r="A49" i="1"/>
  <c r="N48" i="1"/>
  <c r="N49" i="1" s="1"/>
  <c r="K48" i="1"/>
  <c r="G48" i="1"/>
  <c r="A48" i="1"/>
  <c r="N47" i="1"/>
  <c r="K47" i="1"/>
  <c r="G47" i="1"/>
  <c r="E47" i="1"/>
  <c r="D47" i="1"/>
  <c r="C48" i="1"/>
  <c r="E48" i="1" s="1"/>
  <c r="A47" i="1"/>
  <c r="Q46" i="1"/>
  <c r="N46" i="1"/>
  <c r="M46" i="1"/>
  <c r="P46" i="1" s="1"/>
  <c r="K46" i="1"/>
  <c r="G46" i="1"/>
  <c r="F46" i="1"/>
  <c r="D46" i="1"/>
  <c r="C46" i="1"/>
  <c r="E46" i="1" s="1"/>
  <c r="A46" i="1"/>
  <c r="S45" i="1"/>
  <c r="Q45" i="1"/>
  <c r="N45" i="1"/>
  <c r="M45" i="1"/>
  <c r="T45" i="1" s="1"/>
  <c r="K45" i="1"/>
  <c r="F45" i="1"/>
  <c r="D45" i="1"/>
  <c r="C45" i="1"/>
  <c r="E45" i="1" s="1"/>
  <c r="A45" i="1"/>
  <c r="I35" i="1"/>
  <c r="I36" i="1" s="1"/>
  <c r="D35" i="1"/>
  <c r="D36" i="1" s="1"/>
  <c r="P34" i="1"/>
  <c r="P35" i="1" s="1"/>
  <c r="D34" i="1"/>
  <c r="AC33" i="1"/>
  <c r="C34" i="1" s="1"/>
  <c r="J34" i="1" s="1"/>
  <c r="L34" i="1" s="1"/>
  <c r="Q33" i="1"/>
  <c r="R33" i="1" s="1"/>
  <c r="AC32" i="1"/>
  <c r="C32" i="1" s="1"/>
  <c r="P32" i="1"/>
  <c r="Q32" i="1" s="1"/>
  <c r="R32" i="1" s="1"/>
  <c r="D32" i="1"/>
  <c r="D33" i="1" s="1"/>
  <c r="AC31" i="1"/>
  <c r="C30" i="1" s="1"/>
  <c r="Q31" i="1"/>
  <c r="R31" i="1" s="1"/>
  <c r="AC30" i="1"/>
  <c r="D30" i="1"/>
  <c r="D31" i="1" s="1"/>
  <c r="AC29" i="1"/>
  <c r="C25" i="1" s="1"/>
  <c r="P29" i="1"/>
  <c r="I29" i="1"/>
  <c r="I30" i="1" s="1"/>
  <c r="Q30" i="1" s="1"/>
  <c r="R30" i="1" s="1"/>
  <c r="D29" i="1"/>
  <c r="R28" i="1"/>
  <c r="Q28" i="1"/>
  <c r="D28" i="1"/>
  <c r="C28" i="1"/>
  <c r="A28" i="1"/>
  <c r="Q27" i="1"/>
  <c r="R27" i="1" s="1"/>
  <c r="A27" i="1"/>
  <c r="Q26" i="1"/>
  <c r="R26" i="1" s="1"/>
  <c r="A26" i="1"/>
  <c r="Q25" i="1"/>
  <c r="R25" i="1" s="1"/>
  <c r="D25" i="1"/>
  <c r="D26" i="1" s="1"/>
  <c r="D27" i="1" s="1"/>
  <c r="A25" i="1"/>
  <c r="Q24" i="1"/>
  <c r="R24" i="1" s="1"/>
  <c r="A24" i="1"/>
  <c r="Q23" i="1"/>
  <c r="R23" i="1" s="1"/>
  <c r="A23" i="1"/>
  <c r="D16" i="1"/>
  <c r="C16" i="1"/>
  <c r="E16" i="1" s="1"/>
  <c r="N16" i="1"/>
  <c r="M16" i="1"/>
  <c r="N15" i="1"/>
  <c r="M15" i="1"/>
  <c r="D14" i="1"/>
  <c r="D15" i="1" s="1"/>
  <c r="C14" i="1"/>
  <c r="N14" i="1"/>
  <c r="M14" i="1"/>
  <c r="N13" i="1"/>
  <c r="M13" i="1"/>
  <c r="D12" i="1"/>
  <c r="D13" i="1" s="1"/>
  <c r="C12" i="1"/>
  <c r="N12" i="1"/>
  <c r="M12" i="1"/>
  <c r="N11" i="1"/>
  <c r="M11" i="1"/>
  <c r="D10" i="1"/>
  <c r="D11" i="1" s="1"/>
  <c r="C10" i="1"/>
  <c r="N10" i="1"/>
  <c r="M10" i="1"/>
  <c r="N9" i="1"/>
  <c r="M9" i="1"/>
  <c r="K9" i="1"/>
  <c r="D8" i="1"/>
  <c r="D9" i="1" s="1"/>
  <c r="C8" i="1"/>
  <c r="E8" i="1" s="1"/>
  <c r="A8" i="1"/>
  <c r="N8" i="1"/>
  <c r="M8" i="1"/>
  <c r="K8" i="1"/>
  <c r="E7" i="1"/>
  <c r="A7" i="1"/>
  <c r="AL7" i="1"/>
  <c r="Q9" i="1" s="1"/>
  <c r="N7" i="1"/>
  <c r="M7" i="1"/>
  <c r="K7" i="1"/>
  <c r="E6" i="1"/>
  <c r="D6" i="1"/>
  <c r="D7" i="1" s="1"/>
  <c r="C6" i="1"/>
  <c r="C7" i="1" s="1"/>
  <c r="A6" i="1"/>
  <c r="AL6" i="1"/>
  <c r="Q8" i="1" s="1"/>
  <c r="N6" i="1"/>
  <c r="M6" i="1"/>
  <c r="K6" i="1"/>
  <c r="A5" i="1"/>
  <c r="AL5" i="1"/>
  <c r="Q7" i="1" s="1"/>
  <c r="N5" i="1"/>
  <c r="M5" i="1"/>
  <c r="K5" i="1"/>
  <c r="E4" i="1"/>
  <c r="D4" i="1"/>
  <c r="D3" i="1" s="1"/>
  <c r="C4" i="1"/>
  <c r="C5" i="1" s="1"/>
  <c r="E5" i="1" s="1"/>
  <c r="A4" i="1"/>
  <c r="AL4" i="1"/>
  <c r="Q6" i="1" s="1"/>
  <c r="F25" i="1" s="1"/>
  <c r="N4" i="1"/>
  <c r="N3" i="1" s="1"/>
  <c r="M4" i="1"/>
  <c r="M3" i="1" s="1"/>
  <c r="K4" i="1"/>
  <c r="A3" i="1"/>
  <c r="AL3" i="1"/>
  <c r="Q5" i="1" s="1"/>
  <c r="K3" i="1"/>
  <c r="AL2" i="1"/>
  <c r="Q4" i="1" s="1"/>
  <c r="D24" i="1" l="1"/>
  <c r="D23" i="1" s="1"/>
  <c r="R46" i="1"/>
  <c r="Q34" i="1"/>
  <c r="R34" i="1" s="1"/>
  <c r="C3" i="1"/>
  <c r="E3" i="1" s="1"/>
  <c r="C9" i="1"/>
  <c r="E9" i="1" s="1"/>
  <c r="E34" i="1"/>
  <c r="G45" i="1"/>
  <c r="O45" i="1"/>
  <c r="Q29" i="1"/>
  <c r="R29" i="1" s="1"/>
  <c r="C35" i="1"/>
  <c r="C36" i="1" s="1"/>
  <c r="E36" i="1" s="1"/>
  <c r="E50" i="1"/>
  <c r="G49" i="1"/>
  <c r="U45" i="1"/>
  <c r="V45" i="1" s="1"/>
  <c r="F27" i="1"/>
  <c r="T27" i="1" s="1"/>
  <c r="U27" i="1" s="1"/>
  <c r="Q51" i="1"/>
  <c r="O51" i="1" s="1"/>
  <c r="F51" i="1"/>
  <c r="G55" i="1" s="1"/>
  <c r="T25" i="1"/>
  <c r="U25" i="1" s="1"/>
  <c r="Q50" i="1"/>
  <c r="O50" i="1" s="1"/>
  <c r="F26" i="1"/>
  <c r="F52" i="1"/>
  <c r="G56" i="1" s="1"/>
  <c r="F28" i="1"/>
  <c r="Q10" i="1"/>
  <c r="T48" i="1"/>
  <c r="P48" i="1"/>
  <c r="M47" i="1"/>
  <c r="M49" i="1"/>
  <c r="C11" i="1"/>
  <c r="E11" i="1" s="1"/>
  <c r="E10" i="1"/>
  <c r="C15" i="1"/>
  <c r="E15" i="1" s="1"/>
  <c r="E14" i="1"/>
  <c r="Q47" i="1"/>
  <c r="F47" i="1"/>
  <c r="G51" i="1" s="1"/>
  <c r="F23" i="1"/>
  <c r="T23" i="1" s="1"/>
  <c r="U23" i="1" s="1"/>
  <c r="P36" i="1"/>
  <c r="Q35" i="1"/>
  <c r="R35" i="1" s="1"/>
  <c r="M55" i="1"/>
  <c r="T54" i="1"/>
  <c r="P54" i="1"/>
  <c r="T60" i="1"/>
  <c r="J25" i="1"/>
  <c r="C26" i="1"/>
  <c r="E25" i="1"/>
  <c r="G25" i="1" s="1"/>
  <c r="C24" i="1"/>
  <c r="T56" i="1"/>
  <c r="P56" i="1"/>
  <c r="C13" i="1"/>
  <c r="E13" i="1" s="1"/>
  <c r="E12" i="1"/>
  <c r="F50" i="1"/>
  <c r="Q52" i="1"/>
  <c r="O52" i="1" s="1"/>
  <c r="Q49" i="1"/>
  <c r="F49" i="1"/>
  <c r="G53" i="1" s="1"/>
  <c r="F24" i="1"/>
  <c r="T24" i="1" s="1"/>
  <c r="U24" i="1" s="1"/>
  <c r="F48" i="1"/>
  <c r="G52" i="1" s="1"/>
  <c r="Q48" i="1"/>
  <c r="O48" i="1" s="1"/>
  <c r="D5" i="1"/>
  <c r="E28" i="1"/>
  <c r="C29" i="1"/>
  <c r="J28" i="1"/>
  <c r="C31" i="1"/>
  <c r="E30" i="1"/>
  <c r="J30" i="1"/>
  <c r="T58" i="1"/>
  <c r="C60" i="1"/>
  <c r="E60" i="1" s="1"/>
  <c r="E59" i="1"/>
  <c r="J32" i="1"/>
  <c r="C33" i="1"/>
  <c r="E32" i="1"/>
  <c r="P52" i="1"/>
  <c r="R52" i="1" s="1"/>
  <c r="M53" i="1"/>
  <c r="T52" i="1"/>
  <c r="T57" i="1"/>
  <c r="P57" i="1"/>
  <c r="P51" i="1"/>
  <c r="T51" i="1"/>
  <c r="U51" i="1" s="1"/>
  <c r="V51" i="1" s="1"/>
  <c r="T59" i="1"/>
  <c r="P59" i="1"/>
  <c r="P45" i="1"/>
  <c r="R45" i="1" s="1"/>
  <c r="O46" i="1"/>
  <c r="T46" i="1"/>
  <c r="U46" i="1" s="1"/>
  <c r="V46" i="1" s="1"/>
  <c r="T50" i="1"/>
  <c r="U50" i="1" s="1"/>
  <c r="V50" i="1" s="1"/>
  <c r="E54" i="1"/>
  <c r="P58" i="1"/>
  <c r="P60" i="1"/>
  <c r="P50" i="1"/>
  <c r="R50" i="1" s="1"/>
  <c r="E35" i="1" l="1"/>
  <c r="J35" i="1"/>
  <c r="G54" i="1"/>
  <c r="U52" i="1"/>
  <c r="V52" i="1" s="1"/>
  <c r="U48" i="1"/>
  <c r="V48" i="1" s="1"/>
  <c r="R51" i="1"/>
  <c r="L25" i="1"/>
  <c r="K25" i="1"/>
  <c r="M25" i="1" s="1"/>
  <c r="Q36" i="1"/>
  <c r="R36" i="1" s="1"/>
  <c r="J36" i="1"/>
  <c r="L32" i="1"/>
  <c r="Q53" i="1"/>
  <c r="O53" i="1" s="1"/>
  <c r="F53" i="1"/>
  <c r="F29" i="1"/>
  <c r="T29" i="1" s="1"/>
  <c r="U29" i="1" s="1"/>
  <c r="Q11" i="1"/>
  <c r="K28" i="1"/>
  <c r="M28" i="1" s="1"/>
  <c r="L28" i="1"/>
  <c r="L35" i="1"/>
  <c r="T47" i="1"/>
  <c r="U47" i="1" s="1"/>
  <c r="V47" i="1" s="1"/>
  <c r="P47" i="1"/>
  <c r="R47" i="1" s="1"/>
  <c r="O47" i="1"/>
  <c r="T28" i="1"/>
  <c r="U28" i="1" s="1"/>
  <c r="G28" i="1"/>
  <c r="E33" i="1"/>
  <c r="J33" i="1"/>
  <c r="T49" i="1"/>
  <c r="U49" i="1" s="1"/>
  <c r="V49" i="1" s="1"/>
  <c r="P49" i="1"/>
  <c r="R49" i="1" s="1"/>
  <c r="O49" i="1"/>
  <c r="P53" i="1"/>
  <c r="T53" i="1"/>
  <c r="J31" i="1"/>
  <c r="E31" i="1"/>
  <c r="E24" i="1"/>
  <c r="C23" i="1"/>
  <c r="J24" i="1"/>
  <c r="T55" i="1"/>
  <c r="P55" i="1"/>
  <c r="L30" i="1"/>
  <c r="J29" i="1"/>
  <c r="E29" i="1"/>
  <c r="T26" i="1"/>
  <c r="U26" i="1" s="1"/>
  <c r="G24" i="1"/>
  <c r="C27" i="1"/>
  <c r="E26" i="1"/>
  <c r="G26" i="1" s="1"/>
  <c r="J26" i="1"/>
  <c r="R48" i="1"/>
  <c r="U53" i="1" l="1"/>
  <c r="V53" i="1" s="1"/>
  <c r="R53" i="1"/>
  <c r="E27" i="1"/>
  <c r="G27" i="1" s="1"/>
  <c r="J27" i="1"/>
  <c r="L24" i="1"/>
  <c r="K24" i="1"/>
  <c r="M24" i="1" s="1"/>
  <c r="L31" i="1"/>
  <c r="L33" i="1"/>
  <c r="K29" i="1"/>
  <c r="M29" i="1" s="1"/>
  <c r="L29" i="1"/>
  <c r="J23" i="1"/>
  <c r="E23" i="1"/>
  <c r="G23" i="1" s="1"/>
  <c r="F30" i="1"/>
  <c r="F54" i="1"/>
  <c r="Q12" i="1"/>
  <c r="Q54" i="1"/>
  <c r="L36" i="1"/>
  <c r="K26" i="1"/>
  <c r="M26" i="1" s="1"/>
  <c r="L26" i="1"/>
  <c r="L23" i="1" l="1"/>
  <c r="K23" i="1"/>
  <c r="M23" i="1" s="1"/>
  <c r="T30" i="1"/>
  <c r="U30" i="1" s="1"/>
  <c r="K30" i="1"/>
  <c r="M30" i="1" s="1"/>
  <c r="L27" i="1"/>
  <c r="K27" i="1"/>
  <c r="M27" i="1" s="1"/>
  <c r="Q55" i="1"/>
  <c r="F55" i="1"/>
  <c r="F56" i="1" s="1"/>
  <c r="F57" i="1" s="1"/>
  <c r="F58" i="1" s="1"/>
  <c r="F59" i="1" s="1"/>
  <c r="F60" i="1" s="1"/>
  <c r="F31" i="1"/>
  <c r="Q13" i="1"/>
  <c r="Q14" i="1" s="1"/>
  <c r="Q15" i="1" s="1"/>
  <c r="Q16" i="1" s="1"/>
  <c r="Q17" i="1" s="1"/>
  <c r="O54" i="1"/>
  <c r="R54" i="1"/>
  <c r="U54" i="1"/>
  <c r="V54" i="1" s="1"/>
  <c r="Q56" i="1" l="1"/>
  <c r="O55" i="1"/>
  <c r="U55" i="1"/>
  <c r="V55" i="1" s="1"/>
  <c r="R55" i="1"/>
  <c r="F32" i="1"/>
  <c r="T31" i="1"/>
  <c r="U31" i="1" s="1"/>
  <c r="K31" i="1"/>
  <c r="M31" i="1" s="1"/>
  <c r="F33" i="1" l="1"/>
  <c r="T32" i="1"/>
  <c r="U32" i="1" s="1"/>
  <c r="K32" i="1"/>
  <c r="M32" i="1" s="1"/>
  <c r="Q57" i="1"/>
  <c r="O56" i="1"/>
  <c r="R56" i="1"/>
  <c r="U56" i="1"/>
  <c r="V56" i="1" s="1"/>
  <c r="Q58" i="1" l="1"/>
  <c r="O57" i="1"/>
  <c r="R57" i="1"/>
  <c r="U57" i="1"/>
  <c r="V57" i="1" s="1"/>
  <c r="T33" i="1"/>
  <c r="U33" i="1" s="1"/>
  <c r="F34" i="1"/>
  <c r="K33" i="1"/>
  <c r="M33" i="1" s="1"/>
  <c r="F35" i="1" l="1"/>
  <c r="T34" i="1"/>
  <c r="U34" i="1" s="1"/>
  <c r="K34" i="1"/>
  <c r="M34" i="1" s="1"/>
  <c r="O58" i="1"/>
  <c r="Q59" i="1"/>
  <c r="U58" i="1"/>
  <c r="V58" i="1" s="1"/>
  <c r="R58" i="1"/>
  <c r="Q60" i="1" l="1"/>
  <c r="O59" i="1"/>
  <c r="R59" i="1"/>
  <c r="U59" i="1"/>
  <c r="V59" i="1" s="1"/>
  <c r="F36" i="1"/>
  <c r="T35" i="1"/>
  <c r="U35" i="1" s="1"/>
  <c r="K35" i="1"/>
  <c r="M35" i="1" s="1"/>
  <c r="T36" i="1" l="1"/>
  <c r="U36" i="1" s="1"/>
  <c r="K36" i="1"/>
  <c r="M36" i="1" s="1"/>
  <c r="O60" i="1"/>
  <c r="U60" i="1"/>
  <c r="V60" i="1" s="1"/>
  <c r="R60" i="1"/>
</calcChain>
</file>

<file path=xl/sharedStrings.xml><?xml version="1.0" encoding="utf-8"?>
<sst xmlns="http://schemas.openxmlformats.org/spreadsheetml/2006/main" count="92" uniqueCount="70">
  <si>
    <t>Milho com Liquidação Financeira - BM&amp;F</t>
  </si>
  <si>
    <t>Petróleo ICE</t>
  </si>
  <si>
    <t xml:space="preserve">Milho - Bmf </t>
  </si>
  <si>
    <t xml:space="preserve">Dolar </t>
  </si>
  <si>
    <t>Contrato</t>
  </si>
  <si>
    <t>Vcto</t>
  </si>
  <si>
    <t>R$/sc</t>
  </si>
  <si>
    <t>%</t>
  </si>
  <si>
    <t>*BMF Ref. GO (-R$12/sc)</t>
  </si>
  <si>
    <t>USD/barril</t>
  </si>
  <si>
    <t>Dolar Futuro</t>
  </si>
  <si>
    <t>R$/USD</t>
  </si>
  <si>
    <t>sc: sacos</t>
  </si>
  <si>
    <t>t: tonelada</t>
  </si>
  <si>
    <t>bu: bushel</t>
  </si>
  <si>
    <t xml:space="preserve">st: tonelada curta </t>
  </si>
  <si>
    <t>OILK25*</t>
  </si>
  <si>
    <t>CCMK25</t>
  </si>
  <si>
    <t>OILM25*</t>
  </si>
  <si>
    <t>Petroleo- ICE</t>
  </si>
  <si>
    <t>OILN25*</t>
  </si>
  <si>
    <t>CCMN25</t>
  </si>
  <si>
    <t>OILQ25*</t>
  </si>
  <si>
    <t>OILU25*</t>
  </si>
  <si>
    <t>CCMU25</t>
  </si>
  <si>
    <t>OILV25*</t>
  </si>
  <si>
    <t>OILX25*</t>
  </si>
  <si>
    <t>CCMX25</t>
  </si>
  <si>
    <t>* Frete + ICMS GO para SP +-R$12/sc</t>
  </si>
  <si>
    <t>Milho - CBOT/Chicago</t>
  </si>
  <si>
    <t>Preço Fixo Porto de Santos</t>
  </si>
  <si>
    <t>Comparação Premio EUA vs BRA</t>
  </si>
  <si>
    <t>USD/bu</t>
  </si>
  <si>
    <t>Chicago USD/sc</t>
  </si>
  <si>
    <t>Dolar Futuro R$/USD</t>
  </si>
  <si>
    <t>Chicago R$/sc</t>
  </si>
  <si>
    <t>Premio porto c/bu SANTOS</t>
  </si>
  <si>
    <t>Preco fixo porto $/bu</t>
  </si>
  <si>
    <t>Porto Santos R$/sc</t>
  </si>
  <si>
    <t>USD/t</t>
  </si>
  <si>
    <t>**Preço Porto Ref GO (-R$15/sc)</t>
  </si>
  <si>
    <t>Premio porto c/bu EUA</t>
  </si>
  <si>
    <t>C/Bu</t>
  </si>
  <si>
    <t>R/t</t>
  </si>
  <si>
    <t>R/sc</t>
  </si>
  <si>
    <t xml:space="preserve">Milho - Cbot </t>
  </si>
  <si>
    <t>COCK25*</t>
  </si>
  <si>
    <t>COCN25*</t>
  </si>
  <si>
    <t>COCU25*</t>
  </si>
  <si>
    <t>*Frete GO, despesas portiarias, corretagem, comissões -&gt; Porto Santos</t>
  </si>
  <si>
    <t>Farelo de Soja - CBOT</t>
  </si>
  <si>
    <t>Soja Grão - CBOT</t>
  </si>
  <si>
    <t>USD/st</t>
  </si>
  <si>
    <t>Chicago USD/t</t>
  </si>
  <si>
    <t>Chicago R$/t</t>
  </si>
  <si>
    <t>$/bu</t>
  </si>
  <si>
    <t>Premio porto c/bu</t>
  </si>
  <si>
    <t xml:space="preserve">Farelo de Soja - Cbot </t>
  </si>
  <si>
    <t>SMCK25*</t>
  </si>
  <si>
    <t>SBCK25*</t>
  </si>
  <si>
    <t>SMCN25*</t>
  </si>
  <si>
    <t>SBCN25*</t>
  </si>
  <si>
    <t>SMCQ25*</t>
  </si>
  <si>
    <t>SBCQ25*</t>
  </si>
  <si>
    <t>SMCU25*</t>
  </si>
  <si>
    <t>SBCU25*</t>
  </si>
  <si>
    <t>SMCV25*</t>
  </si>
  <si>
    <t>SBCX25*</t>
  </si>
  <si>
    <t xml:space="preserve">Soja Grão - Cbot </t>
  </si>
  <si>
    <t>Referência: XX/XX/XXXX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</si>
</sst>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_);[Red]\(0.00\)"/>
    <numFmt numFmtId="166" formatCode="0.0"/>
    <numFmt numFmtId="167" formatCode="_(* #,##0_);_(* \(#,##0\);_(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4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center" vertical="center" wrapText="1"/>
    </xf>
    <xf numFmtId="10" fontId="7" fillId="0" borderId="0" xfId="0" applyNumberFormat="1" applyFont="1"/>
    <xf numFmtId="10" fontId="0" fillId="0" borderId="0" xfId="0" applyNumberFormat="1"/>
    <xf numFmtId="17" fontId="4" fillId="0" borderId="0" xfId="0" applyNumberFormat="1" applyFont="1"/>
    <xf numFmtId="2" fontId="4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2" fontId="4" fillId="0" borderId="0" xfId="0" applyNumberFormat="1" applyFont="1"/>
    <xf numFmtId="10" fontId="4" fillId="0" borderId="0" xfId="0" applyNumberFormat="1" applyFont="1"/>
    <xf numFmtId="0" fontId="9" fillId="0" borderId="3" xfId="0" applyFont="1" applyBorder="1" applyAlignment="1">
      <alignment horizontal="center" vertical="center"/>
    </xf>
    <xf numFmtId="0" fontId="10" fillId="0" borderId="0" xfId="0" applyFont="1"/>
    <xf numFmtId="2" fontId="4" fillId="0" borderId="3" xfId="0" applyNumberFormat="1" applyFont="1" applyBorder="1"/>
    <xf numFmtId="0" fontId="0" fillId="0" borderId="4" xfId="0" applyBorder="1"/>
    <xf numFmtId="2" fontId="0" fillId="0" borderId="0" xfId="0" applyNumberFormat="1"/>
    <xf numFmtId="164" fontId="3" fillId="0" borderId="0" xfId="1" applyFont="1"/>
    <xf numFmtId="17" fontId="10" fillId="0" borderId="0" xfId="0" applyNumberFormat="1" applyFont="1"/>
    <xf numFmtId="2" fontId="10" fillId="0" borderId="0" xfId="0" applyNumberFormat="1" applyFont="1"/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5" borderId="0" xfId="0" applyFont="1" applyFill="1"/>
    <xf numFmtId="17" fontId="4" fillId="5" borderId="0" xfId="0" applyNumberFormat="1" applyFont="1" applyFill="1"/>
    <xf numFmtId="2" fontId="4" fillId="5" borderId="0" xfId="0" applyNumberFormat="1" applyFont="1" applyFill="1" applyAlignment="1">
      <alignment horizontal="right"/>
    </xf>
    <xf numFmtId="10" fontId="4" fillId="5" borderId="0" xfId="0" applyNumberFormat="1" applyFont="1" applyFill="1" applyAlignment="1">
      <alignment horizontal="right"/>
    </xf>
    <xf numFmtId="1" fontId="4" fillId="5" borderId="0" xfId="0" applyNumberFormat="1" applyFont="1" applyFill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2" fontId="4" fillId="5" borderId="9" xfId="0" applyNumberFormat="1" applyFont="1" applyFill="1" applyBorder="1" applyAlignment="1">
      <alignment horizontal="right"/>
    </xf>
    <xf numFmtId="1" fontId="4" fillId="5" borderId="10" xfId="0" applyNumberFormat="1" applyFont="1" applyFill="1" applyBorder="1" applyAlignment="1">
      <alignment horizontal="right"/>
    </xf>
    <xf numFmtId="1" fontId="4" fillId="5" borderId="4" xfId="0" applyNumberFormat="1" applyFont="1" applyFill="1" applyBorder="1" applyAlignment="1">
      <alignment horizontal="right"/>
    </xf>
    <xf numFmtId="1" fontId="4" fillId="0" borderId="0" xfId="0" applyNumberFormat="1" applyFont="1" applyAlignment="1">
      <alignment horizontal="right"/>
    </xf>
    <xf numFmtId="165" fontId="4" fillId="0" borderId="9" xfId="0" applyNumberFormat="1" applyFont="1" applyBorder="1"/>
    <xf numFmtId="165" fontId="4" fillId="0" borderId="0" xfId="0" applyNumberFormat="1" applyFont="1"/>
    <xf numFmtId="165" fontId="4" fillId="0" borderId="4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6" fontId="4" fillId="5" borderId="0" xfId="0" applyNumberFormat="1" applyFont="1" applyFill="1"/>
    <xf numFmtId="2" fontId="4" fillId="5" borderId="0" xfId="0" applyNumberFormat="1" applyFont="1" applyFill="1"/>
    <xf numFmtId="167" fontId="4" fillId="5" borderId="0" xfId="1" applyNumberFormat="1" applyFont="1" applyFill="1"/>
    <xf numFmtId="1" fontId="4" fillId="0" borderId="0" xfId="0" applyNumberFormat="1" applyFont="1"/>
    <xf numFmtId="167" fontId="4" fillId="0" borderId="0" xfId="1" applyNumberFormat="1" applyFont="1" applyFill="1"/>
    <xf numFmtId="0" fontId="7" fillId="0" borderId="0" xfId="0" applyFont="1" applyAlignment="1">
      <alignment horizontal="left"/>
    </xf>
    <xf numFmtId="17" fontId="7" fillId="0" borderId="0" xfId="0" applyNumberFormat="1" applyFont="1" applyAlignment="1">
      <alignment horizontal="left"/>
    </xf>
    <xf numFmtId="10" fontId="7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17" fontId="4" fillId="9" borderId="3" xfId="0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2F2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18586</xdr:colOff>
      <xdr:row>37</xdr:row>
      <xdr:rowOff>82174</xdr:rowOff>
    </xdr:from>
    <xdr:to>
      <xdr:col>21</xdr:col>
      <xdr:colOff>18065</xdr:colOff>
      <xdr:row>40</xdr:row>
      <xdr:rowOff>159927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BDD7B57-DACC-4F78-B24A-A653147D8F27}"/>
            </a:ext>
          </a:extLst>
        </xdr:cNvPr>
        <xdr:cNvSpPr txBox="1"/>
      </xdr:nvSpPr>
      <xdr:spPr>
        <a:xfrm>
          <a:off x="16729246" y="13706734"/>
          <a:ext cx="6263119" cy="6721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Quando a diferença for negativa, o preço porto EUA está mais barato que porto Santos.</a:t>
          </a:r>
        </a:p>
      </xdr:txBody>
    </xdr:sp>
    <xdr:clientData/>
  </xdr:twoCellAnchor>
  <xdr:twoCellAnchor>
    <xdr:from>
      <xdr:col>14</xdr:col>
      <xdr:colOff>1316809</xdr:colOff>
      <xdr:row>36</xdr:row>
      <xdr:rowOff>122297</xdr:rowOff>
    </xdr:from>
    <xdr:to>
      <xdr:col>20</xdr:col>
      <xdr:colOff>1137547</xdr:colOff>
      <xdr:row>40</xdr:row>
      <xdr:rowOff>188148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1E18F7B-0E98-4089-B540-B7151DC0D013}"/>
            </a:ext>
          </a:extLst>
        </xdr:cNvPr>
        <xdr:cNvSpPr txBox="1"/>
      </xdr:nvSpPr>
      <xdr:spPr>
        <a:xfrm>
          <a:off x="16671109" y="13419197"/>
          <a:ext cx="6267258" cy="98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Quando a diferença for negativa, o preço porto EUA está mais barato que porto Santos.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asa_ikpoun\OneDrive\JOXDI&#193;RIO\Documents\fechamento-pre&#231;os-dia.xlsx" TargetMode="External"/><Relationship Id="rId1" Type="http://schemas.openxmlformats.org/officeDocument/2006/relationships/externalLinkPath" Target="/Users/gaasa_ikpoun/OneDrive/JOXDI&#193;RIO/Documents/fechamento-pre&#231;os-d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co"/>
      <sheetName val="Contrato"/>
    </sheetNames>
    <sheetDataSet>
      <sheetData sheetId="0"/>
      <sheetData sheetId="1">
        <row r="3">
          <cell r="A3" t="str">
            <v xml:space="preserve">Mês </v>
          </cell>
          <cell r="B3" t="str">
            <v xml:space="preserve">Nomenclatura </v>
          </cell>
          <cell r="G3" t="str">
            <v xml:space="preserve">Mês </v>
          </cell>
          <cell r="H3" t="str">
            <v xml:space="preserve">Nomenclatura </v>
          </cell>
          <cell r="J3" t="str">
            <v xml:space="preserve">Mês </v>
          </cell>
          <cell r="K3" t="str">
            <v xml:space="preserve">Nomenclatura </v>
          </cell>
          <cell r="M3" t="str">
            <v xml:space="preserve">Mês </v>
          </cell>
          <cell r="N3" t="str">
            <v xml:space="preserve">Nomenclatura </v>
          </cell>
        </row>
        <row r="4">
          <cell r="A4">
            <v>45352</v>
          </cell>
          <cell r="B4" t="str">
            <v>CCMH24</v>
          </cell>
          <cell r="D4">
            <v>45413</v>
          </cell>
          <cell r="E4" t="str">
            <v>OILK24*</v>
          </cell>
          <cell r="G4">
            <v>45352</v>
          </cell>
          <cell r="H4" t="str">
            <v>COCH24*</v>
          </cell>
          <cell r="J4">
            <v>45352</v>
          </cell>
          <cell r="K4" t="str">
            <v>SMCH24*</v>
          </cell>
          <cell r="M4">
            <v>45352</v>
          </cell>
          <cell r="N4" t="str">
            <v>SBCH24*</v>
          </cell>
        </row>
        <row r="5">
          <cell r="A5">
            <v>45413</v>
          </cell>
          <cell r="B5" t="str">
            <v>CCMK24</v>
          </cell>
          <cell r="D5">
            <v>45444</v>
          </cell>
          <cell r="E5" t="str">
            <v>OILM24*</v>
          </cell>
          <cell r="G5">
            <v>45413</v>
          </cell>
          <cell r="H5" t="str">
            <v>COCK24*</v>
          </cell>
          <cell r="J5">
            <v>45413</v>
          </cell>
          <cell r="K5" t="str">
            <v>SMCK24*</v>
          </cell>
          <cell r="M5">
            <v>45413</v>
          </cell>
          <cell r="N5" t="str">
            <v>SBCK24*</v>
          </cell>
        </row>
        <row r="6">
          <cell r="A6">
            <v>45474</v>
          </cell>
          <cell r="B6" t="str">
            <v>CCMN24</v>
          </cell>
          <cell r="D6">
            <v>45474</v>
          </cell>
          <cell r="E6" t="str">
            <v>OILN24*</v>
          </cell>
          <cell r="G6">
            <v>45474</v>
          </cell>
          <cell r="H6" t="str">
            <v>COCN24*</v>
          </cell>
          <cell r="J6">
            <v>45474</v>
          </cell>
          <cell r="K6" t="str">
            <v>SMCN24*</v>
          </cell>
          <cell r="M6">
            <v>45474</v>
          </cell>
          <cell r="N6" t="str">
            <v>SBCN24*</v>
          </cell>
        </row>
        <row r="7">
          <cell r="A7">
            <v>45536</v>
          </cell>
          <cell r="B7" t="str">
            <v>CCMU24</v>
          </cell>
          <cell r="D7">
            <v>45505</v>
          </cell>
          <cell r="E7" t="str">
            <v>OILQ24*</v>
          </cell>
          <cell r="G7">
            <v>45536</v>
          </cell>
          <cell r="H7" t="str">
            <v>COCU24*</v>
          </cell>
          <cell r="J7">
            <v>45505</v>
          </cell>
          <cell r="K7" t="str">
            <v>SMCQ24*</v>
          </cell>
          <cell r="M7">
            <v>45505</v>
          </cell>
          <cell r="N7" t="str">
            <v>SBCQ24*</v>
          </cell>
        </row>
        <row r="8">
          <cell r="A8">
            <v>45597</v>
          </cell>
          <cell r="B8" t="str">
            <v>CCMX24</v>
          </cell>
          <cell r="D8">
            <v>45536</v>
          </cell>
          <cell r="E8" t="str">
            <v>OILU24*</v>
          </cell>
          <cell r="G8">
            <v>45627</v>
          </cell>
          <cell r="H8" t="str">
            <v>COCZ24*</v>
          </cell>
          <cell r="J8">
            <v>45536</v>
          </cell>
          <cell r="K8" t="str">
            <v>SMCU24*</v>
          </cell>
          <cell r="M8">
            <v>45536</v>
          </cell>
          <cell r="N8" t="str">
            <v>SBCU24*</v>
          </cell>
        </row>
        <row r="9">
          <cell r="A9">
            <v>45658</v>
          </cell>
          <cell r="B9" t="str">
            <v>CCMF25</v>
          </cell>
          <cell r="D9">
            <v>45566</v>
          </cell>
          <cell r="E9" t="str">
            <v>OILV24*</v>
          </cell>
          <cell r="G9">
            <v>45717</v>
          </cell>
          <cell r="H9" t="str">
            <v>COCH25*</v>
          </cell>
          <cell r="J9">
            <v>45566</v>
          </cell>
          <cell r="K9" t="str">
            <v>SMCV24*</v>
          </cell>
          <cell r="M9">
            <v>45597</v>
          </cell>
          <cell r="N9" t="str">
            <v>SBCX24*</v>
          </cell>
        </row>
        <row r="10">
          <cell r="A10">
            <v>45717</v>
          </cell>
          <cell r="B10" t="str">
            <v>CCMH25</v>
          </cell>
          <cell r="D10">
            <v>45597</v>
          </cell>
          <cell r="E10" t="str">
            <v>OILX24*</v>
          </cell>
          <cell r="J10">
            <v>45627</v>
          </cell>
          <cell r="K10" t="str">
            <v>SMCZ24*</v>
          </cell>
          <cell r="M10">
            <v>45658</v>
          </cell>
          <cell r="N10" t="str">
            <v>SBCF25*</v>
          </cell>
        </row>
        <row r="11">
          <cell r="D11">
            <v>45627</v>
          </cell>
          <cell r="E11" t="str">
            <v>OILZ24*</v>
          </cell>
          <cell r="J11">
            <v>45658</v>
          </cell>
          <cell r="K11" t="str">
            <v>SMCF25*</v>
          </cell>
          <cell r="M11">
            <v>45717</v>
          </cell>
          <cell r="N11" t="str">
            <v>SBCH25*</v>
          </cell>
        </row>
        <row r="12">
          <cell r="D12">
            <v>45658</v>
          </cell>
          <cell r="E12" t="str">
            <v>OILF25*</v>
          </cell>
          <cell r="J12">
            <v>45717</v>
          </cell>
          <cell r="K12" t="str">
            <v>SMCH25*</v>
          </cell>
        </row>
        <row r="13">
          <cell r="D13">
            <v>45689</v>
          </cell>
          <cell r="E13" t="str">
            <v>OILG25*</v>
          </cell>
        </row>
        <row r="14">
          <cell r="D14">
            <v>45717</v>
          </cell>
          <cell r="E14" t="str">
            <v>OILH25*</v>
          </cell>
        </row>
        <row r="15">
          <cell r="D15">
            <v>45748</v>
          </cell>
          <cell r="E15" t="str">
            <v>OILJ25*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E99A-3C35-4F78-BB3A-8D8A2A6B3C85}">
  <sheetPr>
    <pageSetUpPr fitToPage="1"/>
  </sheetPr>
  <dimension ref="A1:AM71"/>
  <sheetViews>
    <sheetView tabSelected="1" topLeftCell="F25" zoomScale="81" zoomScaleNormal="81" zoomScaleSheetLayoutView="17" workbookViewId="0">
      <selection activeCell="S39" sqref="S1:S1048576"/>
    </sheetView>
  </sheetViews>
  <sheetFormatPr defaultRowHeight="14.4" outlineLevelRow="1" outlineLevelCol="1" x14ac:dyDescent="0.3"/>
  <cols>
    <col min="1" max="1" width="16.109375" customWidth="1"/>
    <col min="2" max="2" width="21.6640625" customWidth="1"/>
    <col min="3" max="3" width="21.21875" customWidth="1"/>
    <col min="4" max="4" width="24" customWidth="1"/>
    <col min="5" max="5" width="24.77734375" customWidth="1"/>
    <col min="6" max="6" width="17.21875" customWidth="1"/>
    <col min="7" max="8" width="18.6640625" hidden="1" customWidth="1"/>
    <col min="9" max="9" width="21.21875" hidden="1" customWidth="1" outlineLevel="1"/>
    <col min="10" max="10" width="16.33203125" customWidth="1" collapsed="1"/>
    <col min="11" max="12" width="20.5546875" customWidth="1"/>
    <col min="13" max="13" width="18.109375" customWidth="1"/>
    <col min="14" max="14" width="23.33203125" customWidth="1"/>
    <col min="15" max="15" width="19.77734375" customWidth="1"/>
    <col min="16" max="16" width="20.5546875" customWidth="1"/>
    <col min="17" max="17" width="17.44140625" customWidth="1"/>
    <col min="18" max="18" width="18.33203125" customWidth="1"/>
    <col min="19" max="19" width="18.33203125" hidden="1" customWidth="1" outlineLevel="1"/>
    <col min="20" max="20" width="17.88671875" customWidth="1" collapsed="1"/>
    <col min="21" max="21" width="17.109375" customWidth="1"/>
    <col min="22" max="22" width="17" customWidth="1"/>
    <col min="26" max="26" width="15.5546875" customWidth="1"/>
    <col min="28" max="28" width="12.88671875" bestFit="1" customWidth="1"/>
    <col min="36" max="36" width="8.88671875" customWidth="1"/>
    <col min="37" max="37" width="13" customWidth="1"/>
    <col min="38" max="38" width="13.88671875" bestFit="1" customWidth="1"/>
    <col min="39" max="39" width="14.88671875" customWidth="1"/>
  </cols>
  <sheetData>
    <row r="1" spans="1:39" ht="31.2" x14ac:dyDescent="0.6">
      <c r="A1" s="1" t="s">
        <v>0</v>
      </c>
      <c r="B1" s="2"/>
      <c r="C1" s="2"/>
      <c r="D1" s="2"/>
      <c r="E1" s="2"/>
      <c r="F1" s="2"/>
      <c r="G1" s="2"/>
      <c r="H1" s="2"/>
      <c r="K1" s="1" t="s">
        <v>1</v>
      </c>
      <c r="L1" s="3"/>
      <c r="M1" s="3"/>
      <c r="N1" s="3"/>
      <c r="O1" s="4"/>
      <c r="P1" s="4"/>
      <c r="Q1" s="4"/>
      <c r="R1" s="4"/>
      <c r="S1" s="4"/>
      <c r="T1" s="5" t="s">
        <v>69</v>
      </c>
      <c r="U1" s="4"/>
      <c r="Z1" s="54" t="s">
        <v>2</v>
      </c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 t="s">
        <v>3</v>
      </c>
      <c r="AL1" s="54"/>
      <c r="AM1" s="54"/>
    </row>
    <row r="2" spans="1:39" ht="51.6" x14ac:dyDescent="0.5">
      <c r="A2" s="63" t="s">
        <v>4</v>
      </c>
      <c r="B2" s="63" t="s">
        <v>5</v>
      </c>
      <c r="C2" s="63" t="s">
        <v>6</v>
      </c>
      <c r="D2" s="63" t="s">
        <v>7</v>
      </c>
      <c r="E2" s="64" t="s">
        <v>8</v>
      </c>
      <c r="F2" s="3"/>
      <c r="G2" s="3"/>
      <c r="H2" s="3"/>
      <c r="K2" s="63" t="s">
        <v>4</v>
      </c>
      <c r="L2" s="63" t="s">
        <v>5</v>
      </c>
      <c r="M2" s="63" t="s">
        <v>9</v>
      </c>
      <c r="N2" s="63" t="s">
        <v>7</v>
      </c>
      <c r="O2" s="3"/>
      <c r="P2" s="65" t="s">
        <v>10</v>
      </c>
      <c r="Q2" s="66"/>
      <c r="Z2" s="55">
        <v>45597</v>
      </c>
      <c r="AA2" s="54">
        <v>68.569999999999993</v>
      </c>
      <c r="AB2" s="56">
        <v>-3.5999999999999999E-3</v>
      </c>
      <c r="AC2" s="55"/>
      <c r="AD2" s="54"/>
      <c r="AE2" s="54"/>
      <c r="AF2" s="56"/>
      <c r="AG2" s="56"/>
      <c r="AH2" s="56"/>
      <c r="AI2" s="56"/>
      <c r="AJ2" s="54"/>
      <c r="AK2" s="55">
        <v>45566</v>
      </c>
      <c r="AL2" s="54">
        <f t="shared" ref="AL2:AL7" si="0">AM2/1000</f>
        <v>5.6390000000000002</v>
      </c>
      <c r="AM2" s="57">
        <v>5639</v>
      </c>
    </row>
    <row r="3" spans="1:39" ht="25.8" customHeight="1" x14ac:dyDescent="0.5">
      <c r="A3" s="3" t="str">
        <f>IFERROR(VLOOKUP((B3),[1]Contrato!$A$3:$B$10,2,FALSE),"")</f>
        <v/>
      </c>
      <c r="B3" s="10">
        <v>45566</v>
      </c>
      <c r="C3" s="11">
        <f>C4</f>
        <v>68.569999999999993</v>
      </c>
      <c r="D3" s="12">
        <f>D4</f>
        <v>-3.5999999999999999E-3</v>
      </c>
      <c r="E3" s="13">
        <f>C3-12</f>
        <v>56.569999999999993</v>
      </c>
      <c r="F3" s="3"/>
      <c r="H3" s="11"/>
      <c r="I3" s="14"/>
      <c r="J3" s="11"/>
      <c r="K3" s="3" t="str">
        <f>IFERROR(VLOOKUP((L3),[1]Contrato!$D$4:$E$15,2,FALSE),"")</f>
        <v>OILV24*</v>
      </c>
      <c r="L3" s="10">
        <v>45566</v>
      </c>
      <c r="M3" s="11">
        <f>M4</f>
        <v>79.27</v>
      </c>
      <c r="N3" s="12">
        <f>N4</f>
        <v>-1.6000000000000001E-3</v>
      </c>
      <c r="O3" s="3"/>
      <c r="P3" s="15" t="s">
        <v>5</v>
      </c>
      <c r="Q3" s="67" t="s">
        <v>11</v>
      </c>
      <c r="R3" s="16"/>
      <c r="S3" s="16"/>
      <c r="T3" s="3" t="s">
        <v>12</v>
      </c>
      <c r="Z3" s="55">
        <v>45658</v>
      </c>
      <c r="AA3" s="54">
        <v>71.709999999999994</v>
      </c>
      <c r="AB3" s="56">
        <v>-8.0000000000000002E-3</v>
      </c>
      <c r="AC3" s="55"/>
      <c r="AD3" s="54"/>
      <c r="AE3" s="54"/>
      <c r="AF3" s="56"/>
      <c r="AG3" s="56"/>
      <c r="AH3" s="56"/>
      <c r="AI3" s="56"/>
      <c r="AJ3" s="54"/>
      <c r="AK3" s="55">
        <v>45597</v>
      </c>
      <c r="AL3" s="54">
        <f t="shared" si="0"/>
        <v>5.6669999999999998</v>
      </c>
      <c r="AM3" s="54">
        <v>5667</v>
      </c>
    </row>
    <row r="4" spans="1:39" ht="25.8" x14ac:dyDescent="0.5">
      <c r="A4" s="3" t="str">
        <f>IFERROR(VLOOKUP((B4),[1]Contrato!$A$3:$B$10,2,FALSE),"")</f>
        <v>CCMX24</v>
      </c>
      <c r="B4" s="10">
        <v>45597</v>
      </c>
      <c r="C4" s="11">
        <f>VLOOKUP((B4),$Z$2:$AB$8,2,FALSE)</f>
        <v>68.569999999999993</v>
      </c>
      <c r="D4" s="12">
        <f>VLOOKUP((B4),$Z$2:$AB$8,3,FALSE)</f>
        <v>-3.5999999999999999E-3</v>
      </c>
      <c r="E4" s="13">
        <f>C4-12</f>
        <v>56.569999999999993</v>
      </c>
      <c r="F4" s="3"/>
      <c r="G4" s="3"/>
      <c r="H4" s="3"/>
      <c r="K4" s="3" t="str">
        <f>IFERROR(VLOOKUP((L4),[1]Contrato!$D$4:$E$15,2,FALSE),"")</f>
        <v>OILX24*</v>
      </c>
      <c r="L4" s="10">
        <v>45597</v>
      </c>
      <c r="M4" s="11">
        <f>VLOOKUP((L4),$Z$12:$AB$24,2,FALSE)</f>
        <v>79.27</v>
      </c>
      <c r="N4" s="12">
        <f>VLOOKUP((L4),$Z$12:$AB$24,3,FALSE)</f>
        <v>-1.6000000000000001E-3</v>
      </c>
      <c r="P4" s="68">
        <v>45566</v>
      </c>
      <c r="Q4" s="17">
        <f>VLOOKUP((P4),$AK$2:$AL$13,2,FALSE)</f>
        <v>5.6390000000000002</v>
      </c>
      <c r="R4" s="16"/>
      <c r="S4" s="16"/>
      <c r="Z4" s="55">
        <v>45717</v>
      </c>
      <c r="AA4" s="54">
        <v>73.400000000000006</v>
      </c>
      <c r="AB4" s="56">
        <v>6.9999999999999999E-4</v>
      </c>
      <c r="AC4" s="55"/>
      <c r="AD4" s="54"/>
      <c r="AE4" s="54"/>
      <c r="AF4" s="56"/>
      <c r="AG4" s="56"/>
      <c r="AH4" s="56"/>
      <c r="AI4" s="56"/>
      <c r="AJ4" s="54"/>
      <c r="AK4" s="55">
        <v>45627</v>
      </c>
      <c r="AL4" s="54">
        <f t="shared" si="0"/>
        <v>5.6346499999999997</v>
      </c>
      <c r="AM4" s="54">
        <v>5634.65</v>
      </c>
    </row>
    <row r="5" spans="1:39" ht="25.8" x14ac:dyDescent="0.5">
      <c r="A5" s="3" t="str">
        <f>IFERROR(VLOOKUP((B5),[1]Contrato!$A$3:$B$10,2,FALSE),"")</f>
        <v/>
      </c>
      <c r="B5" s="10">
        <v>45627</v>
      </c>
      <c r="C5" s="11">
        <f>C4</f>
        <v>68.569999999999993</v>
      </c>
      <c r="D5" s="12">
        <f>D4</f>
        <v>-3.5999999999999999E-3</v>
      </c>
      <c r="E5" s="13">
        <f>C5-12</f>
        <v>56.569999999999993</v>
      </c>
      <c r="F5" s="3"/>
      <c r="G5" s="3"/>
      <c r="H5" s="3"/>
      <c r="K5" s="3" t="str">
        <f>IFERROR(VLOOKUP((L5),[1]Contrato!$D$4:$E$15,2,FALSE),"")</f>
        <v>OILZ24*</v>
      </c>
      <c r="L5" s="10">
        <v>45627</v>
      </c>
      <c r="M5" s="11">
        <f>VLOOKUP((L5),$Z$12:$AB$24,2,FALSE)</f>
        <v>79.27</v>
      </c>
      <c r="N5" s="12">
        <f>VLOOKUP((L5),$Z$12:$AB$24,3,FALSE)</f>
        <v>-1.6000000000000001E-3</v>
      </c>
      <c r="P5" s="68">
        <v>45597</v>
      </c>
      <c r="Q5" s="17">
        <f>VLOOKUP((P5),$AK$2:$AL$13,2,FALSE)</f>
        <v>5.6669999999999998</v>
      </c>
      <c r="R5" s="16"/>
      <c r="S5" s="16"/>
      <c r="T5" s="3" t="s">
        <v>13</v>
      </c>
      <c r="Z5" s="55">
        <v>45778</v>
      </c>
      <c r="AA5" s="54">
        <v>72.41</v>
      </c>
      <c r="AB5" s="56">
        <v>8.0000000000000004E-4</v>
      </c>
      <c r="AC5" s="55"/>
      <c r="AD5" s="54"/>
      <c r="AE5" s="54"/>
      <c r="AF5" s="56"/>
      <c r="AG5" s="56"/>
      <c r="AH5" s="56"/>
      <c r="AI5" s="56"/>
      <c r="AJ5" s="54"/>
      <c r="AK5" s="55">
        <v>45658</v>
      </c>
      <c r="AL5" s="54">
        <f t="shared" si="0"/>
        <v>5.6600850000000005</v>
      </c>
      <c r="AM5" s="54">
        <v>5660.085</v>
      </c>
    </row>
    <row r="6" spans="1:39" ht="25.8" x14ac:dyDescent="0.5">
      <c r="A6" s="3" t="str">
        <f>IFERROR(VLOOKUP((B6),[1]Contrato!$A$3:$B$10,2,FALSE),"")</f>
        <v>CCMF25</v>
      </c>
      <c r="B6" s="10">
        <v>45658</v>
      </c>
      <c r="C6" s="11">
        <f>VLOOKUP((B6),$Z$2:$AB$8,2,FALSE)</f>
        <v>71.709999999999994</v>
      </c>
      <c r="D6" s="12">
        <f>VLOOKUP((B6),$Z$2:$AB$8,3,FALSE)</f>
        <v>-8.0000000000000002E-3</v>
      </c>
      <c r="E6" s="13">
        <f>C6-12</f>
        <v>59.709999999999994</v>
      </c>
      <c r="F6" s="3"/>
      <c r="G6" s="3"/>
      <c r="H6" s="3"/>
      <c r="K6" s="3" t="str">
        <f>IFERROR(VLOOKUP((L6),[1]Contrato!$D$4:$E$15,2,FALSE),"")</f>
        <v>OILF25*</v>
      </c>
      <c r="L6" s="10">
        <v>45658</v>
      </c>
      <c r="M6" s="11">
        <f>VLOOKUP((L6),$Z$12:$AB$24,2,FALSE)</f>
        <v>78.78</v>
      </c>
      <c r="N6" s="12">
        <f>VLOOKUP((L6),$Z$12:$AB$24,3,FALSE)</f>
        <v>-1E-3</v>
      </c>
      <c r="P6" s="68">
        <v>45627</v>
      </c>
      <c r="Q6" s="17">
        <f>VLOOKUP((P6),$AK$2:$AL$13,2,FALSE)</f>
        <v>5.6346499999999997</v>
      </c>
      <c r="R6" s="16"/>
      <c r="S6" s="16"/>
      <c r="Z6" s="55">
        <v>45839</v>
      </c>
      <c r="AA6" s="54">
        <v>69.790000000000006</v>
      </c>
      <c r="AB6" s="56">
        <v>1.9E-3</v>
      </c>
      <c r="AC6" s="54"/>
      <c r="AD6" s="54"/>
      <c r="AE6" s="54"/>
      <c r="AF6" s="54"/>
      <c r="AG6" s="54"/>
      <c r="AH6" s="54"/>
      <c r="AI6" s="54"/>
      <c r="AJ6" s="54"/>
      <c r="AK6" s="55">
        <v>45689</v>
      </c>
      <c r="AL6" s="54">
        <f t="shared" si="0"/>
        <v>5.685981</v>
      </c>
      <c r="AM6" s="54">
        <v>5685.9809999999998</v>
      </c>
    </row>
    <row r="7" spans="1:39" ht="25.8" x14ac:dyDescent="0.5">
      <c r="A7" s="3" t="str">
        <f>IFERROR(VLOOKUP((B7),[1]Contrato!$A$3:$B$10,2,FALSE),"")</f>
        <v/>
      </c>
      <c r="B7" s="10">
        <v>45689</v>
      </c>
      <c r="C7" s="11">
        <f>C6</f>
        <v>71.709999999999994</v>
      </c>
      <c r="D7" s="12">
        <f>D6</f>
        <v>-8.0000000000000002E-3</v>
      </c>
      <c r="E7" s="13">
        <f>C7-12</f>
        <v>59.709999999999994</v>
      </c>
      <c r="F7" s="3"/>
      <c r="G7" s="3"/>
      <c r="H7" s="3"/>
      <c r="K7" s="3" t="str">
        <f>IFERROR(VLOOKUP((L7),[1]Contrato!$D$4:$E$15,2,FALSE),"")</f>
        <v>OILG25*</v>
      </c>
      <c r="L7" s="10">
        <v>45689</v>
      </c>
      <c r="M7" s="11">
        <f>VLOOKUP((L7),$Z$12:$AB$24,2,FALSE)</f>
        <v>78.31</v>
      </c>
      <c r="N7" s="12">
        <f>VLOOKUP((L7),$Z$12:$AB$24,3,FALSE)</f>
        <v>-5.0000000000000001E-4</v>
      </c>
      <c r="P7" s="68">
        <v>45658</v>
      </c>
      <c r="Q7" s="17">
        <f>VLOOKUP((P7),$AK$2:$AL$13,2,FALSE)</f>
        <v>5.6600850000000005</v>
      </c>
      <c r="R7" s="16"/>
      <c r="S7" s="16"/>
      <c r="T7" s="3" t="s">
        <v>14</v>
      </c>
      <c r="Z7" s="55">
        <v>45901</v>
      </c>
      <c r="AA7" s="54">
        <v>68.7</v>
      </c>
      <c r="AB7" s="56">
        <v>-4.0000000000000002E-4</v>
      </c>
      <c r="AC7" s="54"/>
      <c r="AD7" s="54"/>
      <c r="AE7" s="54"/>
      <c r="AF7" s="54"/>
      <c r="AG7" s="54"/>
      <c r="AH7" s="54"/>
      <c r="AI7" s="54"/>
      <c r="AJ7" s="54"/>
      <c r="AK7" s="55">
        <v>45717</v>
      </c>
      <c r="AL7" s="54">
        <f t="shared" si="0"/>
        <v>5.712561</v>
      </c>
      <c r="AM7" s="54">
        <v>5712.5609999999997</v>
      </c>
    </row>
    <row r="8" spans="1:39" ht="25.8" x14ac:dyDescent="0.5">
      <c r="A8" s="3" t="str">
        <f>IFERROR(VLOOKUP((B8),[1]Contrato!$A$3:$B$10,2,FALSE),"")</f>
        <v>CCMH25</v>
      </c>
      <c r="B8" s="10">
        <v>45717</v>
      </c>
      <c r="C8" s="11">
        <f>VLOOKUP((B8),$Z$2:$AB$8,2,FALSE)</f>
        <v>73.400000000000006</v>
      </c>
      <c r="D8" s="12">
        <f>VLOOKUP((B8),$Z$2:$AB$8,3,FALSE)</f>
        <v>6.9999999999999999E-4</v>
      </c>
      <c r="E8" s="13">
        <f>C8-12</f>
        <v>61.400000000000006</v>
      </c>
      <c r="F8" s="3"/>
      <c r="G8" s="3"/>
      <c r="H8" s="3"/>
      <c r="K8" s="3" t="str">
        <f>IFERROR(VLOOKUP((L8),[1]Contrato!$D$4:$E$15,2,FALSE),"")</f>
        <v>OILH25*</v>
      </c>
      <c r="L8" s="10">
        <v>45717</v>
      </c>
      <c r="M8" s="11">
        <f>VLOOKUP((L8),$Z$12:$AB$24,2,FALSE)</f>
        <v>77.92</v>
      </c>
      <c r="N8" s="12">
        <f>VLOOKUP((L8),$Z$12:$AB$24,3,FALSE)</f>
        <v>-2.9999999999999997E-4</v>
      </c>
      <c r="P8" s="68">
        <v>45689</v>
      </c>
      <c r="Q8" s="17">
        <f>VLOOKUP((P8),$AK$2:$AL$13,2,FALSE)</f>
        <v>5.685981</v>
      </c>
      <c r="R8" s="16"/>
      <c r="S8" s="16"/>
      <c r="T8" s="3"/>
      <c r="Z8" s="55">
        <v>45962</v>
      </c>
      <c r="AA8" s="54">
        <v>72.41</v>
      </c>
      <c r="AB8" s="56">
        <v>0</v>
      </c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</row>
    <row r="9" spans="1:39" ht="25.8" x14ac:dyDescent="0.5">
      <c r="B9" s="10">
        <v>45748</v>
      </c>
      <c r="C9" s="11">
        <f>C8</f>
        <v>73.400000000000006</v>
      </c>
      <c r="D9" s="12">
        <f>D8</f>
        <v>6.9999999999999999E-4</v>
      </c>
      <c r="E9" s="13">
        <f>C9-12</f>
        <v>61.400000000000006</v>
      </c>
      <c r="F9" s="3"/>
      <c r="G9" s="3"/>
      <c r="H9" s="3"/>
      <c r="K9" s="3" t="str">
        <f>IFERROR(VLOOKUP((L9),[1]Contrato!$D$4:$E$15,2,FALSE),"")</f>
        <v>OILJ25*</v>
      </c>
      <c r="L9" s="10">
        <v>45748</v>
      </c>
      <c r="M9" s="11">
        <f>VLOOKUP((L9),$Z$12:$AB$24,2,FALSE)</f>
        <v>77.569999999999993</v>
      </c>
      <c r="N9" s="12">
        <f>VLOOKUP((L9),$Z$12:$AB$24,3,FALSE)</f>
        <v>-1E-4</v>
      </c>
      <c r="P9" s="68">
        <v>45717</v>
      </c>
      <c r="Q9" s="17">
        <f>VLOOKUP((P9),$AK$2:$AL$13,2,FALSE)</f>
        <v>5.712561</v>
      </c>
      <c r="T9" s="3" t="s">
        <v>15</v>
      </c>
      <c r="Z9" s="54"/>
      <c r="AA9" s="54"/>
      <c r="AB9" s="54"/>
      <c r="AC9" s="54"/>
      <c r="AD9" s="54"/>
      <c r="AE9" s="55"/>
      <c r="AF9" s="54"/>
      <c r="AG9" s="54"/>
      <c r="AH9" s="54"/>
      <c r="AI9" s="54"/>
      <c r="AJ9" s="54"/>
      <c r="AK9" s="54"/>
      <c r="AL9" s="54"/>
      <c r="AM9" s="54"/>
    </row>
    <row r="10" spans="1:39" ht="25.8" x14ac:dyDescent="0.5">
      <c r="A10" s="3" t="s">
        <v>17</v>
      </c>
      <c r="B10" s="10">
        <v>45778</v>
      </c>
      <c r="C10" s="11">
        <f>VLOOKUP((B10),$Z$2:$AB$8,2,FALSE)</f>
        <v>72.41</v>
      </c>
      <c r="D10" s="12">
        <f>VLOOKUP((B10),$Z$2:$AB$8,3,FALSE)</f>
        <v>8.0000000000000004E-4</v>
      </c>
      <c r="E10" s="13">
        <f>C10-12</f>
        <v>60.41</v>
      </c>
      <c r="F10" s="3"/>
      <c r="G10" s="3"/>
      <c r="H10" s="3"/>
      <c r="K10" s="3" t="s">
        <v>16</v>
      </c>
      <c r="L10" s="10">
        <v>45778</v>
      </c>
      <c r="M10" s="11">
        <f>VLOOKUP((L10),$Z$12:$AB$24,2,FALSE)</f>
        <v>77.260000000000005</v>
      </c>
      <c r="N10" s="12">
        <f>VLOOKUP((L10),$Z$12:$AB$24,3,FALSE)</f>
        <v>-1E-4</v>
      </c>
      <c r="O10" s="18"/>
      <c r="P10" s="68">
        <v>45748</v>
      </c>
      <c r="Q10" s="17">
        <f t="shared" ref="Q10:Q17" si="1">Q9</f>
        <v>5.712561</v>
      </c>
      <c r="Z10" s="54"/>
      <c r="AA10" s="54"/>
      <c r="AB10" s="54"/>
      <c r="AC10" s="54"/>
      <c r="AD10" s="54"/>
      <c r="AE10" s="55"/>
      <c r="AF10" s="54"/>
      <c r="AG10" s="54"/>
      <c r="AH10" s="54"/>
      <c r="AI10" s="54"/>
      <c r="AJ10" s="54"/>
      <c r="AK10" s="54"/>
      <c r="AL10" s="54"/>
      <c r="AM10" s="54"/>
    </row>
    <row r="11" spans="1:39" ht="25.8" x14ac:dyDescent="0.5">
      <c r="B11" s="10">
        <v>45809</v>
      </c>
      <c r="C11" s="11">
        <f>C10</f>
        <v>72.41</v>
      </c>
      <c r="D11" s="12">
        <f>D10</f>
        <v>8.0000000000000004E-4</v>
      </c>
      <c r="E11" s="13">
        <f>C11-12</f>
        <v>60.41</v>
      </c>
      <c r="F11" s="3"/>
      <c r="G11" s="3"/>
      <c r="H11" s="3"/>
      <c r="K11" s="3" t="s">
        <v>18</v>
      </c>
      <c r="L11" s="10">
        <v>45809</v>
      </c>
      <c r="M11" s="11">
        <f>VLOOKUP((L11),$Z$12:$AB$24,2,FALSE)</f>
        <v>76.98</v>
      </c>
      <c r="N11" s="12">
        <f>VLOOKUP((L11),$Z$12:$AB$24,3,FALSE)</f>
        <v>1E-4</v>
      </c>
      <c r="P11" s="68">
        <v>45778</v>
      </c>
      <c r="Q11" s="17">
        <f t="shared" si="1"/>
        <v>5.712561</v>
      </c>
      <c r="R11" s="8"/>
      <c r="S11" s="8"/>
      <c r="T11" s="6"/>
      <c r="Z11" s="54" t="s">
        <v>19</v>
      </c>
      <c r="AA11" s="54"/>
      <c r="AB11" s="54"/>
      <c r="AC11" s="54"/>
      <c r="AD11" s="54"/>
      <c r="AE11" s="55"/>
      <c r="AF11" s="54"/>
      <c r="AG11" s="54"/>
      <c r="AH11" s="54"/>
      <c r="AI11" s="54"/>
      <c r="AJ11" s="54"/>
      <c r="AK11" s="54"/>
      <c r="AL11" s="54"/>
      <c r="AM11" s="54"/>
    </row>
    <row r="12" spans="1:39" ht="25.8" x14ac:dyDescent="0.5">
      <c r="A12" s="3" t="s">
        <v>21</v>
      </c>
      <c r="B12" s="10">
        <v>45839</v>
      </c>
      <c r="C12" s="11">
        <f>VLOOKUP((B12),$Z$2:$AB$8,2,FALSE)</f>
        <v>69.790000000000006</v>
      </c>
      <c r="D12" s="12">
        <f>VLOOKUP((B12),$Z$2:$AB$8,3,FALSE)</f>
        <v>1.9E-3</v>
      </c>
      <c r="E12" s="13">
        <f>C12-12</f>
        <v>57.790000000000006</v>
      </c>
      <c r="F12" s="3"/>
      <c r="G12" s="3"/>
      <c r="H12" s="3"/>
      <c r="K12" s="3" t="s">
        <v>20</v>
      </c>
      <c r="L12" s="10">
        <v>45839</v>
      </c>
      <c r="M12" s="11">
        <f>VLOOKUP((L12),$Z$12:$AB$24,2,FALSE)</f>
        <v>76.72</v>
      </c>
      <c r="N12" s="12">
        <f>VLOOKUP((L12),$Z$12:$AB$24,3,FALSE)</f>
        <v>4.0000000000000002E-4</v>
      </c>
      <c r="O12" s="19"/>
      <c r="P12" s="68">
        <v>45809</v>
      </c>
      <c r="Q12" s="17">
        <f t="shared" si="1"/>
        <v>5.712561</v>
      </c>
      <c r="R12" s="8"/>
      <c r="S12" s="8"/>
      <c r="Z12" s="55">
        <v>45597</v>
      </c>
      <c r="AA12" s="54">
        <v>79.27</v>
      </c>
      <c r="AB12" s="56">
        <v>-1.6000000000000001E-3</v>
      </c>
      <c r="AC12" s="54"/>
      <c r="AD12" s="54"/>
      <c r="AE12" s="55"/>
      <c r="AF12" s="54"/>
      <c r="AG12" s="54"/>
      <c r="AH12" s="54"/>
      <c r="AI12" s="54"/>
      <c r="AJ12" s="54"/>
      <c r="AK12" s="54"/>
      <c r="AL12" s="54"/>
      <c r="AM12" s="54"/>
    </row>
    <row r="13" spans="1:39" ht="25.8" x14ac:dyDescent="0.5">
      <c r="B13" s="10">
        <v>45870</v>
      </c>
      <c r="C13" s="11">
        <f>C12</f>
        <v>69.790000000000006</v>
      </c>
      <c r="D13" s="12">
        <f>D12</f>
        <v>1.9E-3</v>
      </c>
      <c r="E13" s="13">
        <f>C13-12</f>
        <v>57.790000000000006</v>
      </c>
      <c r="F13" s="3"/>
      <c r="G13" s="3"/>
      <c r="H13" s="3"/>
      <c r="K13" s="3" t="s">
        <v>22</v>
      </c>
      <c r="L13" s="10">
        <v>45870</v>
      </c>
      <c r="M13" s="11">
        <f>VLOOKUP((L13),$Z$12:$AB$24,2,FALSE)</f>
        <v>76.430000000000007</v>
      </c>
      <c r="N13" s="12">
        <f>VLOOKUP((L13),$Z$12:$AB$24,3,FALSE)</f>
        <v>2.9999999999999997E-4</v>
      </c>
      <c r="O13" s="3"/>
      <c r="P13" s="68">
        <v>45839</v>
      </c>
      <c r="Q13" s="17">
        <f t="shared" si="1"/>
        <v>5.712561</v>
      </c>
      <c r="R13" s="8"/>
      <c r="S13" s="8"/>
      <c r="Z13" s="55">
        <v>45627</v>
      </c>
      <c r="AA13" s="54">
        <v>79.27</v>
      </c>
      <c r="AB13" s="56">
        <v>-1.6000000000000001E-3</v>
      </c>
      <c r="AC13" s="54"/>
      <c r="AD13" s="54"/>
      <c r="AE13" s="55"/>
      <c r="AF13" s="54"/>
      <c r="AG13" s="54"/>
      <c r="AH13" s="54"/>
      <c r="AI13" s="54"/>
      <c r="AJ13" s="54"/>
      <c r="AK13" s="54"/>
      <c r="AL13" s="54"/>
      <c r="AM13" s="54"/>
    </row>
    <row r="14" spans="1:39" ht="25.8" x14ac:dyDescent="0.5">
      <c r="A14" s="3" t="s">
        <v>24</v>
      </c>
      <c r="B14" s="10">
        <v>45901</v>
      </c>
      <c r="C14" s="11">
        <f>VLOOKUP((B14),$Z$2:$AB$8,2,FALSE)</f>
        <v>68.7</v>
      </c>
      <c r="D14" s="12">
        <f>VLOOKUP((B14),$Z$2:$AB$8,3,FALSE)</f>
        <v>-4.0000000000000002E-4</v>
      </c>
      <c r="E14" s="13">
        <f>C14-12</f>
        <v>56.7</v>
      </c>
      <c r="F14" s="3"/>
      <c r="G14" s="3"/>
      <c r="H14" s="3"/>
      <c r="K14" s="3" t="s">
        <v>23</v>
      </c>
      <c r="L14" s="10">
        <v>45901</v>
      </c>
      <c r="M14" s="11">
        <f>VLOOKUP((L14),$Z$12:$AB$24,2,FALSE)</f>
        <v>76.209999999999994</v>
      </c>
      <c r="N14" s="12">
        <f>VLOOKUP((L14),$Z$12:$AB$24,3,FALSE)</f>
        <v>8.9999999999999998E-4</v>
      </c>
      <c r="O14" s="3"/>
      <c r="P14" s="68">
        <v>45870</v>
      </c>
      <c r="Q14" s="17">
        <f t="shared" si="1"/>
        <v>5.712561</v>
      </c>
      <c r="Z14" s="55">
        <v>45658</v>
      </c>
      <c r="AA14" s="54">
        <v>78.78</v>
      </c>
      <c r="AB14" s="56">
        <v>-1E-3</v>
      </c>
      <c r="AC14" s="54"/>
      <c r="AD14" s="54"/>
      <c r="AE14" s="55"/>
      <c r="AF14" s="54"/>
      <c r="AG14" s="54"/>
      <c r="AH14" s="54"/>
      <c r="AI14" s="54"/>
      <c r="AJ14" s="54"/>
      <c r="AK14" s="54"/>
      <c r="AL14" s="54"/>
      <c r="AM14" s="54"/>
    </row>
    <row r="15" spans="1:39" ht="25.8" x14ac:dyDescent="0.5">
      <c r="B15" s="10">
        <v>45931</v>
      </c>
      <c r="C15" s="11">
        <f>C14</f>
        <v>68.7</v>
      </c>
      <c r="D15" s="12">
        <f>D14</f>
        <v>-4.0000000000000002E-4</v>
      </c>
      <c r="E15" s="13">
        <f>C15-12</f>
        <v>56.7</v>
      </c>
      <c r="K15" s="3" t="s">
        <v>25</v>
      </c>
      <c r="L15" s="10">
        <v>45931</v>
      </c>
      <c r="M15" s="11">
        <f>VLOOKUP((L15),$Z$12:$AB$24,2,FALSE)</f>
        <v>75.94</v>
      </c>
      <c r="N15" s="12">
        <f>VLOOKUP((L15),$Z$12:$AB$24,3,FALSE)</f>
        <v>8.9999999999999998E-4</v>
      </c>
      <c r="O15" s="3"/>
      <c r="P15" s="68">
        <v>45901</v>
      </c>
      <c r="Q15" s="17">
        <f t="shared" si="1"/>
        <v>5.712561</v>
      </c>
      <c r="Z15" s="55">
        <v>45689</v>
      </c>
      <c r="AA15" s="54">
        <v>78.31</v>
      </c>
      <c r="AB15" s="56">
        <v>-5.0000000000000001E-4</v>
      </c>
      <c r="AC15" s="54"/>
      <c r="AD15" s="54"/>
      <c r="AE15" s="55"/>
      <c r="AF15" s="54"/>
      <c r="AG15" s="54"/>
      <c r="AH15" s="54"/>
      <c r="AI15" s="54"/>
      <c r="AJ15" s="54"/>
      <c r="AK15" s="54"/>
      <c r="AL15" s="54"/>
      <c r="AM15" s="54"/>
    </row>
    <row r="16" spans="1:39" ht="25.8" customHeight="1" x14ac:dyDescent="0.5">
      <c r="A16" s="3" t="s">
        <v>27</v>
      </c>
      <c r="B16" s="10">
        <v>45962</v>
      </c>
      <c r="C16" s="11">
        <f>VLOOKUP((B16),$Z$2:$AB$8,2,FALSE)</f>
        <v>72.41</v>
      </c>
      <c r="D16" s="12">
        <f>VLOOKUP((B16),$Z$2:$AB$8,3,FALSE)</f>
        <v>0</v>
      </c>
      <c r="E16" s="13">
        <f>C16-12</f>
        <v>60.41</v>
      </c>
      <c r="I16" s="3"/>
      <c r="J16" s="3"/>
      <c r="K16" s="3" t="s">
        <v>26</v>
      </c>
      <c r="L16" s="10">
        <v>45962</v>
      </c>
      <c r="M16" s="11">
        <f>VLOOKUP((L16),$Z$12:$AB$24,2,FALSE)</f>
        <v>75.25</v>
      </c>
      <c r="N16" s="12">
        <f>VLOOKUP((L16),$Z$12:$AB$24,3,FALSE)</f>
        <v>-5.0000000000000001E-3</v>
      </c>
      <c r="O16" s="3"/>
      <c r="P16" s="68">
        <v>45931</v>
      </c>
      <c r="Q16" s="17">
        <f t="shared" si="1"/>
        <v>5.712561</v>
      </c>
      <c r="R16" s="3"/>
      <c r="Z16" s="55">
        <v>45717</v>
      </c>
      <c r="AA16" s="54">
        <v>77.92</v>
      </c>
      <c r="AB16" s="56">
        <v>-2.9999999999999997E-4</v>
      </c>
      <c r="AC16" s="54"/>
      <c r="AD16" s="54"/>
      <c r="AE16" s="55"/>
      <c r="AF16" s="54"/>
      <c r="AG16" s="54"/>
      <c r="AH16" s="54"/>
      <c r="AI16" s="54"/>
      <c r="AJ16" s="54"/>
      <c r="AK16" s="54"/>
      <c r="AL16" s="54"/>
      <c r="AM16" s="54"/>
    </row>
    <row r="17" spans="1:39" ht="25.8" customHeight="1" x14ac:dyDescent="0.55000000000000004">
      <c r="A17" s="16" t="s">
        <v>28</v>
      </c>
      <c r="B17" s="2"/>
      <c r="C17" s="2"/>
      <c r="D17" s="2"/>
      <c r="E17" s="2"/>
      <c r="F17" s="4"/>
      <c r="G17" s="4"/>
      <c r="H17" s="4"/>
      <c r="I17" s="3"/>
      <c r="J17" s="3"/>
      <c r="O17" s="3"/>
      <c r="P17" s="68">
        <v>45962</v>
      </c>
      <c r="Q17" s="17">
        <f t="shared" si="1"/>
        <v>5.712561</v>
      </c>
      <c r="R17" s="3"/>
      <c r="S17" s="4"/>
      <c r="Z17" s="55">
        <v>45748</v>
      </c>
      <c r="AA17" s="54">
        <v>77.569999999999993</v>
      </c>
      <c r="AB17" s="56">
        <v>-1E-4</v>
      </c>
      <c r="AC17" s="54"/>
      <c r="AD17" s="54"/>
      <c r="AE17" s="55"/>
      <c r="AF17" s="54"/>
      <c r="AG17" s="54"/>
      <c r="AH17" s="54"/>
      <c r="AI17" s="54"/>
      <c r="AJ17" s="54"/>
      <c r="AK17" s="54"/>
      <c r="AL17" s="54"/>
      <c r="AM17" s="54"/>
    </row>
    <row r="18" spans="1:39" ht="28.8" x14ac:dyDescent="0.55000000000000004">
      <c r="F18" s="2"/>
      <c r="G18" s="2"/>
      <c r="H18" s="2"/>
      <c r="I18" s="1"/>
      <c r="J18" s="20"/>
      <c r="K18" s="4"/>
      <c r="L18" s="4"/>
      <c r="M18" s="4"/>
      <c r="N18" s="4"/>
      <c r="O18" s="4"/>
      <c r="R18" s="4"/>
      <c r="S18" s="4"/>
      <c r="T18" s="4"/>
      <c r="Z18" s="55">
        <v>45778</v>
      </c>
      <c r="AA18" s="54">
        <v>77.260000000000005</v>
      </c>
      <c r="AB18" s="56">
        <v>-1E-4</v>
      </c>
      <c r="AC18" s="54"/>
      <c r="AD18" s="54"/>
      <c r="AE18" s="55"/>
      <c r="AF18" s="54"/>
      <c r="AG18" s="54"/>
      <c r="AH18" s="54"/>
      <c r="AI18" s="54"/>
      <c r="AJ18" s="54"/>
      <c r="AK18" s="54"/>
      <c r="AL18" s="54"/>
      <c r="AM18" s="54"/>
    </row>
    <row r="19" spans="1:39" ht="28.8" x14ac:dyDescent="0.55000000000000004">
      <c r="B19" s="2"/>
      <c r="C19" s="2"/>
      <c r="D19" s="2"/>
      <c r="E19" s="2"/>
      <c r="F19" s="2"/>
      <c r="G19" s="2"/>
      <c r="H19" s="2"/>
      <c r="I19" s="1"/>
      <c r="J19" s="20"/>
      <c r="K19" s="4"/>
      <c r="L19" s="4"/>
      <c r="M19" s="4"/>
      <c r="N19" s="4"/>
      <c r="O19" s="4"/>
      <c r="P19" s="21"/>
      <c r="Q19" s="22"/>
      <c r="R19" s="4"/>
      <c r="S19" s="4"/>
      <c r="T19" s="4"/>
      <c r="Z19" s="55">
        <v>45809</v>
      </c>
      <c r="AA19" s="54">
        <v>76.98</v>
      </c>
      <c r="AB19" s="56">
        <v>1E-4</v>
      </c>
      <c r="AC19" s="54"/>
      <c r="AD19" s="54"/>
      <c r="AE19" s="55"/>
      <c r="AF19" s="54"/>
      <c r="AG19" s="54"/>
      <c r="AH19" s="54"/>
      <c r="AI19" s="54"/>
      <c r="AJ19" s="54"/>
      <c r="AK19" s="54"/>
      <c r="AL19" s="54"/>
      <c r="AM19" s="54"/>
    </row>
    <row r="20" spans="1:39" ht="28.8" x14ac:dyDescent="0.55000000000000004">
      <c r="B20" s="2"/>
      <c r="C20" s="2"/>
      <c r="D20" s="2"/>
      <c r="E20" s="2"/>
      <c r="F20" s="2"/>
      <c r="G20" s="2"/>
      <c r="H20" s="2"/>
      <c r="I20" s="1"/>
      <c r="J20" s="20"/>
      <c r="K20" s="4"/>
      <c r="L20" s="4"/>
      <c r="M20" s="4"/>
      <c r="N20" s="4"/>
      <c r="O20" s="4"/>
      <c r="P20" s="21"/>
      <c r="Q20" s="22"/>
      <c r="R20" s="4"/>
      <c r="S20" s="4"/>
      <c r="T20" s="4"/>
      <c r="Z20" s="55">
        <v>45839</v>
      </c>
      <c r="AA20" s="54">
        <v>76.72</v>
      </c>
      <c r="AB20" s="56">
        <v>4.0000000000000002E-4</v>
      </c>
      <c r="AC20" s="54"/>
      <c r="AD20" s="54"/>
      <c r="AE20" s="55"/>
      <c r="AF20" s="54"/>
      <c r="AG20" s="54"/>
      <c r="AH20" s="54"/>
      <c r="AI20" s="54"/>
      <c r="AJ20" s="54"/>
      <c r="AK20" s="54"/>
      <c r="AL20" s="54"/>
      <c r="AM20" s="54"/>
    </row>
    <row r="21" spans="1:39" ht="28.8" x14ac:dyDescent="0.55000000000000004">
      <c r="A21" s="1" t="s">
        <v>29</v>
      </c>
      <c r="B21" s="3"/>
      <c r="C21" s="3"/>
      <c r="D21" s="3"/>
      <c r="E21" s="3"/>
      <c r="F21" s="23"/>
      <c r="G21" s="3"/>
      <c r="H21" s="3"/>
      <c r="I21" s="3"/>
      <c r="J21" s="24" t="s">
        <v>30</v>
      </c>
      <c r="K21" s="25"/>
      <c r="L21" s="25"/>
      <c r="M21" s="26"/>
      <c r="N21" s="3"/>
      <c r="O21" s="3"/>
      <c r="P21" s="3"/>
      <c r="Q21" s="27" t="s">
        <v>31</v>
      </c>
      <c r="R21" s="28"/>
      <c r="S21" s="28"/>
      <c r="T21" s="28"/>
      <c r="U21" s="29"/>
      <c r="Z21" s="55">
        <v>45870</v>
      </c>
      <c r="AA21" s="54">
        <v>76.430000000000007</v>
      </c>
      <c r="AB21" s="56">
        <v>2.9999999999999997E-4</v>
      </c>
      <c r="AC21" s="54"/>
      <c r="AD21" s="54"/>
      <c r="AE21" s="55"/>
      <c r="AF21" s="54"/>
      <c r="AG21" s="54"/>
      <c r="AH21" s="54"/>
      <c r="AI21" s="54"/>
      <c r="AJ21" s="54"/>
      <c r="AK21" s="54"/>
      <c r="AL21" s="54"/>
      <c r="AM21" s="54"/>
    </row>
    <row r="22" spans="1:39" ht="103.2" x14ac:dyDescent="0.5">
      <c r="A22" s="58" t="s">
        <v>4</v>
      </c>
      <c r="B22" s="58" t="s">
        <v>5</v>
      </c>
      <c r="C22" s="59" t="s">
        <v>32</v>
      </c>
      <c r="D22" s="59" t="s">
        <v>7</v>
      </c>
      <c r="E22" s="59" t="s">
        <v>33</v>
      </c>
      <c r="F22" s="59" t="s">
        <v>34</v>
      </c>
      <c r="G22" s="59" t="s">
        <v>35</v>
      </c>
      <c r="H22" s="59"/>
      <c r="I22" s="59" t="s">
        <v>36</v>
      </c>
      <c r="J22" s="60" t="s">
        <v>37</v>
      </c>
      <c r="K22" s="59" t="s">
        <v>38</v>
      </c>
      <c r="L22" s="61" t="s">
        <v>39</v>
      </c>
      <c r="M22" s="62" t="s">
        <v>40</v>
      </c>
      <c r="N22" s="32"/>
      <c r="O22" s="3"/>
      <c r="P22" s="59" t="s">
        <v>41</v>
      </c>
      <c r="Q22" s="60" t="s">
        <v>42</v>
      </c>
      <c r="R22" s="59" t="s">
        <v>39</v>
      </c>
      <c r="S22" s="59"/>
      <c r="T22" s="59" t="s">
        <v>43</v>
      </c>
      <c r="U22" s="62" t="s">
        <v>44</v>
      </c>
      <c r="Z22" s="55">
        <v>45901</v>
      </c>
      <c r="AA22" s="54">
        <v>76.209999999999994</v>
      </c>
      <c r="AB22" s="56">
        <v>8.9999999999999998E-4</v>
      </c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</row>
    <row r="23" spans="1:39" ht="25.8" customHeight="1" x14ac:dyDescent="0.5">
      <c r="A23" s="33" t="str">
        <f>IFERROR(VLOOKUP((B23),[1]Contrato!$G$3:$H$9,2,FALSE),"")</f>
        <v/>
      </c>
      <c r="B23" s="34">
        <v>45566</v>
      </c>
      <c r="C23" s="35">
        <f>C24</f>
        <v>4.17</v>
      </c>
      <c r="D23" s="36">
        <f>D24</f>
        <v>-3.5999999999999999E-3</v>
      </c>
      <c r="E23" s="35">
        <f>(C23*60/25.4)</f>
        <v>9.8503937007874018</v>
      </c>
      <c r="F23" s="35">
        <f>VLOOKUP(B23,$P$2:$Q$17,2,FALSE)</f>
        <v>5.6390000000000002</v>
      </c>
      <c r="G23" s="37">
        <f>F23*E23</f>
        <v>55.546370078740161</v>
      </c>
      <c r="H23" s="37"/>
      <c r="I23" s="38">
        <v>135</v>
      </c>
      <c r="J23" s="39">
        <f>P23/100+C23</f>
        <v>4.67</v>
      </c>
      <c r="K23" s="37">
        <f>(J23*60/25.4)*F23</f>
        <v>62.206606299212602</v>
      </c>
      <c r="L23" s="40">
        <f>J23/25.4*1000</f>
        <v>183.85826771653544</v>
      </c>
      <c r="M23" s="41">
        <f t="shared" ref="M23:M36" si="2">K23-15</f>
        <v>47.206606299212602</v>
      </c>
      <c r="N23" s="42"/>
      <c r="O23" s="34">
        <v>45566</v>
      </c>
      <c r="P23" s="37">
        <v>50</v>
      </c>
      <c r="Q23" s="43">
        <f>(P23-I23)</f>
        <v>-85</v>
      </c>
      <c r="R23" s="44">
        <f>(Q23/100)/25.4*1000</f>
        <v>-33.464566929133859</v>
      </c>
      <c r="S23" s="44"/>
      <c r="T23" s="44">
        <f>R23*F23</f>
        <v>-188.70669291338584</v>
      </c>
      <c r="U23" s="45">
        <f>T23/(1000/60)</f>
        <v>-11.32240157480315</v>
      </c>
      <c r="Z23" s="55">
        <v>45931</v>
      </c>
      <c r="AA23" s="54">
        <v>75.94</v>
      </c>
      <c r="AB23" s="56">
        <v>8.9999999999999998E-4</v>
      </c>
      <c r="AC23" s="54"/>
      <c r="AD23" s="54"/>
      <c r="AE23" s="55"/>
      <c r="AF23" s="54"/>
      <c r="AG23" s="56"/>
      <c r="AH23" s="54"/>
      <c r="AI23" s="54"/>
      <c r="AJ23" s="54"/>
      <c r="AK23" s="54"/>
      <c r="AL23" s="54"/>
      <c r="AM23" s="54"/>
    </row>
    <row r="24" spans="1:39" ht="25.8" x14ac:dyDescent="0.5">
      <c r="A24" s="33" t="str">
        <f>IFERROR(VLOOKUP((B24),[1]Contrato!$G$3:$H$9,2,FALSE),"")</f>
        <v/>
      </c>
      <c r="B24" s="34">
        <v>45597</v>
      </c>
      <c r="C24" s="35">
        <f>C25</f>
        <v>4.17</v>
      </c>
      <c r="D24" s="36">
        <f>D25</f>
        <v>-3.5999999999999999E-3</v>
      </c>
      <c r="E24" s="35">
        <f>(C24*60/25.4)</f>
        <v>9.8503937007874018</v>
      </c>
      <c r="F24" s="35">
        <f>VLOOKUP(B24,$P$2:$Q$17,2,FALSE)</f>
        <v>5.6669999999999998</v>
      </c>
      <c r="G24" s="37">
        <f>F24*E24</f>
        <v>55.822181102362201</v>
      </c>
      <c r="H24" s="37"/>
      <c r="I24" s="38">
        <v>133</v>
      </c>
      <c r="J24" s="39">
        <f>P24/100+C24</f>
        <v>4.72</v>
      </c>
      <c r="K24" s="37">
        <f>(J24*60/25.4)*F24</f>
        <v>63.18481889763779</v>
      </c>
      <c r="L24" s="40">
        <f>J24/25.4*1000</f>
        <v>185.82677165354332</v>
      </c>
      <c r="M24" s="41">
        <f t="shared" si="2"/>
        <v>48.18481889763779</v>
      </c>
      <c r="N24" s="42"/>
      <c r="O24" s="34">
        <v>45597</v>
      </c>
      <c r="P24" s="37">
        <v>55</v>
      </c>
      <c r="Q24" s="43">
        <f>(P24-I24)</f>
        <v>-78</v>
      </c>
      <c r="R24" s="44">
        <f>(Q24/100)/25.4*1000</f>
        <v>-30.708661417322837</v>
      </c>
      <c r="S24" s="44"/>
      <c r="T24" s="44">
        <f>R24*F24</f>
        <v>-174.02598425196851</v>
      </c>
      <c r="U24" s="45">
        <f>T24/(1000/60)</f>
        <v>-10.441559055118109</v>
      </c>
      <c r="Z24" s="55">
        <v>45962</v>
      </c>
      <c r="AA24" s="54">
        <v>75.25</v>
      </c>
      <c r="AB24" s="56">
        <v>-5.0000000000000001E-3</v>
      </c>
      <c r="AC24" s="54"/>
      <c r="AD24" s="54"/>
      <c r="AE24" s="55"/>
      <c r="AF24" s="54"/>
      <c r="AG24" s="56"/>
      <c r="AH24" s="54"/>
      <c r="AI24" s="54"/>
      <c r="AJ24" s="54"/>
      <c r="AK24" s="54"/>
      <c r="AL24" s="54"/>
      <c r="AM24" s="54"/>
    </row>
    <row r="25" spans="1:39" ht="25.8" x14ac:dyDescent="0.5">
      <c r="A25" s="33" t="str">
        <f>IFERROR(VLOOKUP((B25),[1]Contrato!$G$3:$H$9,2,FALSE),"")</f>
        <v>COCZ24*</v>
      </c>
      <c r="B25" s="34">
        <v>45627</v>
      </c>
      <c r="C25" s="35">
        <f>VLOOKUP((B25),$Z$29:$AC$33,4,FALSE)</f>
        <v>4.17</v>
      </c>
      <c r="D25" s="36">
        <f>VLOOKUP((B25),$Z$29:$AC$33,3,FALSE)</f>
        <v>-3.5999999999999999E-3</v>
      </c>
      <c r="E25" s="35">
        <f>(C25*60/25.4)</f>
        <v>9.8503937007874018</v>
      </c>
      <c r="F25" s="35">
        <f>VLOOKUP(B25,$P$2:$Q$17,2,FALSE)</f>
        <v>5.6346499999999997</v>
      </c>
      <c r="G25" s="37">
        <f>F25*E25</f>
        <v>55.503520866141734</v>
      </c>
      <c r="H25" s="37"/>
      <c r="I25" s="38">
        <v>129</v>
      </c>
      <c r="J25" s="39">
        <f>P25/100+C25</f>
        <v>4.72</v>
      </c>
      <c r="K25" s="37">
        <f>(J25*60/25.4)*F25</f>
        <v>62.824129133858264</v>
      </c>
      <c r="L25" s="40">
        <f>J25/25.4*1000</f>
        <v>185.82677165354332</v>
      </c>
      <c r="M25" s="41">
        <f t="shared" si="2"/>
        <v>47.824129133858264</v>
      </c>
      <c r="N25" s="42"/>
      <c r="O25" s="34">
        <v>45627</v>
      </c>
      <c r="P25" s="37">
        <v>55</v>
      </c>
      <c r="Q25" s="43">
        <f>(P25-I25)</f>
        <v>-74</v>
      </c>
      <c r="R25" s="44">
        <f>(Q25/100)/25.4*1000</f>
        <v>-29.133858267716533</v>
      </c>
      <c r="S25" s="44"/>
      <c r="T25" s="44">
        <f>R25*F25</f>
        <v>-164.15909448818897</v>
      </c>
      <c r="U25" s="45">
        <f>T25/(1000/60)</f>
        <v>-9.8495456692913379</v>
      </c>
      <c r="Z25" s="54"/>
      <c r="AA25" s="54"/>
      <c r="AB25" s="54"/>
      <c r="AC25" s="54"/>
      <c r="AD25" s="54"/>
      <c r="AE25" s="55"/>
      <c r="AF25" s="54"/>
      <c r="AG25" s="56"/>
      <c r="AH25" s="54"/>
      <c r="AI25" s="54"/>
      <c r="AJ25" s="54"/>
      <c r="AK25" s="54"/>
      <c r="AL25" s="54"/>
      <c r="AM25" s="54"/>
    </row>
    <row r="26" spans="1:39" ht="25.8" x14ac:dyDescent="0.5">
      <c r="A26" s="33" t="str">
        <f>IFERROR(VLOOKUP((B26),[1]Contrato!$G$3:$H$9,2,FALSE),"")</f>
        <v/>
      </c>
      <c r="B26" s="34">
        <v>45658</v>
      </c>
      <c r="C26" s="35">
        <f>C25</f>
        <v>4.17</v>
      </c>
      <c r="D26" s="36">
        <f>D25</f>
        <v>-3.5999999999999999E-3</v>
      </c>
      <c r="E26" s="35">
        <f>(C26*60/25.4)</f>
        <v>9.8503937007874018</v>
      </c>
      <c r="F26" s="35">
        <f>VLOOKUP(B26,$P$2:$Q$17,2,FALSE)</f>
        <v>5.6600850000000005</v>
      </c>
      <c r="G26" s="37">
        <f>F26*E26</f>
        <v>55.754065629921264</v>
      </c>
      <c r="H26" s="37"/>
      <c r="I26" s="38">
        <v>99</v>
      </c>
      <c r="J26" s="39">
        <f>P26/100+C26</f>
        <v>4.72</v>
      </c>
      <c r="K26" s="37">
        <f>(J26*60/25.4)*F26</f>
        <v>63.10771937007874</v>
      </c>
      <c r="L26" s="40">
        <f>J26/25.4*1000</f>
        <v>185.82677165354332</v>
      </c>
      <c r="M26" s="41">
        <f t="shared" si="2"/>
        <v>48.10771937007874</v>
      </c>
      <c r="N26" s="42"/>
      <c r="O26" s="34">
        <v>45658</v>
      </c>
      <c r="P26" s="37">
        <v>55</v>
      </c>
      <c r="Q26" s="43">
        <f>(P26-I26)</f>
        <v>-44</v>
      </c>
      <c r="R26" s="44">
        <f>(Q26/100)/25.4*1000</f>
        <v>-17.322834645669293</v>
      </c>
      <c r="S26" s="44"/>
      <c r="T26" s="44">
        <f>R26*F26</f>
        <v>-98.048716535433087</v>
      </c>
      <c r="U26" s="45">
        <f>T26/(1000/60)</f>
        <v>-5.8829229921259847</v>
      </c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</row>
    <row r="27" spans="1:39" ht="25.8" x14ac:dyDescent="0.5">
      <c r="A27" s="33" t="str">
        <f>IFERROR(VLOOKUP((B27),[1]Contrato!$G$3:$H$9,2,FALSE),"")</f>
        <v/>
      </c>
      <c r="B27" s="34">
        <v>45689</v>
      </c>
      <c r="C27" s="35">
        <f>C26</f>
        <v>4.17</v>
      </c>
      <c r="D27" s="36">
        <f>D26</f>
        <v>-3.5999999999999999E-3</v>
      </c>
      <c r="E27" s="35">
        <f>(C27*60/25.4)</f>
        <v>9.8503937007874018</v>
      </c>
      <c r="F27" s="35">
        <f>VLOOKUP(B27,$P$2:$Q$17,2,FALSE)</f>
        <v>5.685981</v>
      </c>
      <c r="G27" s="37">
        <f>F27*E27</f>
        <v>56.009151425196855</v>
      </c>
      <c r="H27" s="37"/>
      <c r="I27" s="38">
        <v>104</v>
      </c>
      <c r="J27" s="39">
        <f>I27/100+C27</f>
        <v>5.21</v>
      </c>
      <c r="K27" s="37">
        <f>(J27*60/25.4)*F27</f>
        <v>69.977860653543317</v>
      </c>
      <c r="L27" s="40">
        <f>J27/25.4*1000</f>
        <v>205.11811023622047</v>
      </c>
      <c r="M27" s="41">
        <f t="shared" si="2"/>
        <v>54.977860653543317</v>
      </c>
      <c r="N27" s="42"/>
      <c r="O27" s="34">
        <v>45689</v>
      </c>
      <c r="P27" s="37">
        <v>55</v>
      </c>
      <c r="Q27" s="43">
        <f>(P27-I27)</f>
        <v>-49</v>
      </c>
      <c r="R27" s="44">
        <f>(Q27/100)/25.4*1000</f>
        <v>-19.291338582677167</v>
      </c>
      <c r="S27" s="44"/>
      <c r="T27" s="44">
        <f>R27*F27</f>
        <v>-109.69018464566929</v>
      </c>
      <c r="U27" s="45">
        <f>T27/(1000/60)</f>
        <v>-6.5814110787401567</v>
      </c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</row>
    <row r="28" spans="1:39" ht="25.8" x14ac:dyDescent="0.5">
      <c r="A28" s="33" t="str">
        <f>IFERROR(VLOOKUP((B28),[1]Contrato!$G$3:$H$9,2,FALSE),"")</f>
        <v>COCH25*</v>
      </c>
      <c r="B28" s="34">
        <v>45717</v>
      </c>
      <c r="C28" s="35">
        <f>VLOOKUP((B28),$Z$29:$AC$33,4,FALSE)</f>
        <v>4.17</v>
      </c>
      <c r="D28" s="36">
        <f>VLOOKUP((B28),$Z$29:$AC$33,3,FALSE)</f>
        <v>-4.0000000000000001E-3</v>
      </c>
      <c r="E28" s="35">
        <f>(C28*60/25.4)</f>
        <v>9.8503937007874018</v>
      </c>
      <c r="F28" s="35">
        <f>VLOOKUP(B28,$P$2:$Q$17,2,FALSE)</f>
        <v>5.712561</v>
      </c>
      <c r="G28" s="37">
        <f>F28*E28</f>
        <v>56.270974889763778</v>
      </c>
      <c r="H28" s="37"/>
      <c r="I28" s="38">
        <v>104</v>
      </c>
      <c r="J28" s="39">
        <f>I28/100+C28</f>
        <v>5.21</v>
      </c>
      <c r="K28" s="37">
        <f>(J28*60/25.4)*F28</f>
        <v>70.304983015748036</v>
      </c>
      <c r="L28" s="40">
        <f>J28/25.4*1000</f>
        <v>205.11811023622047</v>
      </c>
      <c r="M28" s="41">
        <f t="shared" si="2"/>
        <v>55.304983015748036</v>
      </c>
      <c r="N28" s="42"/>
      <c r="O28" s="34">
        <v>45717</v>
      </c>
      <c r="P28" s="37">
        <v>50</v>
      </c>
      <c r="Q28" s="43">
        <f>(P28-I28)</f>
        <v>-54</v>
      </c>
      <c r="R28" s="44">
        <f>(Q28/100)/25.4*1000</f>
        <v>-21.259842519685044</v>
      </c>
      <c r="S28" s="44"/>
      <c r="T28" s="44">
        <f>R28*F28</f>
        <v>-121.44814724409451</v>
      </c>
      <c r="U28" s="45">
        <f>T28/(1000/60)</f>
        <v>-7.2868888346456702</v>
      </c>
      <c r="Z28" s="54" t="s">
        <v>45</v>
      </c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</row>
    <row r="29" spans="1:39" ht="25.8" x14ac:dyDescent="0.5">
      <c r="A29" s="33"/>
      <c r="B29" s="34">
        <v>45748</v>
      </c>
      <c r="C29" s="35">
        <f>C28</f>
        <v>4.17</v>
      </c>
      <c r="D29" s="36">
        <f>D28</f>
        <v>-4.0000000000000001E-3</v>
      </c>
      <c r="E29" s="35">
        <f>(C29*60/25.4)</f>
        <v>9.8503937007874018</v>
      </c>
      <c r="F29" s="35">
        <f>VLOOKUP(B29,$P$2:$Q$17,2,FALSE)</f>
        <v>5.712561</v>
      </c>
      <c r="I29" s="38">
        <f>I28</f>
        <v>104</v>
      </c>
      <c r="J29" s="39">
        <f>P29/100+C29</f>
        <v>4.67</v>
      </c>
      <c r="K29" s="37">
        <f>(J29*60/25.4)*F29</f>
        <v>63.018094181102363</v>
      </c>
      <c r="L29" s="40">
        <f>J29/25.4*1000</f>
        <v>183.85826771653544</v>
      </c>
      <c r="M29" s="41">
        <f t="shared" si="2"/>
        <v>48.018094181102363</v>
      </c>
      <c r="N29" s="42"/>
      <c r="O29" s="34">
        <v>45748</v>
      </c>
      <c r="P29" s="37">
        <f t="shared" ref="P29:P36" si="3">P28</f>
        <v>50</v>
      </c>
      <c r="Q29" s="43">
        <f>(P29-I29)</f>
        <v>-54</v>
      </c>
      <c r="R29" s="44">
        <f t="shared" ref="R29:R36" si="4">(Q29/100)/25.4*1000</f>
        <v>-21.259842519685044</v>
      </c>
      <c r="S29" s="44"/>
      <c r="T29" s="44">
        <f>R29*F29</f>
        <v>-121.44814724409451</v>
      </c>
      <c r="U29" s="45">
        <f t="shared" ref="U29:U36" si="5">T29/(1000/60)</f>
        <v>-7.2868888346456702</v>
      </c>
      <c r="Z29" s="55">
        <v>45627</v>
      </c>
      <c r="AA29" s="54">
        <v>417</v>
      </c>
      <c r="AB29" s="56">
        <v>-3.5999999999999999E-3</v>
      </c>
      <c r="AC29" s="54">
        <f>AA29/100</f>
        <v>4.17</v>
      </c>
      <c r="AD29" s="54"/>
      <c r="AE29" s="54"/>
      <c r="AF29" s="54"/>
      <c r="AG29" s="54"/>
      <c r="AH29" s="54"/>
      <c r="AI29" s="54"/>
      <c r="AJ29" s="54"/>
      <c r="AK29" s="54"/>
      <c r="AL29" s="54"/>
      <c r="AM29" s="54"/>
    </row>
    <row r="30" spans="1:39" ht="25.8" x14ac:dyDescent="0.5">
      <c r="A30" s="33" t="s">
        <v>46</v>
      </c>
      <c r="B30" s="34">
        <v>45778</v>
      </c>
      <c r="C30" s="35">
        <f>VLOOKUP((B30),$Z$29:$AC$33,4,FALSE)</f>
        <v>4.3449999999999998</v>
      </c>
      <c r="D30" s="36">
        <f>VLOOKUP((B30),$Z$29:$AC$33,3,FALSE)</f>
        <v>-4.4999999999999997E-3</v>
      </c>
      <c r="E30" s="35">
        <f>(C30*60/25.4)</f>
        <v>10.263779527559056</v>
      </c>
      <c r="F30" s="35">
        <f>VLOOKUP(B30,$P$2:$Q$17,2,FALSE)</f>
        <v>5.712561</v>
      </c>
      <c r="I30" s="38">
        <f>I29</f>
        <v>104</v>
      </c>
      <c r="J30" s="39">
        <f>P30/100+C30</f>
        <v>4.8949999999999996</v>
      </c>
      <c r="K30" s="37">
        <f>(J30*60/25.4)*F30</f>
        <v>66.05429786220472</v>
      </c>
      <c r="L30" s="40">
        <f>J30/25.4*1000</f>
        <v>192.71653543307085</v>
      </c>
      <c r="M30" s="41">
        <f t="shared" si="2"/>
        <v>51.05429786220472</v>
      </c>
      <c r="N30" s="42"/>
      <c r="O30" s="34">
        <v>45778</v>
      </c>
      <c r="P30" s="37">
        <v>55</v>
      </c>
      <c r="Q30" s="43">
        <f>(P30-I30)</f>
        <v>-49</v>
      </c>
      <c r="R30" s="44">
        <f t="shared" si="4"/>
        <v>-19.291338582677167</v>
      </c>
      <c r="S30" s="44"/>
      <c r="T30" s="44">
        <f>R30*F30</f>
        <v>-110.20294842519685</v>
      </c>
      <c r="U30" s="45">
        <f t="shared" si="5"/>
        <v>-6.6121769055118103</v>
      </c>
      <c r="Z30" s="55">
        <v>45717</v>
      </c>
      <c r="AA30" s="54">
        <v>434.5</v>
      </c>
      <c r="AB30" s="56">
        <v>-4.0000000000000001E-3</v>
      </c>
      <c r="AC30" s="54">
        <f>AA29/100</f>
        <v>4.17</v>
      </c>
      <c r="AD30" s="54"/>
      <c r="AE30" s="54"/>
      <c r="AF30" s="54"/>
      <c r="AG30" s="54"/>
      <c r="AH30" s="54"/>
      <c r="AI30" s="54"/>
      <c r="AJ30" s="54"/>
      <c r="AK30" s="54"/>
      <c r="AL30" s="54"/>
      <c r="AM30" s="54"/>
    </row>
    <row r="31" spans="1:39" ht="25.8" x14ac:dyDescent="0.5">
      <c r="A31" s="33"/>
      <c r="B31" s="34">
        <v>45809</v>
      </c>
      <c r="C31" s="35">
        <f>C30</f>
        <v>4.3449999999999998</v>
      </c>
      <c r="D31" s="36">
        <f>D30</f>
        <v>-4.4999999999999997E-3</v>
      </c>
      <c r="E31" s="35">
        <f>(C31*60/25.4)</f>
        <v>10.263779527559056</v>
      </c>
      <c r="F31" s="35">
        <f>VLOOKUP(B31,$P$2:$Q$17,2,FALSE)</f>
        <v>5.712561</v>
      </c>
      <c r="I31" s="38">
        <v>85</v>
      </c>
      <c r="J31" s="39">
        <f>P31/100+C31</f>
        <v>4.9449999999999994</v>
      </c>
      <c r="K31" s="37">
        <f t="shared" ref="K31:K36" si="6">(J31*60/25.4)*F31</f>
        <v>66.729009791338584</v>
      </c>
      <c r="L31" s="40">
        <f t="shared" ref="L31:L36" si="7">J31/25.4*1000</f>
        <v>194.68503937007873</v>
      </c>
      <c r="M31" s="41">
        <f t="shared" si="2"/>
        <v>51.729009791338584</v>
      </c>
      <c r="N31" s="42"/>
      <c r="O31" s="34">
        <v>45809</v>
      </c>
      <c r="P31" s="37">
        <v>60</v>
      </c>
      <c r="Q31" s="43">
        <f>(P31-I31)</f>
        <v>-25</v>
      </c>
      <c r="R31" s="44">
        <f t="shared" si="4"/>
        <v>-9.8425196850393704</v>
      </c>
      <c r="S31" s="44"/>
      <c r="T31" s="44">
        <f>R31*F31</f>
        <v>-56.225994094488193</v>
      </c>
      <c r="U31" s="45">
        <f t="shared" si="5"/>
        <v>-3.3735596456692916</v>
      </c>
      <c r="Z31" s="55">
        <v>45778</v>
      </c>
      <c r="AA31" s="54">
        <v>443</v>
      </c>
      <c r="AB31" s="56">
        <v>-4.4999999999999997E-3</v>
      </c>
      <c r="AC31" s="54">
        <f>AA30/100</f>
        <v>4.3449999999999998</v>
      </c>
      <c r="AD31" s="54"/>
      <c r="AE31" s="54"/>
      <c r="AF31" s="54"/>
      <c r="AG31" s="54"/>
      <c r="AH31" s="54"/>
      <c r="AI31" s="54"/>
      <c r="AJ31" s="54"/>
      <c r="AK31" s="54"/>
      <c r="AL31" s="54"/>
      <c r="AM31" s="54"/>
    </row>
    <row r="32" spans="1:39" ht="23.4" customHeight="1" x14ac:dyDescent="0.5">
      <c r="A32" s="33" t="s">
        <v>47</v>
      </c>
      <c r="B32" s="34">
        <v>45839</v>
      </c>
      <c r="C32" s="35">
        <f>VLOOKUP((B32),$Z$29:$AC$33,4,FALSE)</f>
        <v>4.43</v>
      </c>
      <c r="D32" s="36">
        <f>VLOOKUP((B32),$Z$29:$AC$33,3,FALSE)</f>
        <v>-5.4999999999999997E-3</v>
      </c>
      <c r="E32" s="35">
        <f>(C32*60/25.4)</f>
        <v>10.464566929133857</v>
      </c>
      <c r="F32" s="35">
        <f>F31</f>
        <v>5.712561</v>
      </c>
      <c r="I32" s="38">
        <v>55</v>
      </c>
      <c r="J32" s="39">
        <f>P32/100+C32</f>
        <v>5.0299999999999994</v>
      </c>
      <c r="K32" s="37">
        <f t="shared" si="6"/>
        <v>67.876020070866133</v>
      </c>
      <c r="L32" s="40">
        <f t="shared" si="7"/>
        <v>198.03149606299212</v>
      </c>
      <c r="M32" s="41">
        <f t="shared" si="2"/>
        <v>52.876020070866133</v>
      </c>
      <c r="N32" s="42"/>
      <c r="O32" s="34">
        <v>45839</v>
      </c>
      <c r="P32" s="37">
        <f t="shared" si="3"/>
        <v>60</v>
      </c>
      <c r="Q32" s="43">
        <f>(P32-I32)</f>
        <v>5</v>
      </c>
      <c r="R32" s="44">
        <f t="shared" si="4"/>
        <v>1.9685039370078745</v>
      </c>
      <c r="S32" s="44"/>
      <c r="T32" s="44">
        <f>R32*F32</f>
        <v>11.245198818897642</v>
      </c>
      <c r="U32" s="45">
        <f t="shared" si="5"/>
        <v>0.67471192913385847</v>
      </c>
      <c r="Z32" s="55">
        <v>45839</v>
      </c>
      <c r="AA32" s="54">
        <v>448.5</v>
      </c>
      <c r="AB32" s="56">
        <v>-5.4999999999999997E-3</v>
      </c>
      <c r="AC32" s="54">
        <f>AA31/100</f>
        <v>4.43</v>
      </c>
      <c r="AD32" s="54"/>
      <c r="AE32" s="54"/>
      <c r="AF32" s="54"/>
      <c r="AG32" s="54"/>
      <c r="AH32" s="54"/>
      <c r="AI32" s="54"/>
      <c r="AJ32" s="54"/>
      <c r="AK32" s="54"/>
      <c r="AL32" s="54"/>
      <c r="AM32" s="54"/>
    </row>
    <row r="33" spans="1:39" ht="25.8" x14ac:dyDescent="0.5">
      <c r="A33" s="33"/>
      <c r="B33" s="34">
        <v>45870</v>
      </c>
      <c r="C33" s="35">
        <f>C32</f>
        <v>4.43</v>
      </c>
      <c r="D33" s="36">
        <f>D32</f>
        <v>-5.4999999999999997E-3</v>
      </c>
      <c r="E33" s="35">
        <f>(C33*60/25.4)</f>
        <v>10.464566929133857</v>
      </c>
      <c r="F33" s="35">
        <f>F32</f>
        <v>5.712561</v>
      </c>
      <c r="I33" s="38">
        <v>50</v>
      </c>
      <c r="J33" s="39">
        <f>P33/100+C33</f>
        <v>4.9799999999999995</v>
      </c>
      <c r="K33" s="37">
        <f t="shared" si="6"/>
        <v>67.20130814173227</v>
      </c>
      <c r="L33" s="40">
        <f t="shared" si="7"/>
        <v>196.06299212598424</v>
      </c>
      <c r="M33" s="41">
        <f t="shared" si="2"/>
        <v>52.20130814173227</v>
      </c>
      <c r="O33" s="34">
        <v>45870</v>
      </c>
      <c r="P33" s="37">
        <v>55</v>
      </c>
      <c r="Q33" s="43">
        <f>(P33-I33)</f>
        <v>5</v>
      </c>
      <c r="R33" s="44">
        <f t="shared" si="4"/>
        <v>1.9685039370078745</v>
      </c>
      <c r="S33" s="44"/>
      <c r="T33" s="44">
        <f>R33*F33</f>
        <v>11.245198818897642</v>
      </c>
      <c r="U33" s="45">
        <f t="shared" si="5"/>
        <v>0.67471192913385847</v>
      </c>
      <c r="Z33" s="55">
        <v>45901</v>
      </c>
      <c r="AA33" s="54">
        <v>445</v>
      </c>
      <c r="AB33" s="56">
        <v>-2.8E-3</v>
      </c>
      <c r="AC33" s="54">
        <f>AA33/100</f>
        <v>4.45</v>
      </c>
      <c r="AD33" s="54"/>
      <c r="AE33" s="54"/>
      <c r="AF33" s="54"/>
      <c r="AG33" s="54"/>
      <c r="AH33" s="54"/>
      <c r="AI33" s="54"/>
      <c r="AJ33" s="54"/>
      <c r="AK33" s="54"/>
      <c r="AL33" s="54"/>
      <c r="AM33" s="54"/>
    </row>
    <row r="34" spans="1:39" ht="25.8" x14ac:dyDescent="0.5">
      <c r="A34" s="33" t="s">
        <v>48</v>
      </c>
      <c r="B34" s="34">
        <v>45901</v>
      </c>
      <c r="C34" s="35">
        <f>VLOOKUP((B34),$Z$29:$AC$33,4,FALSE)</f>
        <v>4.45</v>
      </c>
      <c r="D34" s="36">
        <f>VLOOKUP((B34),$Z$29:$AC$33,3,FALSE)</f>
        <v>-2.8E-3</v>
      </c>
      <c r="E34" s="35">
        <f>(C34*60/25.4)</f>
        <v>10.511811023622048</v>
      </c>
      <c r="F34" s="35">
        <f>F33</f>
        <v>5.712561</v>
      </c>
      <c r="I34" s="38">
        <v>47</v>
      </c>
      <c r="J34" s="39">
        <f>P34/100+C34</f>
        <v>5</v>
      </c>
      <c r="K34" s="37">
        <f t="shared" si="6"/>
        <v>67.471192913385835</v>
      </c>
      <c r="L34" s="40">
        <f t="shared" si="7"/>
        <v>196.85039370078741</v>
      </c>
      <c r="M34" s="41">
        <f t="shared" si="2"/>
        <v>52.471192913385835</v>
      </c>
      <c r="O34" s="34">
        <v>45901</v>
      </c>
      <c r="P34" s="37">
        <f t="shared" si="3"/>
        <v>55</v>
      </c>
      <c r="Q34" s="43">
        <f>(P34-I34)</f>
        <v>8</v>
      </c>
      <c r="R34" s="44">
        <f t="shared" si="4"/>
        <v>3.1496062992125986</v>
      </c>
      <c r="S34" s="44"/>
      <c r="T34" s="44">
        <f>R34*F34</f>
        <v>17.992318110236223</v>
      </c>
      <c r="U34" s="45">
        <f t="shared" si="5"/>
        <v>1.0795390866141732</v>
      </c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</row>
    <row r="35" spans="1:39" ht="25.8" x14ac:dyDescent="0.5">
      <c r="A35" s="33"/>
      <c r="B35" s="34">
        <v>45931</v>
      </c>
      <c r="C35" s="35">
        <f>C34</f>
        <v>4.45</v>
      </c>
      <c r="D35" s="36">
        <f>D34</f>
        <v>-2.8E-3</v>
      </c>
      <c r="E35" s="35">
        <f>(C35*60/25.4)</f>
        <v>10.511811023622048</v>
      </c>
      <c r="F35" s="35">
        <f>F34</f>
        <v>5.712561</v>
      </c>
      <c r="I35" s="38">
        <f>I34</f>
        <v>47</v>
      </c>
      <c r="J35" s="39">
        <f>P35/100+C35</f>
        <v>5</v>
      </c>
      <c r="K35" s="37">
        <f t="shared" si="6"/>
        <v>67.471192913385835</v>
      </c>
      <c r="L35" s="40">
        <f t="shared" si="7"/>
        <v>196.85039370078741</v>
      </c>
      <c r="M35" s="41">
        <f t="shared" si="2"/>
        <v>52.471192913385835</v>
      </c>
      <c r="O35" s="34">
        <v>45931</v>
      </c>
      <c r="P35" s="37">
        <f t="shared" si="3"/>
        <v>55</v>
      </c>
      <c r="Q35" s="43">
        <f>(P35-I35)</f>
        <v>8</v>
      </c>
      <c r="R35" s="44">
        <f t="shared" si="4"/>
        <v>3.1496062992125986</v>
      </c>
      <c r="S35" s="44"/>
      <c r="T35" s="44">
        <f>R35*F35</f>
        <v>17.992318110236223</v>
      </c>
      <c r="U35" s="45">
        <f t="shared" si="5"/>
        <v>1.0795390866141732</v>
      </c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</row>
    <row r="36" spans="1:39" ht="25.8" x14ac:dyDescent="0.5">
      <c r="A36" s="33"/>
      <c r="B36" s="34">
        <v>45962</v>
      </c>
      <c r="C36" s="35">
        <f>C35</f>
        <v>4.45</v>
      </c>
      <c r="D36" s="36">
        <f>D35</f>
        <v>-2.8E-3</v>
      </c>
      <c r="E36" s="35">
        <f>(C36*60/25.4)</f>
        <v>10.511811023622048</v>
      </c>
      <c r="F36" s="35">
        <f>F35</f>
        <v>5.712561</v>
      </c>
      <c r="I36" s="38">
        <f>I35</f>
        <v>47</v>
      </c>
      <c r="J36" s="39">
        <f>P36/100+C36</f>
        <v>5</v>
      </c>
      <c r="K36" s="37">
        <f t="shared" si="6"/>
        <v>67.471192913385835</v>
      </c>
      <c r="L36" s="40">
        <f t="shared" si="7"/>
        <v>196.85039370078741</v>
      </c>
      <c r="M36" s="41">
        <f t="shared" si="2"/>
        <v>52.471192913385835</v>
      </c>
      <c r="O36" s="34">
        <v>45962</v>
      </c>
      <c r="P36" s="37">
        <f t="shared" si="3"/>
        <v>55</v>
      </c>
      <c r="Q36" s="43">
        <f>(P36-I36)</f>
        <v>8</v>
      </c>
      <c r="R36" s="44">
        <f t="shared" si="4"/>
        <v>3.1496062992125986</v>
      </c>
      <c r="S36" s="44"/>
      <c r="T36" s="44">
        <f>R36*F36</f>
        <v>17.992318110236223</v>
      </c>
      <c r="U36" s="45">
        <f t="shared" si="5"/>
        <v>1.0795390866141732</v>
      </c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</row>
    <row r="37" spans="1:39" ht="25.8" x14ac:dyDescent="0.5">
      <c r="A37" s="16" t="s">
        <v>49</v>
      </c>
      <c r="B37" s="3"/>
      <c r="C37" s="3"/>
      <c r="D37" s="3"/>
      <c r="E37" s="3"/>
      <c r="F37" s="3"/>
      <c r="J37" s="46"/>
      <c r="K37" s="47"/>
      <c r="L37" s="47"/>
      <c r="M37" s="48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</row>
    <row r="38" spans="1:39" ht="15.6" x14ac:dyDescent="0.3"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</row>
    <row r="39" spans="1:39" ht="15.6" x14ac:dyDescent="0.3"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</row>
    <row r="40" spans="1:39" ht="15.6" x14ac:dyDescent="0.3"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</row>
    <row r="41" spans="1:39" ht="15.6" x14ac:dyDescent="0.3"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</row>
    <row r="42" spans="1:39" ht="28.8" x14ac:dyDescent="0.55000000000000004">
      <c r="A42" s="1" t="s">
        <v>50</v>
      </c>
      <c r="B42" s="2"/>
      <c r="C42" s="2"/>
      <c r="D42" s="2"/>
      <c r="E42" s="2"/>
      <c r="F42" s="2"/>
      <c r="I42" s="2"/>
      <c r="K42" s="1" t="s">
        <v>51</v>
      </c>
      <c r="M42" s="2"/>
      <c r="N42" s="2"/>
      <c r="O42" s="2"/>
      <c r="P42" s="2"/>
      <c r="Q42" s="1"/>
      <c r="R42" s="20"/>
      <c r="S42" s="20"/>
      <c r="T42" s="4"/>
      <c r="U42" s="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</row>
    <row r="43" spans="1:39" ht="25.8" hidden="1" customHeight="1" outlineLevel="1" x14ac:dyDescent="0.5">
      <c r="C43" s="3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</row>
    <row r="44" spans="1:39" ht="133.19999999999999" customHeight="1" collapsed="1" x14ac:dyDescent="0.3">
      <c r="A44" s="30" t="s">
        <v>4</v>
      </c>
      <c r="B44" s="30" t="s">
        <v>5</v>
      </c>
      <c r="C44" s="30" t="s">
        <v>52</v>
      </c>
      <c r="D44" s="30" t="s">
        <v>7</v>
      </c>
      <c r="E44" s="31" t="s">
        <v>53</v>
      </c>
      <c r="F44" s="31" t="s">
        <v>34</v>
      </c>
      <c r="G44" s="7" t="s">
        <v>54</v>
      </c>
      <c r="H44" s="7"/>
      <c r="K44" s="31" t="s">
        <v>4</v>
      </c>
      <c r="L44" s="30" t="s">
        <v>5</v>
      </c>
      <c r="M44" s="31" t="s">
        <v>32</v>
      </c>
      <c r="N44" s="30" t="s">
        <v>7</v>
      </c>
      <c r="O44" s="30" t="s">
        <v>55</v>
      </c>
      <c r="P44" s="31" t="s">
        <v>33</v>
      </c>
      <c r="Q44" s="31" t="s">
        <v>34</v>
      </c>
      <c r="R44" s="31" t="s">
        <v>35</v>
      </c>
      <c r="S44" s="31" t="s">
        <v>56</v>
      </c>
      <c r="T44" s="31" t="s">
        <v>37</v>
      </c>
      <c r="U44" s="31" t="s">
        <v>38</v>
      </c>
      <c r="V44" s="31" t="s">
        <v>40</v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</row>
    <row r="45" spans="1:39" ht="25.8" hidden="1" customHeight="1" x14ac:dyDescent="0.5">
      <c r="A45" s="33" t="str">
        <f>IFERROR(VLOOKUP((B45),[1]Contrato!$J$3:$K$12,2,FALSE),"")</f>
        <v>SMCH24*</v>
      </c>
      <c r="B45" s="34">
        <v>45352</v>
      </c>
      <c r="C45" s="49" t="e">
        <f>#REF!</f>
        <v>#REF!</v>
      </c>
      <c r="D45" s="36" t="e">
        <f>#REF!</f>
        <v>#REF!</v>
      </c>
      <c r="E45" s="49" t="e">
        <f>C45/0.90719</f>
        <v>#REF!</v>
      </c>
      <c r="F45" s="50" t="e">
        <f>VLOOKUP(B45,$P$2:$Q$17,2,FALSE)</f>
        <v>#N/A</v>
      </c>
      <c r="G45" s="51" t="e">
        <f>F45*E45</f>
        <v>#N/A</v>
      </c>
      <c r="H45" s="51"/>
      <c r="K45" s="3" t="str">
        <f>IFERROR(VLOOKUP((L45),[1]Contrato!$M$3:$N$11,2,FALSE),"")</f>
        <v>SBCH24*</v>
      </c>
      <c r="L45" s="10">
        <v>45352</v>
      </c>
      <c r="M45" s="13" t="e">
        <f>#REF!</f>
        <v>#REF!</v>
      </c>
      <c r="N45" s="12" t="e">
        <f>#REF!</f>
        <v>#REF!</v>
      </c>
      <c r="O45" s="13" t="e">
        <f>M45*Q45</f>
        <v>#REF!</v>
      </c>
      <c r="P45" s="13" t="e">
        <f>(M45*60/27.2)</f>
        <v>#REF!</v>
      </c>
      <c r="Q45" s="13" t="e">
        <f>VLOOKUP(L45,$P$2:$Q$17,2,FALSE)</f>
        <v>#N/A</v>
      </c>
      <c r="R45" s="52" t="e">
        <f t="shared" ref="R45:R47" si="8">P45*Q45</f>
        <v>#REF!</v>
      </c>
      <c r="S45" s="3" t="e">
        <f>#REF!</f>
        <v>#REF!</v>
      </c>
      <c r="T45" s="13" t="e">
        <f>+M45+S45/100</f>
        <v>#REF!</v>
      </c>
      <c r="U45" s="52" t="e">
        <f t="shared" ref="U45:U47" si="9">(T45*60/27.2)*Q45</f>
        <v>#REF!</v>
      </c>
      <c r="V45" s="52" t="e">
        <f t="shared" ref="V45:V47" si="10">U45-15</f>
        <v>#REF!</v>
      </c>
      <c r="Z45" s="54"/>
      <c r="AA45" s="54"/>
      <c r="AB45" s="54"/>
      <c r="AC45" s="54"/>
      <c r="AD45" s="54"/>
      <c r="AE45" s="55"/>
      <c r="AF45" s="54"/>
      <c r="AG45" s="56"/>
      <c r="AH45" s="54"/>
      <c r="AI45" s="54"/>
      <c r="AJ45" s="54"/>
      <c r="AK45" s="54"/>
      <c r="AL45" s="54"/>
      <c r="AM45" s="54"/>
    </row>
    <row r="46" spans="1:39" ht="25.8" hidden="1" customHeight="1" x14ac:dyDescent="0.5">
      <c r="A46" s="33" t="str">
        <f>IFERROR(VLOOKUP((B46),[1]Contrato!$J$3:$K$12,2,FALSE),"")</f>
        <v>SMCQ24*</v>
      </c>
      <c r="B46" s="34">
        <v>45505</v>
      </c>
      <c r="C46" s="49">
        <f>VLOOKUP((B46),$Z$48:$AB$54,2,FALSE)</f>
        <v>311.89999999999998</v>
      </c>
      <c r="D46" s="36">
        <f>VLOOKUP((B46),$Z$48:$AB$54,3,FALSE)</f>
        <v>1E-3</v>
      </c>
      <c r="E46" s="49">
        <f>C46/0.90719</f>
        <v>343.80890441914039</v>
      </c>
      <c r="F46" s="50" t="e">
        <f>VLOOKUP(B46,$P$2:$Q$17,2,FALSE)</f>
        <v>#N/A</v>
      </c>
      <c r="G46" s="51" t="e">
        <f>#REF!*#REF!</f>
        <v>#REF!</v>
      </c>
      <c r="H46" s="51"/>
      <c r="K46" s="3" t="str">
        <f>IFERROR(VLOOKUP((L46),[1]Contrato!$M$3:$N$11,2,FALSE),"")</f>
        <v>SBCQ24*</v>
      </c>
      <c r="L46" s="10">
        <v>45505</v>
      </c>
      <c r="M46" s="13" t="e">
        <f>VLOOKUP((L46),$Z$64:$AC$67,4,FALSE)</f>
        <v>#N/A</v>
      </c>
      <c r="N46" s="12" t="e">
        <f>VLOOKUP((L46),$Z$64:$AC$67,3,FALSE)</f>
        <v>#N/A</v>
      </c>
      <c r="O46" s="13" t="e">
        <f>M46*Q46</f>
        <v>#N/A</v>
      </c>
      <c r="P46" s="13" t="e">
        <f>(M46*60/27.2)</f>
        <v>#N/A</v>
      </c>
      <c r="Q46" s="13" t="e">
        <f>VLOOKUP(L46,$P$2:$Q$17,2,FALSE)</f>
        <v>#N/A</v>
      </c>
      <c r="R46" s="52" t="e">
        <f t="shared" si="8"/>
        <v>#N/A</v>
      </c>
      <c r="S46" s="3">
        <v>170</v>
      </c>
      <c r="T46" s="13" t="e">
        <f>+M46+S46/100</f>
        <v>#N/A</v>
      </c>
      <c r="U46" s="52" t="e">
        <f t="shared" si="9"/>
        <v>#N/A</v>
      </c>
      <c r="V46" s="52" t="e">
        <f t="shared" si="10"/>
        <v>#N/A</v>
      </c>
      <c r="Z46" s="54"/>
      <c r="AA46" s="54"/>
      <c r="AB46" s="54"/>
      <c r="AC46" s="54"/>
      <c r="AD46" s="54"/>
      <c r="AE46" s="55"/>
      <c r="AF46" s="54"/>
      <c r="AG46" s="56"/>
      <c r="AH46" s="54"/>
      <c r="AI46" s="54"/>
      <c r="AJ46" s="54"/>
      <c r="AK46" s="54"/>
      <c r="AL46" s="54"/>
      <c r="AM46" s="54"/>
    </row>
    <row r="47" spans="1:39" ht="25.8" customHeight="1" x14ac:dyDescent="0.5">
      <c r="A47" s="33" t="str">
        <f>IFERROR(VLOOKUP((B47),[1]Contrato!$J$3:$K$12,2,FALSE),"")</f>
        <v>SMCV24*</v>
      </c>
      <c r="B47" s="34">
        <v>45566</v>
      </c>
      <c r="C47" s="49">
        <f>VLOOKUP((B47),$Z$48:$AB$62,2,FALSE)</f>
        <v>320.8</v>
      </c>
      <c r="D47" s="36">
        <f>VLOOKUP((B47),$Z$48:$AB$62,3,FALSE)</f>
        <v>1.04E-2</v>
      </c>
      <c r="E47" s="49">
        <f>C47/0.90719</f>
        <v>353.61941820346345</v>
      </c>
      <c r="F47" s="50">
        <f>VLOOKUP(B47,$P$2:$Q$17,2,FALSE)</f>
        <v>5.6390000000000002</v>
      </c>
      <c r="G47" s="51" t="e">
        <f>#REF!*#REF!</f>
        <v>#REF!</v>
      </c>
      <c r="H47" s="51"/>
      <c r="K47" s="3" t="str">
        <f>IFERROR(VLOOKUP((L47),[1]Contrato!$M$3:$N$11,2,FALSE),"")</f>
        <v/>
      </c>
      <c r="L47" s="10">
        <v>45566</v>
      </c>
      <c r="M47" s="13">
        <f>M48</f>
        <v>10.074999999999999</v>
      </c>
      <c r="N47" s="12">
        <f>N48</f>
        <v>-7.1000000000000004E-3</v>
      </c>
      <c r="O47" s="13">
        <f>M47*Q47</f>
        <v>56.812925</v>
      </c>
      <c r="P47" s="13">
        <f>(M47*60/27.2)</f>
        <v>22.224264705882355</v>
      </c>
      <c r="Q47" s="13">
        <f>VLOOKUP(L47,$P$2:$Q$17,2,FALSE)</f>
        <v>5.6390000000000002</v>
      </c>
      <c r="R47" s="52">
        <f>P47*Q47</f>
        <v>125.3226286764706</v>
      </c>
      <c r="S47" s="3">
        <f>S48</f>
        <v>175</v>
      </c>
      <c r="T47" s="13">
        <f>+M47+S51/100</f>
        <v>10.725</v>
      </c>
      <c r="U47" s="52">
        <f>(T47*60/27.2)*Q47</f>
        <v>133.40795955882353</v>
      </c>
      <c r="V47" s="52">
        <f>U47-15</f>
        <v>118.40795955882353</v>
      </c>
      <c r="Z47" s="54" t="s">
        <v>57</v>
      </c>
      <c r="AA47" s="54"/>
      <c r="AB47" s="54"/>
      <c r="AC47" s="54"/>
      <c r="AD47" s="54"/>
      <c r="AE47" s="55"/>
      <c r="AF47" s="54"/>
      <c r="AG47" s="56"/>
      <c r="AH47" s="54"/>
      <c r="AI47" s="54"/>
      <c r="AJ47" s="54"/>
      <c r="AK47" s="54"/>
      <c r="AL47" s="54"/>
      <c r="AM47" s="54"/>
    </row>
    <row r="48" spans="1:39" ht="25.8" x14ac:dyDescent="0.5">
      <c r="A48" s="33" t="str">
        <f>IFERROR(VLOOKUP((B48),[1]Contrato!$J$3:$K$12,2,FALSE),"")</f>
        <v/>
      </c>
      <c r="B48" s="34">
        <v>45597</v>
      </c>
      <c r="C48" s="49">
        <f>C47</f>
        <v>320.8</v>
      </c>
      <c r="D48" s="36">
        <f>D49</f>
        <v>-1.2999999999999999E-3</v>
      </c>
      <c r="E48" s="49">
        <f>C48/0.90719</f>
        <v>353.61941820346345</v>
      </c>
      <c r="F48" s="50">
        <f>VLOOKUP(B48,$P$2:$Q$17,2,FALSE)</f>
        <v>5.6669999999999998</v>
      </c>
      <c r="G48" s="51" t="e">
        <f>#REF!*#REF!</f>
        <v>#REF!</v>
      </c>
      <c r="H48" s="51"/>
      <c r="K48" s="3" t="str">
        <f>IFERROR(VLOOKUP((L48),[1]Contrato!$M$3:$N$11,2,FALSE),"")</f>
        <v>SBCX24*</v>
      </c>
      <c r="L48" s="10">
        <v>45597</v>
      </c>
      <c r="M48" s="13">
        <f>VLOOKUP((L48),$Z$64:$AC$73,4,FALSE)</f>
        <v>10.074999999999999</v>
      </c>
      <c r="N48" s="12">
        <f>VLOOKUP((L48),$Z$64:$AC$74,3,FALSE)</f>
        <v>-7.1000000000000004E-3</v>
      </c>
      <c r="O48" s="13">
        <f>M48*Q48</f>
        <v>57.095024999999993</v>
      </c>
      <c r="P48" s="13">
        <f>(M48*60/27.2)</f>
        <v>22.224264705882355</v>
      </c>
      <c r="Q48" s="13">
        <f>VLOOKUP(L48,$P$2:$Q$17,2,FALSE)</f>
        <v>5.6669999999999998</v>
      </c>
      <c r="R48" s="52">
        <f>P48*Q48</f>
        <v>125.94490808823531</v>
      </c>
      <c r="S48" s="3">
        <f>S49</f>
        <v>175</v>
      </c>
      <c r="T48" s="13">
        <f>+M48+S52/100</f>
        <v>10.424999999999999</v>
      </c>
      <c r="U48" s="52">
        <f>(T48*60/27.2)*Q48</f>
        <v>130.32016544117644</v>
      </c>
      <c r="V48" s="52">
        <f>U48-15</f>
        <v>115.32016544117644</v>
      </c>
      <c r="Z48" s="55">
        <v>45413</v>
      </c>
      <c r="AA48" s="54">
        <v>331</v>
      </c>
      <c r="AB48" s="56">
        <v>-1.37E-2</v>
      </c>
      <c r="AC48" s="54"/>
      <c r="AD48" s="54"/>
      <c r="AE48" s="55"/>
      <c r="AF48" s="54"/>
      <c r="AG48" s="56"/>
      <c r="AH48" s="54"/>
      <c r="AI48" s="54"/>
      <c r="AJ48" s="54"/>
      <c r="AK48" s="54"/>
      <c r="AL48" s="54"/>
      <c r="AM48" s="54"/>
    </row>
    <row r="49" spans="1:39" ht="25.8" x14ac:dyDescent="0.5">
      <c r="A49" s="33" t="str">
        <f>IFERROR(VLOOKUP((B49),[1]Contrato!$J$3:$K$12,2,FALSE),"")</f>
        <v>SMCZ24*</v>
      </c>
      <c r="B49" s="34">
        <v>45627</v>
      </c>
      <c r="C49" s="49">
        <f>VLOOKUP((B49),$Z$48:$AB$62,2,FALSE)</f>
        <v>315.7</v>
      </c>
      <c r="D49" s="36">
        <f>VLOOKUP((B49),$Z$48:$AB$62,3,FALSE)</f>
        <v>-1.2999999999999999E-3</v>
      </c>
      <c r="E49" s="49">
        <f>C49/0.90719</f>
        <v>347.99766311357047</v>
      </c>
      <c r="F49" s="50">
        <f>VLOOKUP(B49,$P$2:$Q$17,2,FALSE)</f>
        <v>5.6346499999999997</v>
      </c>
      <c r="G49" s="51" t="e">
        <f t="shared" ref="G49" si="11">F46*E46</f>
        <v>#N/A</v>
      </c>
      <c r="H49" s="51"/>
      <c r="K49" s="3" t="str">
        <f>IFERROR(VLOOKUP((L49),[1]Contrato!$M$3:$N$11,2,FALSE),"")</f>
        <v/>
      </c>
      <c r="L49" s="10">
        <v>45627</v>
      </c>
      <c r="M49" s="13">
        <f>M48</f>
        <v>10.074999999999999</v>
      </c>
      <c r="N49" s="12">
        <f>N48</f>
        <v>-7.1000000000000004E-3</v>
      </c>
      <c r="O49" s="13">
        <f>M49*Q49</f>
        <v>56.769098749999991</v>
      </c>
      <c r="P49" s="13">
        <f>(M49*60/27.2)</f>
        <v>22.224264705882355</v>
      </c>
      <c r="Q49" s="13">
        <f>VLOOKUP(L49,$P$2:$Q$17,2,FALSE)</f>
        <v>5.6346499999999997</v>
      </c>
      <c r="R49" s="52">
        <f>P49*Q49</f>
        <v>125.225953125</v>
      </c>
      <c r="S49" s="3">
        <f>S50</f>
        <v>175</v>
      </c>
      <c r="T49" s="13">
        <f>+M49+S53/100</f>
        <v>10.324999999999999</v>
      </c>
      <c r="U49" s="52">
        <f>(T49*60/27.2)*Q49</f>
        <v>128.333296875</v>
      </c>
      <c r="V49" s="52">
        <f>U49-15</f>
        <v>113.333296875</v>
      </c>
      <c r="Z49" s="55">
        <v>45505</v>
      </c>
      <c r="AA49" s="54">
        <v>311.89999999999998</v>
      </c>
      <c r="AB49" s="56">
        <v>1E-3</v>
      </c>
      <c r="AC49" s="54"/>
      <c r="AD49" s="54"/>
      <c r="AE49" s="55"/>
      <c r="AF49" s="54"/>
      <c r="AG49" s="56"/>
      <c r="AH49" s="54"/>
      <c r="AI49" s="54"/>
      <c r="AJ49" s="54"/>
      <c r="AK49" s="54"/>
      <c r="AL49" s="54"/>
      <c r="AM49" s="54"/>
    </row>
    <row r="50" spans="1:39" ht="25.8" x14ac:dyDescent="0.5">
      <c r="A50" s="33" t="str">
        <f>IFERROR(VLOOKUP((B50),[1]Contrato!$J$3:$K$12,2,FALSE),"")</f>
        <v>SMCF25*</v>
      </c>
      <c r="B50" s="34">
        <v>45658</v>
      </c>
      <c r="C50" s="49">
        <f>VLOOKUP((B50),$Z$48:$AB$62,2,FALSE)</f>
        <v>314.60000000000002</v>
      </c>
      <c r="D50" s="36">
        <f>VLOOKUP((B50),$Z$48:$AB$62,3,FALSE)</f>
        <v>-3.8E-3</v>
      </c>
      <c r="E50" s="49">
        <f>C50/0.90719</f>
        <v>346.78512770202497</v>
      </c>
      <c r="F50" s="50">
        <f>VLOOKUP(B50,$P$2:$Q$17,2,FALSE)</f>
        <v>5.6600850000000005</v>
      </c>
      <c r="G50" s="51" t="e">
        <f>#REF!*#REF!</f>
        <v>#REF!</v>
      </c>
      <c r="H50" s="51"/>
      <c r="K50" s="3" t="str">
        <f>IFERROR(VLOOKUP((L50),[1]Contrato!$M$3:$N$11,2,FALSE),"")</f>
        <v>SBCF25*</v>
      </c>
      <c r="L50" s="10">
        <v>45658</v>
      </c>
      <c r="M50" s="13">
        <f>VLOOKUP((L50),$Z$64:$AC$73,4,FALSE)</f>
        <v>10.2325</v>
      </c>
      <c r="N50" s="12">
        <f>VLOOKUP((L50),$Z$64:$AC$74,3,FALSE)</f>
        <v>-8.0000000000000002E-3</v>
      </c>
      <c r="O50" s="13">
        <f>M50*Q50</f>
        <v>57.916819762500005</v>
      </c>
      <c r="P50" s="13">
        <f>(M50*60/27.2)</f>
        <v>22.571691176470591</v>
      </c>
      <c r="Q50" s="13">
        <f>VLOOKUP(L50,$P$2:$Q$17,2,FALSE)</f>
        <v>5.6600850000000005</v>
      </c>
      <c r="R50" s="52">
        <f>P50*Q50</f>
        <v>127.75769065257356</v>
      </c>
      <c r="S50" s="3">
        <v>175</v>
      </c>
      <c r="T50" s="13">
        <f>+M50+S50/100</f>
        <v>11.9825</v>
      </c>
      <c r="U50" s="52">
        <f>(T50*60/27.2)*Q50</f>
        <v>149.60728348345592</v>
      </c>
      <c r="V50" s="52">
        <f>U50-15</f>
        <v>134.60728348345592</v>
      </c>
      <c r="Z50" s="55">
        <v>45566</v>
      </c>
      <c r="AA50" s="54">
        <v>320.8</v>
      </c>
      <c r="AB50" s="56">
        <v>1.04E-2</v>
      </c>
      <c r="AC50" s="54"/>
      <c r="AD50" s="54"/>
      <c r="AE50" s="55"/>
      <c r="AF50" s="54"/>
      <c r="AG50" s="56"/>
      <c r="AH50" s="54"/>
      <c r="AI50" s="54"/>
      <c r="AJ50" s="54"/>
      <c r="AK50" s="54"/>
      <c r="AL50" s="54"/>
      <c r="AM50" s="54"/>
    </row>
    <row r="51" spans="1:39" ht="25.8" x14ac:dyDescent="0.5">
      <c r="A51" s="33" t="str">
        <f>IFERROR(VLOOKUP((B51),[1]Contrato!$J$3:$K$12,2,FALSE),"")</f>
        <v/>
      </c>
      <c r="B51" s="34">
        <v>45689</v>
      </c>
      <c r="C51" s="49">
        <f>C50</f>
        <v>314.60000000000002</v>
      </c>
      <c r="D51" s="36">
        <f>D50</f>
        <v>-3.8E-3</v>
      </c>
      <c r="E51" s="49">
        <f>C51/0.90719</f>
        <v>346.78512770202497</v>
      </c>
      <c r="F51" s="50">
        <f>VLOOKUP(B51,$P$2:$Q$17,2,FALSE)</f>
        <v>5.685981</v>
      </c>
      <c r="G51" s="51">
        <f>F47*E47</f>
        <v>1994.0598992493306</v>
      </c>
      <c r="H51" s="51"/>
      <c r="K51" s="3" t="str">
        <f>IFERROR(VLOOKUP((L51),[1]Contrato!$M$3:$N$11,2,FALSE),"")</f>
        <v/>
      </c>
      <c r="L51" s="10">
        <v>45689</v>
      </c>
      <c r="M51" s="13">
        <f>M50</f>
        <v>10.2325</v>
      </c>
      <c r="N51" s="12">
        <f>N50</f>
        <v>-8.0000000000000002E-3</v>
      </c>
      <c r="O51" s="13">
        <f>M51*Q51</f>
        <v>58.181800582499996</v>
      </c>
      <c r="P51" s="13">
        <f>(M51*60/27.2)</f>
        <v>22.571691176470591</v>
      </c>
      <c r="Q51" s="13">
        <f>VLOOKUP(L51,$P$2:$Q$17,2,FALSE)</f>
        <v>5.685981</v>
      </c>
      <c r="R51" s="52">
        <f>P51*Q51</f>
        <v>128.34220716727941</v>
      </c>
      <c r="S51" s="3">
        <v>65</v>
      </c>
      <c r="T51" s="13">
        <f>+M51+S51/100</f>
        <v>10.8825</v>
      </c>
      <c r="U51" s="52">
        <f>(T51*60/27.2)*Q51</f>
        <v>136.49490051286764</v>
      </c>
      <c r="V51" s="52">
        <f>U51-15</f>
        <v>121.49490051286764</v>
      </c>
      <c r="Z51" s="55">
        <v>45627</v>
      </c>
      <c r="AA51" s="54">
        <v>315.7</v>
      </c>
      <c r="AB51" s="56">
        <v>-1.2999999999999999E-3</v>
      </c>
      <c r="AC51" s="54"/>
      <c r="AD51" s="54"/>
      <c r="AE51" s="55"/>
      <c r="AF51" s="54"/>
      <c r="AG51" s="56"/>
      <c r="AH51" s="54"/>
      <c r="AI51" s="54"/>
      <c r="AJ51" s="54"/>
      <c r="AK51" s="54"/>
      <c r="AL51" s="54"/>
      <c r="AM51" s="54"/>
    </row>
    <row r="52" spans="1:39" ht="25.8" x14ac:dyDescent="0.5">
      <c r="A52" s="33" t="str">
        <f>IFERROR(VLOOKUP((B52),[1]Contrato!$J$3:$K$12,2,FALSE),"")</f>
        <v>SMCH25*</v>
      </c>
      <c r="B52" s="34">
        <v>45717</v>
      </c>
      <c r="C52" s="49">
        <f>VLOOKUP((B52),$Z$48:$AB$62,2,FALSE)</f>
        <v>315.7</v>
      </c>
      <c r="D52" s="36">
        <f>VLOOKUP((B52),$Z$48:$AB$62,3,FALSE)</f>
        <v>-4.4000000000000003E-3</v>
      </c>
      <c r="E52" s="49">
        <f>C52/0.90719</f>
        <v>347.99766311357047</v>
      </c>
      <c r="F52" s="50">
        <f>VLOOKUP(B52,$P$2:$Q$17,2,FALSE)</f>
        <v>5.712561</v>
      </c>
      <c r="G52" s="51">
        <f>F48*E48</f>
        <v>2003.9612429590272</v>
      </c>
      <c r="H52" s="51"/>
      <c r="K52" s="3" t="str">
        <f>IFERROR(VLOOKUP((L52),[1]Contrato!$M$3:$N$11,2,FALSE),"")</f>
        <v>SBCH25*</v>
      </c>
      <c r="L52" s="10">
        <v>45717</v>
      </c>
      <c r="M52" s="13">
        <f>VLOOKUP((L52),$Z$64:$AC$73,4,FALSE)</f>
        <v>10.375</v>
      </c>
      <c r="N52" s="12">
        <f>VLOOKUP((L52),$Z$64:$AC$74,3,FALSE)</f>
        <v>-8.6E-3</v>
      </c>
      <c r="O52" s="13">
        <f>M52*Q52</f>
        <v>59.267820374999999</v>
      </c>
      <c r="P52" s="13">
        <f>(M52*60/27.2)</f>
        <v>22.886029411764707</v>
      </c>
      <c r="Q52" s="13">
        <f>VLOOKUP(L52,$P$2:$Q$17,2,FALSE)</f>
        <v>5.712561</v>
      </c>
      <c r="R52" s="52">
        <f>P52*Q52</f>
        <v>130.7378390625</v>
      </c>
      <c r="S52" s="3">
        <v>35</v>
      </c>
      <c r="T52" s="13">
        <f>+M52+S52/100</f>
        <v>10.725</v>
      </c>
      <c r="U52" s="52">
        <f>(T52*60/27.2)*Q52</f>
        <v>135.1482721875</v>
      </c>
      <c r="V52" s="52">
        <f>U52-15</f>
        <v>120.1482721875</v>
      </c>
      <c r="Z52" s="55">
        <v>45658</v>
      </c>
      <c r="AA52" s="54">
        <v>314.60000000000002</v>
      </c>
      <c r="AB52" s="56">
        <v>-3.8E-3</v>
      </c>
      <c r="AC52" s="54"/>
      <c r="AD52" s="54"/>
      <c r="AE52" s="55"/>
      <c r="AF52" s="54"/>
      <c r="AG52" s="56"/>
      <c r="AH52" s="54"/>
      <c r="AI52" s="54"/>
      <c r="AJ52" s="54"/>
      <c r="AK52" s="54"/>
      <c r="AL52" s="54"/>
      <c r="AM52" s="54"/>
    </row>
    <row r="53" spans="1:39" ht="25.8" x14ac:dyDescent="0.5">
      <c r="A53" s="33"/>
      <c r="B53" s="34">
        <v>45748</v>
      </c>
      <c r="C53" s="49">
        <f>C52</f>
        <v>315.7</v>
      </c>
      <c r="D53" s="36">
        <f>D52</f>
        <v>-4.4000000000000003E-3</v>
      </c>
      <c r="E53" s="49">
        <f>C53/0.90719</f>
        <v>347.99766311357047</v>
      </c>
      <c r="F53" s="50">
        <f>VLOOKUP(B53,$P$2:$Q$17,2,FALSE)</f>
        <v>5.712561</v>
      </c>
      <c r="G53" s="51">
        <f>F49*E49</f>
        <v>1960.8450324628798</v>
      </c>
      <c r="H53" s="51"/>
      <c r="L53" s="10">
        <v>45748</v>
      </c>
      <c r="M53" s="13">
        <f>M52</f>
        <v>10.375</v>
      </c>
      <c r="N53" s="12">
        <f>N52</f>
        <v>-8.6E-3</v>
      </c>
      <c r="O53" s="13">
        <f>M53*Q53</f>
        <v>59.267820374999999</v>
      </c>
      <c r="P53" s="13">
        <f>(M53*60/27.2)</f>
        <v>22.886029411764707</v>
      </c>
      <c r="Q53" s="13">
        <f>VLOOKUP(L53,$P$2:$Q$17,2,FALSE)</f>
        <v>5.712561</v>
      </c>
      <c r="R53" s="52">
        <f>P53*Q53</f>
        <v>130.7378390625</v>
      </c>
      <c r="S53" s="3">
        <v>25</v>
      </c>
      <c r="T53" s="13">
        <f>+M53+S53/100</f>
        <v>10.625</v>
      </c>
      <c r="U53" s="52">
        <f>(T53*60/27.2)*Q53</f>
        <v>133.88814843750001</v>
      </c>
      <c r="V53" s="52">
        <f>U53-15</f>
        <v>118.88814843750001</v>
      </c>
      <c r="Z53" s="55">
        <v>45717</v>
      </c>
      <c r="AA53" s="54">
        <v>315.7</v>
      </c>
      <c r="AB53" s="56">
        <v>-4.4000000000000003E-3</v>
      </c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</row>
    <row r="54" spans="1:39" ht="25.8" x14ac:dyDescent="0.5">
      <c r="A54" s="33" t="s">
        <v>58</v>
      </c>
      <c r="B54" s="34">
        <v>45778</v>
      </c>
      <c r="C54" s="49">
        <f>VLOOKUP((B54),$Z$48:$AB$62,2,FALSE)</f>
        <v>318.2</v>
      </c>
      <c r="D54" s="36">
        <f>VLOOKUP((B54),$Z$48:$AB$62,3,FALSE)</f>
        <v>-4.7000000000000002E-3</v>
      </c>
      <c r="E54" s="49">
        <f>C54/0.90719</f>
        <v>350.75342541253758</v>
      </c>
      <c r="F54" s="50">
        <f>VLOOKUP(B54,$P$2:$Q$17,2,FALSE)</f>
        <v>5.712561</v>
      </c>
      <c r="G54" s="51">
        <f>F50*E50</f>
        <v>1962.833299529316</v>
      </c>
      <c r="H54" s="51"/>
      <c r="K54" s="3" t="s">
        <v>59</v>
      </c>
      <c r="L54" s="10">
        <v>45778</v>
      </c>
      <c r="M54" s="13">
        <f>VLOOKUP((L54),$Z$64:$AC$73,4,FALSE)</f>
        <v>10.512499999999999</v>
      </c>
      <c r="N54" s="12">
        <f>VLOOKUP((L54),$Z$64:$AC$74,3,FALSE)</f>
        <v>-9.4000000000000004E-3</v>
      </c>
      <c r="O54" s="13">
        <f>M54*Q54</f>
        <v>60.053297512499995</v>
      </c>
      <c r="P54" s="13">
        <f>(M54*60/27.2)</f>
        <v>23.18933823529412</v>
      </c>
      <c r="Q54" s="13">
        <f>VLOOKUP(L54,$P$2:$Q$17,2,FALSE)</f>
        <v>5.712561</v>
      </c>
      <c r="R54" s="52">
        <f>P54*Q54</f>
        <v>132.47050921875001</v>
      </c>
      <c r="S54" s="3">
        <f>S53</f>
        <v>25</v>
      </c>
      <c r="T54" s="13">
        <f>+M54+S54/100</f>
        <v>10.762499999999999</v>
      </c>
      <c r="U54" s="52">
        <f>(T54*60/27.2)*Q54</f>
        <v>135.62081859375002</v>
      </c>
      <c r="V54" s="52">
        <f>U54-15</f>
        <v>120.62081859375002</v>
      </c>
      <c r="Z54" s="55">
        <v>45778</v>
      </c>
      <c r="AA54" s="54">
        <v>318.2</v>
      </c>
      <c r="AB54" s="56">
        <v>-4.7000000000000002E-3</v>
      </c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</row>
    <row r="55" spans="1:39" ht="25.8" x14ac:dyDescent="0.5">
      <c r="A55" s="33"/>
      <c r="B55" s="34">
        <v>45809</v>
      </c>
      <c r="C55" s="49">
        <f>C54</f>
        <v>318.2</v>
      </c>
      <c r="D55" s="36">
        <f>D54</f>
        <v>-4.7000000000000002E-3</v>
      </c>
      <c r="E55" s="49">
        <f>C55/0.90719</f>
        <v>350.75342541253758</v>
      </c>
      <c r="F55" s="50">
        <f>VLOOKUP(B55,$P$2:$Q$17,2,FALSE)</f>
        <v>5.712561</v>
      </c>
      <c r="G55" s="51">
        <f>F51*E51</f>
        <v>1971.8136471962875</v>
      </c>
      <c r="H55" s="51"/>
      <c r="L55" s="10">
        <v>45809</v>
      </c>
      <c r="M55" s="13">
        <f>M54</f>
        <v>10.512499999999999</v>
      </c>
      <c r="N55" s="12">
        <f>N54</f>
        <v>-9.4000000000000004E-3</v>
      </c>
      <c r="O55" s="13">
        <f>M55*Q55</f>
        <v>60.053297512499995</v>
      </c>
      <c r="P55" s="13">
        <f>(M55*60/27.2)</f>
        <v>23.18933823529412</v>
      </c>
      <c r="Q55" s="13">
        <f>VLOOKUP(L55,$P$2:$Q$17,2,FALSE)</f>
        <v>5.712561</v>
      </c>
      <c r="R55" s="52">
        <f>P55*Q55</f>
        <v>132.47050921875001</v>
      </c>
      <c r="S55" s="3">
        <f>S54</f>
        <v>25</v>
      </c>
      <c r="T55" s="13">
        <f>+M55+S55/100</f>
        <v>10.762499999999999</v>
      </c>
      <c r="U55" s="52">
        <f>(T55*60/27.2)*Q55</f>
        <v>135.62081859375002</v>
      </c>
      <c r="V55" s="52">
        <f>U55-15</f>
        <v>120.62081859375002</v>
      </c>
      <c r="Z55" s="55">
        <v>45839</v>
      </c>
      <c r="AA55" s="54">
        <v>322</v>
      </c>
      <c r="AB55" s="56">
        <v>-3.7000000000000002E-3</v>
      </c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</row>
    <row r="56" spans="1:39" ht="25.8" x14ac:dyDescent="0.5">
      <c r="A56" s="33" t="s">
        <v>60</v>
      </c>
      <c r="B56" s="34">
        <v>45839</v>
      </c>
      <c r="C56" s="49">
        <f>VLOOKUP((B56),$Z$48:$AB$62,2,FALSE)</f>
        <v>322</v>
      </c>
      <c r="D56" s="36">
        <f>VLOOKUP((B56),$Z$48:$AB$62,3,FALSE)</f>
        <v>-3.7000000000000002E-3</v>
      </c>
      <c r="E56" s="49">
        <f>C56/0.90719</f>
        <v>354.94218410696766</v>
      </c>
      <c r="F56" s="50">
        <f>F55</f>
        <v>5.712561</v>
      </c>
      <c r="G56" s="51">
        <f>F52*E52</f>
        <v>1987.9578783937213</v>
      </c>
      <c r="H56" s="51"/>
      <c r="K56" s="3" t="s">
        <v>61</v>
      </c>
      <c r="L56" s="10">
        <v>45839</v>
      </c>
      <c r="M56" s="13">
        <f>VLOOKUP((L56),$Z$64:$AC$73,4,FALSE)</f>
        <v>10.63</v>
      </c>
      <c r="N56" s="12">
        <f>VLOOKUP((L56),$Z$64:$AC$74,3,FALSE)</f>
        <v>-9.1000000000000004E-3</v>
      </c>
      <c r="O56" s="13">
        <f>M56*Q56</f>
        <v>60.724523430000005</v>
      </c>
      <c r="P56" s="13">
        <f>(M56*60/27.2)</f>
        <v>23.44852941176471</v>
      </c>
      <c r="Q56" s="13">
        <f>Q55</f>
        <v>5.712561</v>
      </c>
      <c r="R56" s="52">
        <f>P56*Q56</f>
        <v>133.95115462500002</v>
      </c>
      <c r="S56" s="3">
        <f>S55</f>
        <v>25</v>
      </c>
      <c r="T56" s="13">
        <f>+M56+S56/100</f>
        <v>10.88</v>
      </c>
      <c r="U56" s="52">
        <f>(T56*60/27.2)*Q56</f>
        <v>137.10146400000002</v>
      </c>
      <c r="V56" s="52">
        <f>U56-15</f>
        <v>122.10146400000002</v>
      </c>
      <c r="Z56" s="55">
        <v>45870</v>
      </c>
      <c r="AA56" s="54">
        <v>322.60000000000002</v>
      </c>
      <c r="AB56" s="56">
        <v>-3.7000000000000002E-3</v>
      </c>
      <c r="AC56" s="54"/>
      <c r="AD56" s="54"/>
      <c r="AE56" s="55"/>
      <c r="AF56" s="54"/>
      <c r="AG56" s="56"/>
      <c r="AH56" s="54"/>
      <c r="AI56" s="54"/>
      <c r="AJ56" s="54"/>
      <c r="AK56" s="54"/>
      <c r="AL56" s="54"/>
      <c r="AM56" s="54"/>
    </row>
    <row r="57" spans="1:39" ht="25.8" x14ac:dyDescent="0.5">
      <c r="A57" s="33" t="s">
        <v>62</v>
      </c>
      <c r="B57" s="34">
        <v>45870</v>
      </c>
      <c r="C57" s="49">
        <f>VLOOKUP((B57),$Z$48:$AB$62,2,FALSE)</f>
        <v>322.60000000000002</v>
      </c>
      <c r="D57" s="36">
        <f>VLOOKUP((B57),$Z$48:$AB$62,3,FALSE)</f>
        <v>-3.7000000000000002E-3</v>
      </c>
      <c r="E57" s="49">
        <f>C57/0.90719</f>
        <v>355.60356705871976</v>
      </c>
      <c r="F57" s="50">
        <f>F56</f>
        <v>5.712561</v>
      </c>
      <c r="H57" s="51"/>
      <c r="K57" s="3" t="s">
        <v>63</v>
      </c>
      <c r="L57" s="10">
        <v>45870</v>
      </c>
      <c r="M57" s="13">
        <f>VLOOKUP((L57),$Z$64:$AC$73,4,FALSE)</f>
        <v>10.635</v>
      </c>
      <c r="N57" s="12">
        <f>VLOOKUP((L57),$Z$64:$AC$74,3,FALSE)</f>
        <v>-8.6E-3</v>
      </c>
      <c r="O57" s="13">
        <f>M57*Q57</f>
        <v>60.753086234999998</v>
      </c>
      <c r="P57" s="13">
        <f>(M57*60/27.2)</f>
        <v>23.459558823529413</v>
      </c>
      <c r="Q57" s="13">
        <f>Q56</f>
        <v>5.712561</v>
      </c>
      <c r="R57" s="52">
        <f>P57*Q57</f>
        <v>134.01416081249999</v>
      </c>
      <c r="S57" s="3">
        <f>S56</f>
        <v>25</v>
      </c>
      <c r="T57" s="13">
        <f>+M57+S57/100</f>
        <v>10.885</v>
      </c>
      <c r="U57" s="52">
        <f>(T57*60/27.2)*Q57</f>
        <v>137.1644701875</v>
      </c>
      <c r="V57" s="52">
        <f>U57-15</f>
        <v>122.1644701875</v>
      </c>
      <c r="Z57" s="55">
        <v>45901</v>
      </c>
      <c r="AA57" s="54">
        <v>322.5</v>
      </c>
      <c r="AB57" s="56">
        <v>-4.0000000000000001E-3</v>
      </c>
      <c r="AC57" s="54"/>
      <c r="AD57" s="54"/>
      <c r="AE57" s="55"/>
      <c r="AF57" s="54"/>
      <c r="AG57" s="56"/>
      <c r="AH57" s="54"/>
      <c r="AI57" s="54"/>
      <c r="AJ57" s="54"/>
      <c r="AK57" s="54"/>
      <c r="AL57" s="54"/>
      <c r="AM57" s="54"/>
    </row>
    <row r="58" spans="1:39" ht="25.8" x14ac:dyDescent="0.5">
      <c r="A58" s="33" t="s">
        <v>64</v>
      </c>
      <c r="B58" s="34">
        <v>45901</v>
      </c>
      <c r="C58" s="49">
        <f>VLOOKUP((B58),$Z$48:$AB$62,2,FALSE)</f>
        <v>322.5</v>
      </c>
      <c r="D58" s="36">
        <f>VLOOKUP((B58),$Z$48:$AB$62,3,FALSE)</f>
        <v>-4.0000000000000001E-3</v>
      </c>
      <c r="E58" s="49">
        <f>C58/0.90719</f>
        <v>355.49333656676106</v>
      </c>
      <c r="F58" s="50">
        <f>F57</f>
        <v>5.712561</v>
      </c>
      <c r="G58" s="53"/>
      <c r="H58" s="53"/>
      <c r="K58" s="3" t="s">
        <v>65</v>
      </c>
      <c r="L58" s="10">
        <v>45901</v>
      </c>
      <c r="M58" s="13">
        <f>VLOOKUP((L58),$Z$64:$AC$73,4,FALSE)</f>
        <v>10.5625</v>
      </c>
      <c r="N58" s="12">
        <f>VLOOKUP((L58),$Z$64:$AC$74,3,FALSE)</f>
        <v>-7.4999999999999997E-3</v>
      </c>
      <c r="O58" s="13">
        <f>M58*Q58</f>
        <v>60.338925562500002</v>
      </c>
      <c r="P58" s="13">
        <f>(M58*60/27.2)</f>
        <v>23.299632352941178</v>
      </c>
      <c r="Q58" s="13">
        <f>Q57</f>
        <v>5.712561</v>
      </c>
      <c r="R58" s="52">
        <f>P58*Q58</f>
        <v>133.10057109375001</v>
      </c>
      <c r="S58" s="3">
        <f>S57</f>
        <v>25</v>
      </c>
      <c r="T58" s="13">
        <f>+M58+S58/100</f>
        <v>10.8125</v>
      </c>
      <c r="U58" s="52">
        <f>(T58*60/27.2)*Q58</f>
        <v>136.25088046875001</v>
      </c>
      <c r="V58" s="52">
        <f>U58-15</f>
        <v>121.25088046875001</v>
      </c>
      <c r="Z58" s="55">
        <v>45931</v>
      </c>
      <c r="AA58" s="54">
        <v>322.39999999999998</v>
      </c>
      <c r="AB58" s="56">
        <v>-1.9E-3</v>
      </c>
      <c r="AC58" s="54"/>
      <c r="AD58" s="54"/>
      <c r="AE58" s="55"/>
      <c r="AF58" s="54"/>
      <c r="AG58" s="56"/>
      <c r="AH58" s="54"/>
      <c r="AI58" s="54"/>
      <c r="AJ58" s="54"/>
      <c r="AK58" s="54"/>
      <c r="AL58" s="54"/>
      <c r="AM58" s="54"/>
    </row>
    <row r="59" spans="1:39" ht="25.8" x14ac:dyDescent="0.5">
      <c r="A59" s="33" t="s">
        <v>66</v>
      </c>
      <c r="B59" s="34">
        <v>45931</v>
      </c>
      <c r="C59" s="49">
        <f>VLOOKUP((B59),$Z$48:$AB$62,2,FALSE)</f>
        <v>322.39999999999998</v>
      </c>
      <c r="D59" s="36">
        <f>VLOOKUP((B59),$Z$48:$AB$62,3,FALSE)</f>
        <v>-1.9E-3</v>
      </c>
      <c r="E59" s="49">
        <f>C59/0.90719</f>
        <v>355.38310607480236</v>
      </c>
      <c r="F59" s="50">
        <f>F58</f>
        <v>5.712561</v>
      </c>
      <c r="G59" s="53"/>
      <c r="H59" s="53"/>
      <c r="I59" s="3"/>
      <c r="J59" s="3"/>
      <c r="K59" s="3"/>
      <c r="L59" s="10">
        <v>45931</v>
      </c>
      <c r="M59" s="13">
        <f>M58</f>
        <v>10.5625</v>
      </c>
      <c r="N59" s="12">
        <f>N58</f>
        <v>-7.4999999999999997E-3</v>
      </c>
      <c r="O59" s="13">
        <f>M59*Q59</f>
        <v>60.338925562500002</v>
      </c>
      <c r="P59" s="13">
        <f>(M59*60/27.2)</f>
        <v>23.299632352941178</v>
      </c>
      <c r="Q59" s="13">
        <f>Q58</f>
        <v>5.712561</v>
      </c>
      <c r="R59" s="52">
        <f>P59*Q59</f>
        <v>133.10057109375001</v>
      </c>
      <c r="S59" s="3">
        <f>S58</f>
        <v>25</v>
      </c>
      <c r="T59" s="13">
        <f>+M59+S59/100</f>
        <v>10.8125</v>
      </c>
      <c r="U59" s="52">
        <f>(T59*60/27.2)*Q59</f>
        <v>136.25088046875001</v>
      </c>
      <c r="V59" s="52">
        <f>U59-15</f>
        <v>121.25088046875001</v>
      </c>
      <c r="Z59" s="54"/>
      <c r="AA59" s="54"/>
      <c r="AB59" s="54"/>
      <c r="AC59" s="54"/>
      <c r="AD59" s="54"/>
      <c r="AE59" s="55"/>
      <c r="AF59" s="54"/>
      <c r="AG59" s="56"/>
      <c r="AH59" s="54"/>
      <c r="AI59" s="54"/>
      <c r="AJ59" s="54"/>
      <c r="AK59" s="54"/>
      <c r="AL59" s="54"/>
      <c r="AM59" s="54"/>
    </row>
    <row r="60" spans="1:39" ht="25.8" x14ac:dyDescent="0.5">
      <c r="A60" s="33"/>
      <c r="B60" s="34">
        <v>45962</v>
      </c>
      <c r="C60" s="49">
        <f>C59</f>
        <v>322.39999999999998</v>
      </c>
      <c r="D60" s="36">
        <f>D59</f>
        <v>-1.9E-3</v>
      </c>
      <c r="E60" s="49">
        <f>C60/0.90719</f>
        <v>355.38310607480236</v>
      </c>
      <c r="F60" s="50">
        <f>F59</f>
        <v>5.712561</v>
      </c>
      <c r="G60" s="3"/>
      <c r="H60" s="3"/>
      <c r="I60" s="3"/>
      <c r="J60" s="3"/>
      <c r="K60" s="3" t="s">
        <v>67</v>
      </c>
      <c r="L60" s="10">
        <v>45962</v>
      </c>
      <c r="M60" s="13">
        <f>VLOOKUP((L60),$Z$64:$AC$73,4,FALSE)</f>
        <v>10.5725</v>
      </c>
      <c r="N60" s="12">
        <f>VLOOKUP((L60),$Z$64:$AC$74,3,FALSE)</f>
        <v>-8.3999999999999995E-3</v>
      </c>
      <c r="O60" s="13">
        <f>M60*Q60</f>
        <v>60.396051172500002</v>
      </c>
      <c r="P60" s="13">
        <f>(M60*60/27.2)</f>
        <v>23.321691176470591</v>
      </c>
      <c r="Q60" s="13">
        <f>Q59</f>
        <v>5.712561</v>
      </c>
      <c r="R60" s="52">
        <f>P60*Q60</f>
        <v>133.22658346875002</v>
      </c>
      <c r="S60" s="3">
        <f>S59</f>
        <v>25</v>
      </c>
      <c r="T60" s="13">
        <f>+M60+S60/100</f>
        <v>10.8225</v>
      </c>
      <c r="U60" s="52">
        <f>(T60*60/27.2)*Q60</f>
        <v>136.37689284375</v>
      </c>
      <c r="V60" s="52">
        <f>U60-15</f>
        <v>121.37689284375</v>
      </c>
      <c r="Z60" s="54"/>
      <c r="AA60" s="54"/>
      <c r="AB60" s="54"/>
      <c r="AC60" s="54"/>
      <c r="AD60" s="54"/>
      <c r="AE60" s="55"/>
      <c r="AF60" s="54"/>
      <c r="AG60" s="56"/>
      <c r="AH60" s="54"/>
      <c r="AI60" s="54"/>
      <c r="AJ60" s="54"/>
      <c r="AK60" s="54"/>
      <c r="AL60" s="54"/>
      <c r="AM60" s="54"/>
    </row>
    <row r="61" spans="1:39" ht="25.8" x14ac:dyDescent="0.5">
      <c r="G61" s="3"/>
      <c r="H61" s="3"/>
      <c r="I61" s="3"/>
      <c r="J61" s="3"/>
      <c r="Z61" s="54"/>
      <c r="AA61" s="54"/>
      <c r="AB61" s="54"/>
      <c r="AC61" s="54"/>
      <c r="AD61" s="54"/>
      <c r="AE61" s="55"/>
      <c r="AF61" s="54"/>
      <c r="AG61" s="56"/>
      <c r="AH61" s="54"/>
      <c r="AI61" s="54"/>
      <c r="AJ61" s="54"/>
      <c r="AK61" s="54"/>
      <c r="AL61" s="54"/>
      <c r="AM61" s="54"/>
    </row>
    <row r="62" spans="1:39" ht="15.6" x14ac:dyDescent="0.3">
      <c r="Z62" s="54"/>
      <c r="AA62" s="54"/>
      <c r="AB62" s="54"/>
      <c r="AC62" s="54"/>
      <c r="AD62" s="54"/>
      <c r="AE62" s="55"/>
      <c r="AF62" s="54"/>
      <c r="AG62" s="56"/>
      <c r="AH62" s="54"/>
      <c r="AI62" s="54"/>
      <c r="AJ62" s="54"/>
      <c r="AK62" s="54"/>
      <c r="AL62" s="54"/>
      <c r="AM62" s="54"/>
    </row>
    <row r="63" spans="1:39" ht="15.6" x14ac:dyDescent="0.3">
      <c r="Z63" s="54" t="s">
        <v>68</v>
      </c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</row>
    <row r="64" spans="1:39" ht="15.6" x14ac:dyDescent="0.3">
      <c r="Z64" s="55">
        <v>45597</v>
      </c>
      <c r="AA64" s="54">
        <v>1007.5</v>
      </c>
      <c r="AB64" s="56">
        <v>-7.1000000000000004E-3</v>
      </c>
      <c r="AC64" s="54">
        <f>AA64/100</f>
        <v>10.074999999999999</v>
      </c>
      <c r="AD64" s="54"/>
      <c r="AE64" s="54"/>
      <c r="AF64" s="54"/>
      <c r="AG64" s="54"/>
      <c r="AH64" s="54"/>
      <c r="AI64" s="54"/>
      <c r="AJ64" s="54"/>
      <c r="AK64" s="54"/>
      <c r="AL64" s="54"/>
      <c r="AM64" s="54"/>
    </row>
    <row r="65" spans="17:39" ht="15.6" x14ac:dyDescent="0.3">
      <c r="Z65" s="55">
        <v>45658</v>
      </c>
      <c r="AA65" s="54">
        <v>1023.25</v>
      </c>
      <c r="AB65" s="56">
        <v>-8.0000000000000002E-3</v>
      </c>
      <c r="AC65" s="54">
        <f>AA65/100</f>
        <v>10.2325</v>
      </c>
      <c r="AD65" s="54"/>
      <c r="AE65" s="54"/>
      <c r="AF65" s="54"/>
      <c r="AG65" s="54"/>
      <c r="AH65" s="54"/>
      <c r="AI65" s="54"/>
      <c r="AJ65" s="54"/>
      <c r="AK65" s="54"/>
      <c r="AL65" s="54"/>
      <c r="AM65" s="54"/>
    </row>
    <row r="66" spans="17:39" ht="15.6" x14ac:dyDescent="0.3">
      <c r="Z66" s="55">
        <v>45717</v>
      </c>
      <c r="AA66" s="54">
        <v>1037.5</v>
      </c>
      <c r="AB66" s="56">
        <v>-8.6E-3</v>
      </c>
      <c r="AC66" s="54">
        <f>AA66/100</f>
        <v>10.375</v>
      </c>
      <c r="AD66" s="54"/>
      <c r="AE66" s="54"/>
      <c r="AF66" s="54"/>
      <c r="AG66" s="54"/>
      <c r="AH66" s="54"/>
      <c r="AI66" s="54"/>
      <c r="AJ66" s="54"/>
      <c r="AK66" s="54"/>
      <c r="AL66" s="54"/>
      <c r="AM66" s="54"/>
    </row>
    <row r="67" spans="17:39" ht="15.6" x14ac:dyDescent="0.3">
      <c r="Q67" s="9"/>
      <c r="Z67" s="55">
        <v>45778</v>
      </c>
      <c r="AA67" s="54">
        <v>1051.25</v>
      </c>
      <c r="AB67" s="56">
        <v>-9.4000000000000004E-3</v>
      </c>
      <c r="AC67" s="54">
        <f>AA67/100</f>
        <v>10.512499999999999</v>
      </c>
      <c r="AD67" s="54"/>
      <c r="AE67" s="54"/>
      <c r="AF67" s="54"/>
      <c r="AG67" s="54"/>
      <c r="AH67" s="54"/>
      <c r="AI67" s="54"/>
      <c r="AJ67" s="54"/>
      <c r="AK67" s="54"/>
      <c r="AL67" s="54"/>
      <c r="AM67" s="54"/>
    </row>
    <row r="68" spans="17:39" ht="15.6" x14ac:dyDescent="0.3">
      <c r="Q68" s="9"/>
      <c r="Z68" s="55">
        <v>45839</v>
      </c>
      <c r="AA68" s="54">
        <v>1063</v>
      </c>
      <c r="AB68" s="56">
        <v>-9.1000000000000004E-3</v>
      </c>
      <c r="AC68" s="54">
        <f>AA68/100</f>
        <v>10.63</v>
      </c>
      <c r="AD68" s="54"/>
      <c r="AE68" s="54"/>
      <c r="AF68" s="54"/>
      <c r="AG68" s="54"/>
      <c r="AH68" s="54"/>
      <c r="AI68" s="54"/>
      <c r="AJ68" s="54"/>
      <c r="AK68" s="54"/>
      <c r="AL68" s="54"/>
      <c r="AM68" s="54"/>
    </row>
    <row r="69" spans="17:39" ht="15.6" x14ac:dyDescent="0.3">
      <c r="Q69" s="9"/>
      <c r="Z69" s="55">
        <v>45870</v>
      </c>
      <c r="AA69" s="54">
        <v>1063.5</v>
      </c>
      <c r="AB69" s="56">
        <v>-8.6E-3</v>
      </c>
      <c r="AC69" s="54">
        <f t="shared" ref="AC69:AC70" si="12">AA69/100</f>
        <v>10.635</v>
      </c>
      <c r="AD69" s="54"/>
      <c r="AE69" s="54"/>
      <c r="AF69" s="54"/>
      <c r="AG69" s="54"/>
      <c r="AH69" s="54"/>
      <c r="AI69" s="54"/>
      <c r="AJ69" s="54"/>
      <c r="AK69" s="54"/>
      <c r="AL69" s="54"/>
      <c r="AM69" s="54"/>
    </row>
    <row r="70" spans="17:39" ht="15.6" x14ac:dyDescent="0.3">
      <c r="Z70" s="55">
        <v>45901</v>
      </c>
      <c r="AA70" s="54">
        <v>1056.25</v>
      </c>
      <c r="AB70" s="56">
        <v>-7.4999999999999997E-3</v>
      </c>
      <c r="AC70" s="54">
        <f t="shared" si="12"/>
        <v>10.5625</v>
      </c>
      <c r="AD70" s="54"/>
      <c r="AE70" s="54"/>
      <c r="AF70" s="54"/>
      <c r="AG70" s="54"/>
      <c r="AH70" s="54"/>
      <c r="AI70" s="54"/>
      <c r="AJ70" s="54"/>
      <c r="AK70" s="54"/>
      <c r="AL70" s="54"/>
      <c r="AM70" s="54"/>
    </row>
    <row r="71" spans="17:39" ht="15.6" x14ac:dyDescent="0.3">
      <c r="Z71" s="55">
        <v>45962</v>
      </c>
      <c r="AA71" s="54">
        <v>1057.25</v>
      </c>
      <c r="AB71" s="56">
        <v>-8.3999999999999995E-3</v>
      </c>
      <c r="AC71" s="54">
        <f>AA71/100</f>
        <v>10.5725</v>
      </c>
      <c r="AD71" s="54"/>
      <c r="AE71" s="54"/>
      <c r="AF71" s="54"/>
      <c r="AG71" s="54"/>
      <c r="AH71" s="54"/>
      <c r="AI71" s="54"/>
      <c r="AJ71" s="54"/>
      <c r="AK71" s="54"/>
      <c r="AL71" s="54"/>
      <c r="AM71" s="54"/>
    </row>
  </sheetData>
  <mergeCells count="3">
    <mergeCell ref="P2:Q2"/>
    <mergeCell ref="J21:M21"/>
    <mergeCell ref="Q21:U21"/>
  </mergeCells>
  <printOptions horizontalCentered="1" verticalCentered="1"/>
  <pageMargins left="0.31496062992125984" right="0.31496062992125984" top="0.39370078740157483" bottom="0.39370078740157483" header="0.31496062992125984" footer="0.31496062992125984"/>
  <pageSetup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Preco</vt:lpstr>
      <vt:lpstr>Preco!Area_de_impressao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Gaasa Trainee</dc:creator>
  <cp:lastModifiedBy>Gaasa Trainee</cp:lastModifiedBy>
  <dcterms:created xsi:type="dcterms:W3CDTF">2024-10-11T23:30:47Z</dcterms:created>
  <dcterms:modified xsi:type="dcterms:W3CDTF">2024-10-11T23:36:47Z</dcterms:modified>
</cp:coreProperties>
</file>