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field" sheetId="2" r:id="rId4"/>
    <sheet state="visible" name="misc estimations" sheetId="3" r:id="rId5"/>
    <sheet state="visible" name="mirror" sheetId="4" r:id="rId6"/>
    <sheet state="visible" name="Efficiency" sheetId="5" r:id="rId7"/>
    <sheet state="visible" name="regolith" sheetId="6"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H4">
      <text>
        <t xml:space="preserve">W/m2</t>
      </text>
    </comment>
    <comment authorId="0" ref="C6">
      <text>
        <t xml:space="preserve">for the length of one mirror module, 8 mirrors
half of pipe is insulated by insulation</t>
      </text>
    </comment>
    <comment authorId="0" ref="B7">
      <text>
        <t xml:space="preserve">Validation in misc estimations sheet</t>
      </text>
    </comment>
    <comment authorId="0" ref="G7">
      <text>
        <t xml:space="preserve">alluminium melting point + 50K for safety</t>
      </text>
    </comment>
    <comment authorId="0" ref="I8">
      <text>
        <t xml:space="preserve">accounting that not all pipe is at target temperature, if it is the case
needs tank output temperature.
atm just reference number, for comparison</t>
      </text>
    </comment>
    <comment authorId="0" ref="E12">
      <text>
        <t xml:space="preserve">Include mechanical efficiencies of engines turbines generators etc - overall coefficeint for the system</t>
      </text>
    </comment>
    <comment authorId="0" ref="G12">
      <text>
        <t xml:space="preserve">Thermal Energy Storage System.</t>
      </text>
    </comment>
    <comment authorId="0" ref="G15">
      <text>
        <t xml:space="preserve">Radiator is 2 sides
so, as to calculate dimensions we need half of the emitting surface number</t>
      </text>
    </comment>
    <comment authorId="0" ref="F20">
      <text>
        <t xml:space="preserve">Do not include efficiency of heat tank!</t>
      </text>
    </comment>
    <comment authorId="0" ref="C25">
      <text>
        <t xml:space="preserve">Temperature of heat carrier</t>
      </text>
    </comment>
    <comment authorId="0" ref="D25">
      <text>
        <t xml:space="preserve">indirect insolation or scatered emission of EM from the surface around installation</t>
      </text>
    </comment>
    <comment authorId="0" ref="E25">
      <text>
        <t xml:space="preserve">Temperature of heat carrier</t>
      </text>
    </comment>
    <comment authorId="0" ref="F25">
      <text>
        <t xml:space="preserve">indirect insolation or scatered emission of EM from the surface around installation</t>
      </text>
    </comment>
    <comment authorId="0" ref="H38">
      <text>
        <t xml:space="preserve">This is the energy released when the lava freezes, due to the phase change. The idea is to capture almost all of that. So, the energy released as it cools from 1600 K to 1400 K</t>
      </text>
    </comment>
  </commentList>
</comments>
</file>

<file path=xl/comments2.xml><?xml version="1.0" encoding="utf-8"?>
<comments xmlns:r="http://schemas.openxmlformats.org/officeDocument/2006/relationships" xmlns="http://schemas.openxmlformats.org/spreadsheetml/2006/main">
  <authors>
    <author/>
  </authors>
  <commentList>
    <comment authorId="0" ref="H4">
      <text>
        <t xml:space="preserve">W/m2</t>
      </text>
    </comment>
    <comment authorId="0" ref="C6">
      <text>
        <t xml:space="preserve">for the length of one mirror module, 8 mirrors
half of pipe is insulated by insulation</t>
      </text>
    </comment>
    <comment authorId="0" ref="B7">
      <text>
        <t xml:space="preserve">Validation in misc estimations sheet</t>
      </text>
    </comment>
    <comment authorId="0" ref="G7">
      <text>
        <t xml:space="preserve">alluminium melting point + 50K for safety</t>
      </text>
    </comment>
    <comment authorId="0" ref="I8">
      <text>
        <t xml:space="preserve">accounting that not all pipe is at target temperature, if it is the case
needs tank output temperature.
atm just reference number, for comparison</t>
      </text>
    </comment>
    <comment authorId="0" ref="E12">
      <text>
        <t xml:space="preserve">Include mechanical efficiencies of engines turbines generators etc - overall coefficeint for the system</t>
      </text>
    </comment>
    <comment authorId="0" ref="G12">
      <text>
        <t xml:space="preserve">Thermal Energy Storage System.</t>
      </text>
    </comment>
    <comment authorId="0" ref="G15">
      <text>
        <t xml:space="preserve">Radiator is 2 sides
so, as to calculate dimensions we need half of the emitting surface number</t>
      </text>
    </comment>
    <comment authorId="0" ref="F20">
      <text>
        <t xml:space="preserve">Do not include efficiency of heat tank!</t>
      </text>
    </comment>
    <comment authorId="0" ref="C25">
      <text>
        <t xml:space="preserve">Temperature of heat carrier</t>
      </text>
    </comment>
    <comment authorId="0" ref="D25">
      <text>
        <t xml:space="preserve">indirect insolation or scatered emission of EM from the surface around installation</t>
      </text>
    </comment>
    <comment authorId="0" ref="E25">
      <text>
        <t xml:space="preserve">Temperature of heat carrier</t>
      </text>
    </comment>
    <comment authorId="0" ref="F25">
      <text>
        <t xml:space="preserve">indirect insolation or scatered emission of EM from the surface around installation</t>
      </text>
    </comment>
    <comment authorId="0" ref="H38">
      <text>
        <t xml:space="preserve">This is the energy released when the lava freezes, due to the phase change. The idea is to capture almost all of that. So, the energy released as it cools from 1600 K to 1400 K</t>
      </text>
    </comment>
  </commentList>
</comments>
</file>

<file path=xl/sharedStrings.xml><?xml version="1.0" encoding="utf-8"?>
<sst xmlns="http://schemas.openxmlformats.org/spreadsheetml/2006/main" count="199" uniqueCount="108">
  <si>
    <t>Heat carrier fow for mirror system</t>
  </si>
  <si>
    <t>heat capacity,
J/kg*K</t>
  </si>
  <si>
    <t>density, kg/m3
liquid</t>
  </si>
  <si>
    <t>Solar Collector</t>
  </si>
  <si>
    <t>melting point,K</t>
  </si>
  <si>
    <t>Heat carrying
power, W</t>
  </si>
  <si>
    <t>Input temp, K</t>
  </si>
  <si>
    <t>Output temp, K</t>
  </si>
  <si>
    <t>Flow, m3</t>
  </si>
  <si>
    <t>Flow speed,m/s</t>
  </si>
  <si>
    <t>pipe diameter, m</t>
  </si>
  <si>
    <t>Alluminium</t>
  </si>
  <si>
    <t>Efficiency</t>
  </si>
  <si>
    <t>Width (chord)</t>
  </si>
  <si>
    <t>Gap</t>
  </si>
  <si>
    <t>Length</t>
  </si>
  <si>
    <t>Number
per heat store</t>
  </si>
  <si>
    <t>Total Area</t>
  </si>
  <si>
    <t>Reflectivity</t>
  </si>
  <si>
    <t>Sunlight strength</t>
  </si>
  <si>
    <t>Total, W</t>
  </si>
  <si>
    <t>Heat Capacity</t>
  </si>
  <si>
    <t>800 K</t>
  </si>
  <si>
    <t>1000 K</t>
  </si>
  <si>
    <t>1200 K</t>
  </si>
  <si>
    <t>1400 K</t>
  </si>
  <si>
    <t>1600 K</t>
  </si>
  <si>
    <t>1800 K</t>
  </si>
  <si>
    <t>Density</t>
  </si>
  <si>
    <t>Regolith</t>
  </si>
  <si>
    <t>Helium,10 bar</t>
  </si>
  <si>
    <t>Pipes</t>
  </si>
  <si>
    <t>Diameter, m</t>
  </si>
  <si>
    <t>Surface Area,
 m2</t>
  </si>
  <si>
    <t>Incident light,
total, W</t>
  </si>
  <si>
    <t>Incident light, on pipe,
per m2, W</t>
  </si>
  <si>
    <t>Incident light,
per m2, W</t>
  </si>
  <si>
    <t>SA per m</t>
  </si>
  <si>
    <t>Input temperature, K</t>
  </si>
  <si>
    <t>Target temperature K</t>
  </si>
  <si>
    <t>Emission,
per m2</t>
  </si>
  <si>
    <t>Total Heat
reaching Heat Store</t>
  </si>
  <si>
    <t>Heat Engine</t>
  </si>
  <si>
    <t>Hot End</t>
  </si>
  <si>
    <t>Cold End</t>
  </si>
  <si>
    <t>Carnot Limit
efifciency</t>
  </si>
  <si>
    <t>Mechanical
and other
efficiencies, total</t>
  </si>
  <si>
    <t>Final Efficiency
Estimate</t>
  </si>
  <si>
    <t>TESS unit constant output
average day+night</t>
  </si>
  <si>
    <t>In KW</t>
  </si>
  <si>
    <t>Waste heat, W</t>
  </si>
  <si>
    <t>Mirror system</t>
  </si>
  <si>
    <t>Pipes, heat transfer</t>
  </si>
  <si>
    <t>Heat engine</t>
  </si>
  <si>
    <t>total system efficeincy</t>
  </si>
  <si>
    <t>Radiator, flat design</t>
  </si>
  <si>
    <t>Input, K</t>
  </si>
  <si>
    <t>Output, K</t>
  </si>
  <si>
    <t>power, W</t>
  </si>
  <si>
    <t>Power, W/m2</t>
  </si>
  <si>
    <t>Radiator, hat design</t>
  </si>
  <si>
    <t>Surface area, m2</t>
  </si>
  <si>
    <t>Geometry, surface,m2</t>
  </si>
  <si>
    <t>total system efficency check</t>
  </si>
  <si>
    <t>Totals</t>
  </si>
  <si>
    <t>Heat Capacity, K</t>
  </si>
  <si>
    <t>Density, kg/m^3</t>
  </si>
  <si>
    <t>Solar Collector surface, m2</t>
  </si>
  <si>
    <t>Radiator surface, m2</t>
  </si>
  <si>
    <t>Power Electrical, average day+nigth, W</t>
  </si>
  <si>
    <t>Collector inpit, solar energy, W</t>
  </si>
  <si>
    <t>System efficeincy</t>
  </si>
  <si>
    <t>Stephan-Boltzmann constant</t>
  </si>
  <si>
    <t>Radiator</t>
  </si>
  <si>
    <t>surface area</t>
  </si>
  <si>
    <t>Day</t>
  </si>
  <si>
    <t>Night</t>
  </si>
  <si>
    <t>Orientation</t>
  </si>
  <si>
    <t>Emission, W</t>
  </si>
  <si>
    <t>type</t>
  </si>
  <si>
    <t>Temperature, K</t>
  </si>
  <si>
    <t>Scattered flow, W</t>
  </si>
  <si>
    <t>Temperature</t>
  </si>
  <si>
    <t>Scattered flow,W</t>
  </si>
  <si>
    <t>verical - double sided</t>
  </si>
  <si>
    <t>vertical, acurate emission</t>
  </si>
  <si>
    <t>vertical,
scatered light more realistical</t>
  </si>
  <si>
    <t>horizontal</t>
  </si>
  <si>
    <t>Efficiency, heat engine</t>
  </si>
  <si>
    <t>Hot end working temperature, K</t>
  </si>
  <si>
    <t>Temprature drop
 in radiator, K</t>
  </si>
  <si>
    <t>`</t>
  </si>
  <si>
    <t>Emission, W
for vertical accurate emission</t>
  </si>
  <si>
    <t>Heat Reservoir</t>
  </si>
  <si>
    <t>Radius</t>
  </si>
  <si>
    <t>Height</t>
  </si>
  <si>
    <t>Volume</t>
  </si>
  <si>
    <t>Bottom Area</t>
  </si>
  <si>
    <t>Surface Area</t>
  </si>
  <si>
    <t>Usable energy - all molten</t>
  </si>
  <si>
    <t xml:space="preserve">in MW </t>
  </si>
  <si>
    <t>over a day/night cycle</t>
  </si>
  <si>
    <t>Cylinder - Lava Store</t>
  </si>
  <si>
    <t>Heat Conductivity</t>
  </si>
  <si>
    <t>Heat transmission</t>
  </si>
  <si>
    <t>Titanium</t>
  </si>
  <si>
    <t>Thickness</t>
  </si>
  <si>
    <t>Bottom Height</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</si>
</sst>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00000"/>
    <numFmt numFmtId="165" formatCode="0.000"/>
    <numFmt numFmtId="166" formatCode="0.0"/>
    <numFmt numFmtId="167" formatCode="0.0000"/>
  </numFmts>
  <fonts count="7">
    <font>
      <sz val="10.0"/>
      <color rgb="FF000000"/>
      <name val="Arial"/>
    </font>
    <font/>
    <font>
      <sz val="14.0"/>
      <color rgb="FF000000"/>
      <name val="Arial"/>
    </font>
    <font>
      <u/>
      <color rgb="FF000000"/>
      <name val="Arial"/>
    </font>
    <font>
      <color rgb="FF000000"/>
      <name val="Arial"/>
    </font>
    <font>
      <b/>
      <sz val="14.0"/>
    </font>
    <font>
      <color rgb="FF212121"/>
      <name val="Inherit"/>
    </font>
  </fonts>
  <fills count="9">
    <fill>
      <patternFill patternType="none"/>
    </fill>
    <fill>
      <patternFill patternType="lightGray"/>
    </fill>
    <fill>
      <patternFill patternType="solid">
        <fgColor rgb="FFFFFFFF"/>
        <bgColor rgb="FFFFFFFF"/>
      </patternFill>
    </fill>
    <fill>
      <patternFill patternType="solid">
        <fgColor rgb="FFFFF2CC"/>
        <bgColor rgb="FFFFF2CC"/>
      </patternFill>
    </fill>
    <fill>
      <patternFill patternType="solid">
        <fgColor rgb="FFB6D7A8"/>
        <bgColor rgb="FFB6D7A8"/>
      </patternFill>
    </fill>
    <fill>
      <patternFill patternType="solid">
        <fgColor rgb="FFCFE2F3"/>
        <bgColor rgb="FFCFE2F3"/>
      </patternFill>
    </fill>
    <fill>
      <patternFill patternType="solid">
        <fgColor rgb="FFD0E0E3"/>
        <bgColor rgb="FFD0E0E3"/>
      </patternFill>
    </fill>
    <fill>
      <patternFill patternType="solid">
        <fgColor rgb="FFFCE5CD"/>
        <bgColor rgb="FFFCE5CD"/>
      </patternFill>
    </fill>
    <fill>
      <patternFill patternType="solid">
        <fgColor rgb="FFEAD1DC"/>
        <bgColor rgb="FFEAD1DC"/>
      </patternFill>
    </fill>
  </fills>
  <borders count="17">
    <border>
      <left/>
      <right/>
      <top/>
      <bottom/>
    </border>
    <border>
      <left style="thin">
        <color rgb="FFFF0000"/>
      </left>
      <right style="thin">
        <color rgb="FFFF0000"/>
      </right>
      <top style="thin">
        <color rgb="FFFF0000"/>
      </top>
      <bottom style="thin">
        <color rgb="FFFF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FF0000"/>
      </left>
      <right style="thin">
        <color rgb="FFFF0000"/>
      </right>
      <top style="thin">
        <color rgb="FFFF0000"/>
      </top>
      <bottom/>
    </border>
    <border>
      <left style="thin">
        <color rgb="FFFF0000"/>
      </left>
      <right style="thin">
        <color rgb="FFFF0000"/>
      </right>
      <top/>
      <bottom style="thin">
        <color rgb="FFFF0000"/>
      </bottom>
    </border>
    <border>
      <left style="thin">
        <color rgb="FF000000"/>
      </left>
      <right style="thin">
        <color rgb="FF000000"/>
      </right>
      <top style="thin">
        <color rgb="FF000000"/>
      </top>
      <bottom/>
    </border>
    <border>
      <left/>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border>
    <border>
      <left/>
      <right style="thin">
        <color rgb="FF000000"/>
      </right>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42">
    <xf borderId="0" fillId="0" fontId="0" numFmtId="0" xfId="0" applyAlignment="1" applyFont="1">
      <alignment/>
    </xf>
    <xf borderId="0" fillId="0" fontId="1" numFmtId="0" xfId="0" applyAlignment="1" applyFont="1">
      <alignment/>
    </xf>
    <xf borderId="0" fillId="2" fontId="2" numFmtId="0" xfId="0" applyAlignment="1" applyFill="1" applyFont="1">
      <alignment horizontal="center"/>
    </xf>
    <xf borderId="1" fillId="0" fontId="1" numFmtId="0" xfId="0" applyAlignment="1" applyBorder="1" applyFont="1">
      <alignment/>
    </xf>
    <xf borderId="0" fillId="3" fontId="1" numFmtId="0" xfId="0" applyAlignment="1" applyFill="1" applyFont="1">
      <alignment/>
    </xf>
    <xf borderId="2" fillId="2" fontId="3" numFmtId="0" xfId="0" applyAlignment="1" applyBorder="1" applyFont="1">
      <alignment horizontal="left"/>
    </xf>
    <xf borderId="2" fillId="0" fontId="1" numFmtId="0" xfId="0" applyAlignment="1" applyBorder="1" applyFont="1">
      <alignment/>
    </xf>
    <xf borderId="0" fillId="4" fontId="1" numFmtId="164" xfId="0" applyFill="1" applyFont="1" applyNumberFormat="1"/>
    <xf borderId="1" fillId="0" fontId="1" numFmtId="2" xfId="0" applyBorder="1" applyFont="1" applyNumberFormat="1"/>
    <xf borderId="0" fillId="5" fontId="1" numFmtId="0" xfId="0" applyAlignment="1" applyFill="1" applyFont="1">
      <alignment/>
    </xf>
    <xf borderId="0" fillId="4" fontId="1" numFmtId="0" xfId="0" applyFont="1"/>
    <xf borderId="0" fillId="2" fontId="4" numFmtId="0" xfId="0" applyAlignment="1" applyFont="1">
      <alignment horizontal="left"/>
    </xf>
    <xf borderId="2" fillId="2" fontId="4" numFmtId="0" xfId="0" applyAlignment="1" applyBorder="1" applyFont="1">
      <alignment horizontal="left"/>
    </xf>
    <xf borderId="2" fillId="0" fontId="1" numFmtId="0" xfId="0" applyAlignment="1" applyBorder="1" applyFont="1">
      <alignment wrapText="1"/>
    </xf>
    <xf borderId="0" fillId="6" fontId="1" numFmtId="0" xfId="0" applyAlignment="1" applyFill="1" applyFont="1">
      <alignment/>
    </xf>
    <xf borderId="0" fillId="0" fontId="1" numFmtId="2" xfId="0" applyFont="1" applyNumberFormat="1"/>
    <xf borderId="3" fillId="0" fontId="1" numFmtId="0" xfId="0" applyAlignment="1" applyBorder="1" applyFont="1">
      <alignment/>
    </xf>
    <xf borderId="0" fillId="0" fontId="1" numFmtId="165" xfId="0" applyFont="1" applyNumberFormat="1"/>
    <xf borderId="0" fillId="2" fontId="1" numFmtId="2" xfId="0" applyFont="1" applyNumberFormat="1"/>
    <xf borderId="1" fillId="0" fontId="1" numFmtId="0" xfId="0" applyBorder="1" applyFont="1"/>
    <xf borderId="0" fillId="2" fontId="1" numFmtId="0" xfId="0" applyFont="1"/>
    <xf borderId="0" fillId="7" fontId="1" numFmtId="166" xfId="0" applyFill="1" applyFont="1" applyNumberFormat="1"/>
    <xf borderId="0" fillId="0" fontId="1" numFmtId="1" xfId="0" applyFont="1" applyNumberFormat="1"/>
    <xf borderId="1" fillId="0" fontId="1" numFmtId="166" xfId="0" applyBorder="1" applyFont="1" applyNumberFormat="1"/>
    <xf borderId="4" fillId="0" fontId="5" numFmtId="0" xfId="0" applyAlignment="1" applyBorder="1" applyFont="1">
      <alignment horizontal="center" vertical="center" wrapText="1"/>
    </xf>
    <xf borderId="1" fillId="0" fontId="1" numFmtId="0" xfId="0" applyAlignment="1" applyBorder="1" applyFont="1">
      <alignment wrapText="1"/>
    </xf>
    <xf borderId="0" fillId="0" fontId="1" numFmtId="0" xfId="0" applyAlignment="1" applyFont="1">
      <alignment wrapText="1"/>
    </xf>
    <xf borderId="5" fillId="0" fontId="1" numFmtId="0" xfId="0" applyBorder="1" applyFont="1"/>
    <xf borderId="1" fillId="8" fontId="1" numFmtId="167" xfId="0" applyBorder="1" applyFill="1" applyFont="1" applyNumberFormat="1"/>
    <xf borderId="6" fillId="0" fontId="1" numFmtId="0" xfId="0" applyAlignment="1" applyBorder="1" applyFont="1">
      <alignment/>
    </xf>
    <xf borderId="7" fillId="0" fontId="1" numFmtId="0" xfId="0" applyBorder="1" applyFont="1"/>
    <xf borderId="8" fillId="0" fontId="1" numFmtId="0" xfId="0" applyAlignment="1" applyBorder="1" applyFont="1">
      <alignment/>
    </xf>
    <xf borderId="8" fillId="0" fontId="1" numFmtId="0" xfId="0" applyBorder="1" applyFont="1"/>
    <xf borderId="2" fillId="2" fontId="6" numFmtId="0" xfId="0" applyAlignment="1" applyBorder="1" applyFont="1">
      <alignment horizontal="left" wrapText="1"/>
    </xf>
    <xf borderId="9" fillId="0" fontId="1" numFmtId="0" xfId="0" applyAlignment="1" applyBorder="1" applyFont="1">
      <alignment/>
    </xf>
    <xf borderId="10" fillId="0" fontId="1" numFmtId="0" xfId="0" applyBorder="1" applyFont="1"/>
    <xf borderId="11" fillId="0" fontId="1" numFmtId="0" xfId="0" applyAlignment="1" applyBorder="1" applyFont="1">
      <alignment/>
    </xf>
    <xf borderId="12" fillId="0" fontId="1" numFmtId="0" xfId="0" applyAlignment="1" applyBorder="1" applyFont="1">
      <alignment/>
    </xf>
    <xf borderId="13" fillId="0" fontId="1" numFmtId="0" xfId="0" applyAlignment="1" applyBorder="1" applyFont="1">
      <alignment/>
    </xf>
    <xf borderId="14" fillId="0" fontId="1" numFmtId="0" xfId="0" applyAlignment="1" applyBorder="1" applyFont="1">
      <alignment/>
    </xf>
    <xf borderId="15" fillId="0" fontId="1" numFmtId="0" xfId="0" applyBorder="1" applyFont="1"/>
    <xf borderId="16" fillId="0" fontId="1" numFmtId="0" xfId="0" applyAlignment="1" applyBorder="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2.29"/>
    <col customWidth="1" min="2" max="2" width="17.0"/>
    <col customWidth="1" min="5" max="5" width="16.0"/>
    <col customWidth="1" min="6" max="6" width="15.43"/>
    <col customWidth="1" min="7" max="7" width="20.71"/>
    <col customWidth="1" min="8" max="8" width="20.14"/>
    <col customWidth="1" min="9" max="9" width="19.29"/>
    <col customWidth="1" min="11" max="11" width="16.86"/>
  </cols>
  <sheetData>
    <row r="1">
      <c r="A1" s="2" t="s">
        <v>3</v>
      </c>
    </row>
    <row r="2">
      <c r="A2" s="1"/>
      <c r="K2" s="3" t="s">
        <v>12</v>
      </c>
    </row>
    <row r="3">
      <c r="A3" s="5" t="str">
        <f>HYPERLINK("https://i.stack.imgur.com/iqVrk.png","Mirrors")</f>
        <v>Mirrors</v>
      </c>
      <c r="B3" s="6" t="s">
        <v>13</v>
      </c>
      <c r="C3" s="6" t="s">
        <v>14</v>
      </c>
      <c r="D3" s="6" t="s">
        <v>15</v>
      </c>
      <c r="E3" s="6" t="s">
        <v>16</v>
      </c>
      <c r="F3" s="6" t="s">
        <v>17</v>
      </c>
      <c r="G3" s="6" t="s">
        <v>18</v>
      </c>
      <c r="H3" s="6" t="s">
        <v>19</v>
      </c>
      <c r="I3" s="6" t="s">
        <v>20</v>
      </c>
      <c r="K3" s="8">
        <f>G4</f>
        <v>0.9</v>
      </c>
      <c r="M3" s="1" t="s">
        <v>21</v>
      </c>
      <c r="N3" s="1" t="s">
        <v>22</v>
      </c>
      <c r="O3" s="1" t="s">
        <v>23</v>
      </c>
      <c r="P3" s="1" t="s">
        <v>24</v>
      </c>
      <c r="Q3" s="1" t="s">
        <v>25</v>
      </c>
      <c r="R3" s="1" t="s">
        <v>26</v>
      </c>
      <c r="S3" s="1" t="s">
        <v>27</v>
      </c>
      <c r="T3" s="1" t="s">
        <v>28</v>
      </c>
    </row>
    <row r="4">
      <c r="A4" s="1"/>
      <c r="B4" s="1">
        <v>22.5</v>
      </c>
      <c r="C4" s="1">
        <v>0.75</v>
      </c>
      <c r="D4" s="1">
        <v>20.0</v>
      </c>
      <c r="E4" s="1">
        <v>8.0</v>
      </c>
      <c r="F4">
        <f>(B4-C4)*D4*E4</f>
        <v>3480</v>
      </c>
      <c r="G4" s="1">
        <v>0.9</v>
      </c>
      <c r="H4" s="1">
        <v>1360.0</v>
      </c>
      <c r="I4">
        <f>F4*H4*G4</f>
        <v>4259520</v>
      </c>
      <c r="M4" s="1" t="s">
        <v>29</v>
      </c>
      <c r="N4" s="1">
        <v>1250.0</v>
      </c>
      <c r="O4" s="1">
        <v>1300.0</v>
      </c>
      <c r="P4" s="1">
        <v>1350.0</v>
      </c>
      <c r="Q4" s="1">
        <v>2850.0</v>
      </c>
      <c r="R4" s="1">
        <v>2950.0</v>
      </c>
      <c r="S4" s="1">
        <v>1600.0</v>
      </c>
      <c r="T4" s="1">
        <v>3000.0</v>
      </c>
    </row>
    <row r="5">
      <c r="A5" s="11"/>
      <c r="B5" s="1"/>
      <c r="C5" s="1"/>
      <c r="D5" s="1"/>
      <c r="E5" s="1"/>
      <c r="F5" s="1"/>
      <c r="G5" s="1"/>
      <c r="H5" s="1"/>
      <c r="I5" s="1"/>
      <c r="K5" s="1"/>
      <c r="L5" s="1"/>
      <c r="M5" s="1"/>
    </row>
    <row r="6">
      <c r="A6" s="12" t="s">
        <v>31</v>
      </c>
      <c r="B6" s="6" t="s">
        <v>32</v>
      </c>
      <c r="C6" s="6" t="s">
        <v>33</v>
      </c>
      <c r="D6" s="6" t="s">
        <v>34</v>
      </c>
      <c r="E6" s="13" t="s">
        <v>35</v>
      </c>
      <c r="F6" s="6" t="s">
        <v>37</v>
      </c>
      <c r="G6" s="6" t="s">
        <v>38</v>
      </c>
      <c r="H6" s="6" t="s">
        <v>39</v>
      </c>
      <c r="I6" s="6" t="s">
        <v>40</v>
      </c>
      <c r="J6" s="6" t="s">
        <v>41</v>
      </c>
      <c r="L6" s="1"/>
      <c r="M6" s="1"/>
    </row>
    <row r="7">
      <c r="A7" s="1"/>
      <c r="B7" s="14">
        <v>0.031</v>
      </c>
      <c r="C7">
        <f>B7*3.14*D4*E4/2</f>
        <v>7.7872</v>
      </c>
      <c r="D7">
        <f>I4</f>
        <v>4259520</v>
      </c>
      <c r="E7">
        <f>D7/C7</f>
        <v>546989.9322</v>
      </c>
      <c r="F7">
        <f>B7/2*3.14</f>
        <v>0.04867</v>
      </c>
      <c r="G7">
        <f>660.3+273+50</f>
        <v>983.3</v>
      </c>
      <c r="H7" s="1">
        <v>1450.0</v>
      </c>
      <c r="I7">
        <f>B22*H7^4</f>
        <v>250642.7044</v>
      </c>
      <c r="J7">
        <f>(E7-I7)*C7</f>
        <v>2307715.132</v>
      </c>
      <c r="K7" s="8">
        <f>J7/D7</f>
        <v>0.5417782127</v>
      </c>
    </row>
    <row r="8">
      <c r="A8" s="1"/>
      <c r="I8">
        <f>B22/5 * (H7^5-G7^5)/(H7-G7)</f>
        <v>133409.4105</v>
      </c>
      <c r="J8">
        <f>(E7-I8)*C7</f>
        <v>3220634.238</v>
      </c>
      <c r="K8" s="8">
        <f>J8/D7</f>
        <v>0.7561026215</v>
      </c>
    </row>
    <row r="9">
      <c r="A9" s="1"/>
    </row>
    <row r="10">
      <c r="A10" s="1"/>
    </row>
    <row r="11">
      <c r="A11" s="1"/>
    </row>
    <row r="12">
      <c r="A12" s="6" t="s">
        <v>42</v>
      </c>
      <c r="B12" s="6" t="s">
        <v>43</v>
      </c>
      <c r="C12" s="6" t="s">
        <v>44</v>
      </c>
      <c r="D12" s="6" t="s">
        <v>45</v>
      </c>
      <c r="E12" s="6" t="s">
        <v>46</v>
      </c>
      <c r="F12" s="6" t="s">
        <v>47</v>
      </c>
      <c r="G12" s="6" t="s">
        <v>48</v>
      </c>
      <c r="H12" s="16" t="s">
        <v>49</v>
      </c>
      <c r="I12" s="3" t="s">
        <v>50</v>
      </c>
    </row>
    <row r="13">
      <c r="B13">
        <f>H7-150</f>
        <v>1300</v>
      </c>
      <c r="C13" s="1">
        <v>300.0</v>
      </c>
      <c r="D13" s="15">
        <f>(B13-C13)/B13</f>
        <v>0.7692307692</v>
      </c>
      <c r="E13" s="1">
        <v>0.7</v>
      </c>
      <c r="F13" s="17">
        <f>D13*E13</f>
        <v>0.5384615385</v>
      </c>
      <c r="G13" s="1">
        <f>J7*F13/2</f>
        <v>621307.9203</v>
      </c>
      <c r="H13">
        <f>G13/1000</f>
        <v>621.3079203</v>
      </c>
      <c r="I13" s="19">
        <f>G13/F13-G13</f>
        <v>532549.646</v>
      </c>
      <c r="K13" s="1"/>
      <c r="L13" s="1"/>
    </row>
    <row r="15">
      <c r="A15" s="6" t="s">
        <v>60</v>
      </c>
      <c r="B15" s="6" t="s">
        <v>56</v>
      </c>
      <c r="C15" s="6" t="s">
        <v>57</v>
      </c>
      <c r="D15" s="6" t="s">
        <v>58</v>
      </c>
      <c r="E15" s="6" t="s">
        <v>59</v>
      </c>
      <c r="F15" s="16" t="s">
        <v>61</v>
      </c>
      <c r="G15" s="3" t="s">
        <v>62</v>
      </c>
    </row>
    <row r="16">
      <c r="B16" s="1">
        <v>320.0</v>
      </c>
      <c r="C16" s="1">
        <v>300.0</v>
      </c>
      <c r="D16" s="21">
        <f>I13</f>
        <v>532549.646</v>
      </c>
      <c r="E16" s="15">
        <f>B22/5*(B16^5-C16^5)/(B16-C16)</f>
        <v>524.7262944</v>
      </c>
      <c r="F16" s="22">
        <f>D16/E16</f>
        <v>1014.909395</v>
      </c>
      <c r="G16" s="23">
        <f>F16/2</f>
        <v>507.4546975</v>
      </c>
    </row>
    <row r="19">
      <c r="A19" s="24" t="s">
        <v>64</v>
      </c>
      <c r="B19" s="25" t="s">
        <v>67</v>
      </c>
      <c r="C19" s="25" t="s">
        <v>68</v>
      </c>
      <c r="D19" s="25" t="s">
        <v>69</v>
      </c>
      <c r="E19" s="25" t="s">
        <v>70</v>
      </c>
      <c r="F19" s="25" t="s">
        <v>71</v>
      </c>
      <c r="G19" s="26"/>
      <c r="H19" s="26"/>
    </row>
    <row r="20">
      <c r="A20" s="27"/>
      <c r="B20" s="19">
        <f>F4</f>
        <v>3480</v>
      </c>
      <c r="C20" s="23">
        <f>G16</f>
        <v>507.4546975</v>
      </c>
      <c r="D20" s="23">
        <f>G13</f>
        <v>621307.9203</v>
      </c>
      <c r="E20" s="19">
        <f>F4*H4</f>
        <v>4732800</v>
      </c>
      <c r="F20" s="28">
        <f>D20*2/E20</f>
        <v>0.2625540569</v>
      </c>
    </row>
    <row r="22">
      <c r="A22" s="1" t="s">
        <v>72</v>
      </c>
      <c r="B22" s="1">
        <f>5.67*10^-8</f>
        <v>0.0000000567</v>
      </c>
      <c r="C22" s="1"/>
    </row>
    <row r="24">
      <c r="A24" s="6" t="s">
        <v>73</v>
      </c>
      <c r="B24" s="29" t="s">
        <v>74</v>
      </c>
      <c r="C24" s="16" t="s">
        <v>75</v>
      </c>
      <c r="D24" s="30"/>
      <c r="E24" s="16" t="s">
        <v>76</v>
      </c>
      <c r="F24" s="30"/>
      <c r="G24" s="16" t="s">
        <v>77</v>
      </c>
      <c r="H24" s="16" t="s">
        <v>78</v>
      </c>
      <c r="I24" s="30"/>
    </row>
    <row r="25">
      <c r="A25" s="31" t="s">
        <v>79</v>
      </c>
      <c r="B25" s="32"/>
      <c r="C25" s="6" t="s">
        <v>80</v>
      </c>
      <c r="D25" s="33" t="s">
        <v>81</v>
      </c>
      <c r="E25" s="6" t="s">
        <v>82</v>
      </c>
      <c r="F25" s="33" t="s">
        <v>83</v>
      </c>
      <c r="G25" s="6" t="s">
        <v>84</v>
      </c>
      <c r="H25" s="6" t="s">
        <v>75</v>
      </c>
      <c r="I25" s="6" t="s">
        <v>76</v>
      </c>
    </row>
    <row r="26">
      <c r="A26" s="1" t="s">
        <v>85</v>
      </c>
      <c r="B26" s="1">
        <v>1.0</v>
      </c>
      <c r="C26" s="1">
        <v>400.0</v>
      </c>
      <c r="D26" s="1">
        <f>0.8*1360</f>
        <v>1088</v>
      </c>
      <c r="E26" s="1">
        <v>400.0</v>
      </c>
      <c r="F26" s="1">
        <f>400^4*B22/2*0.8</f>
        <v>580.608</v>
      </c>
      <c r="G26" s="1">
        <v>1.0</v>
      </c>
      <c r="H26">
        <f>(B22*C26^4-D26)*(1+G26)*B26</f>
        <v>727.04</v>
      </c>
      <c r="I26">
        <f>(B22*E26^4-F26)*(1+G26)*B26</f>
        <v>1741.824</v>
      </c>
    </row>
    <row r="27">
      <c r="A27" s="1" t="s">
        <v>86</v>
      </c>
      <c r="B27" s="1">
        <v>10000.0</v>
      </c>
      <c r="C27" s="1">
        <v>380.0</v>
      </c>
      <c r="D27" s="1">
        <f>(0.12*1360/2 +400^4*B22/2)*0.8</f>
        <v>645.888</v>
      </c>
      <c r="E27" s="1">
        <v>330.0</v>
      </c>
      <c r="F27" s="1">
        <f>200^4*B22/2*0.8</f>
        <v>36.288</v>
      </c>
      <c r="G27" s="1">
        <v>1.0</v>
      </c>
      <c r="H27">
        <f>(B22*C27^4-D27)*(1+G27)*B27</f>
        <v>10727682.24</v>
      </c>
      <c r="I27">
        <f>(B22*E27^4-F27)*(1+G27)*B27</f>
        <v>12722584.14</v>
      </c>
    </row>
    <row r="28">
      <c r="A28" s="1" t="s">
        <v>87</v>
      </c>
      <c r="B28" s="1">
        <v>10000.0</v>
      </c>
      <c r="C28" s="1">
        <v>460.0</v>
      </c>
      <c r="D28" s="1">
        <f>1*1360</f>
        <v>1360</v>
      </c>
      <c r="E28" s="1">
        <v>370.0</v>
      </c>
      <c r="F28" s="1">
        <f>0*1360</f>
        <v>0</v>
      </c>
      <c r="G28" s="1">
        <v>0.0</v>
      </c>
      <c r="H28">
        <f>(B22*C28^4-D28)*(1+G28)*B28</f>
        <v>11787175.52</v>
      </c>
      <c r="I28">
        <f>(B22*E28^4-F28)*(1+G28)*B28</f>
        <v>10626492.87</v>
      </c>
    </row>
    <row r="29">
      <c r="A29" s="1"/>
      <c r="B29" s="1"/>
      <c r="C29" s="1"/>
      <c r="D29" s="1"/>
      <c r="E29" s="1"/>
      <c r="F29" s="1"/>
      <c r="G29" s="1"/>
      <c r="I29" s="1"/>
      <c r="J29" s="1"/>
      <c r="K29" s="1"/>
    </row>
    <row r="30">
      <c r="A30" s="1"/>
      <c r="B30" s="1"/>
      <c r="C30" s="1"/>
      <c r="D30" s="1"/>
      <c r="E30" s="1"/>
      <c r="F30" s="1"/>
      <c r="G30" s="1"/>
      <c r="I30" s="1"/>
      <c r="J30" s="1"/>
      <c r="K30" s="1"/>
    </row>
    <row r="31">
      <c r="A31" s="6" t="s">
        <v>88</v>
      </c>
      <c r="B31" s="16" t="s">
        <v>89</v>
      </c>
      <c r="C31" s="30"/>
      <c r="D31" s="30"/>
      <c r="E31" s="30"/>
      <c r="F31" s="30"/>
      <c r="G31" s="6" t="s">
        <v>90</v>
      </c>
      <c r="I31" s="1" t="s">
        <v>91</v>
      </c>
      <c r="J31" s="1" t="s">
        <v>92</v>
      </c>
    </row>
    <row r="32">
      <c r="A32" s="34">
        <v>0.5</v>
      </c>
      <c r="B32" s="35"/>
      <c r="C32" s="35">
        <f t="shared" ref="C32:C34" si="1">(C26-G32)/(1-A32)</f>
        <v>700</v>
      </c>
      <c r="D32" s="35"/>
      <c r="E32" s="35">
        <f t="shared" ref="E32:E34" si="2">(E26-G32)/(1-A32)</f>
        <v>700</v>
      </c>
      <c r="F32" s="35"/>
      <c r="G32" s="36">
        <v>50.0</v>
      </c>
      <c r="J32">
        <f>(B22/5 *(C26^5-(C26-G32)^5)/G32 -D26) *B26 *(1+G26)</f>
        <v>86.47175</v>
      </c>
      <c r="K32">
        <f>(B22/5 *(E26^5-(E26-G32)^5)/G32 -F26) *B26*(1+G26)</f>
        <v>1101.25575</v>
      </c>
    </row>
    <row r="33">
      <c r="A33" s="37">
        <v>0.3</v>
      </c>
      <c r="C33">
        <f t="shared" si="1"/>
        <v>471.4285714</v>
      </c>
      <c r="E33">
        <f t="shared" si="2"/>
        <v>400</v>
      </c>
      <c r="G33" s="38">
        <v>50.0</v>
      </c>
    </row>
    <row r="34">
      <c r="A34" s="39">
        <v>0.7</v>
      </c>
      <c r="B34" s="40"/>
      <c r="C34" s="40">
        <f t="shared" si="1"/>
        <v>1366.666667</v>
      </c>
      <c r="D34" s="40"/>
      <c r="E34" s="40">
        <f t="shared" si="2"/>
        <v>1066.666667</v>
      </c>
      <c r="F34" s="40"/>
      <c r="G34" s="41">
        <v>50.0</v>
      </c>
    </row>
    <row r="35">
      <c r="A35" s="1"/>
    </row>
    <row r="36">
      <c r="A36" s="1" t="s">
        <v>93</v>
      </c>
    </row>
    <row r="37">
      <c r="B37" s="1" t="s">
        <v>94</v>
      </c>
      <c r="C37" s="1" t="s">
        <v>95</v>
      </c>
      <c r="D37" s="1" t="s">
        <v>96</v>
      </c>
      <c r="E37" s="1" t="s">
        <v>97</v>
      </c>
      <c r="F37" s="1" t="s">
        <v>98</v>
      </c>
      <c r="H37" s="1" t="s">
        <v>99</v>
      </c>
      <c r="I37" s="1" t="s">
        <v>100</v>
      </c>
      <c r="J37" s="1" t="s">
        <v>101</v>
      </c>
    </row>
    <row r="38">
      <c r="A38" s="1" t="s">
        <v>102</v>
      </c>
      <c r="B38" s="1">
        <v>10.0</v>
      </c>
      <c r="C38" s="1">
        <v>25.0</v>
      </c>
      <c r="D38">
        <f>B38^2*3.14*C38</f>
        <v>7850</v>
      </c>
      <c r="E38">
        <f>B38^2*3.14</f>
        <v>314</v>
      </c>
      <c r="F38">
        <f>E38+(B38*2*3.14*C38)</f>
        <v>1884</v>
      </c>
      <c r="H38">
        <f>T4*D38*((Q4+R4)/2)*200</f>
        <v>13659000000000</v>
      </c>
      <c r="I38">
        <f>H38/1000000</f>
        <v>13659000</v>
      </c>
      <c r="J38">
        <f>I38/(660*3600)</f>
        <v>5.748737374</v>
      </c>
      <c r="K38" s="1" t="s">
        <v>103</v>
      </c>
    </row>
    <row r="39">
      <c r="G39" s="1" t="s">
        <v>104</v>
      </c>
      <c r="J39" s="1" t="s">
        <v>105</v>
      </c>
      <c r="K39" s="1">
        <v>22.0</v>
      </c>
    </row>
    <row r="40">
      <c r="A40" s="1"/>
      <c r="B40" s="1"/>
      <c r="D40" s="1" t="s">
        <v>106</v>
      </c>
      <c r="E40" s="1" t="s">
        <v>107</v>
      </c>
    </row>
    <row r="48">
      <c r="A48" s="1"/>
      <c r="C48" s="1"/>
    </row>
    <row r="49">
      <c r="A49" s="1"/>
    </row>
  </sheetData>
  <mergeCells count="7">
    <mergeCell ref="C24:D24"/>
    <mergeCell ref="E24:F24"/>
    <mergeCell ref="H24:I24"/>
    <mergeCell ref="B31:F31"/>
    <mergeCell ref="J31:K31"/>
    <mergeCell ref="A1:I1"/>
    <mergeCell ref="A19:A20"/>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2.29"/>
    <col customWidth="1" min="2" max="2" width="17.0"/>
    <col customWidth="1" min="5" max="5" width="16.0"/>
    <col customWidth="1" min="6" max="6" width="15.43"/>
    <col customWidth="1" min="7" max="7" width="20.71"/>
    <col customWidth="1" min="8" max="8" width="20.14"/>
    <col customWidth="1" min="9" max="9" width="19.29"/>
    <col customWidth="1" min="11" max="11" width="16.86"/>
  </cols>
  <sheetData>
    <row r="1">
      <c r="A1" s="2" t="s">
        <v>3</v>
      </c>
    </row>
    <row r="2">
      <c r="A2" s="1"/>
      <c r="K2" s="3" t="s">
        <v>12</v>
      </c>
    </row>
    <row r="3">
      <c r="A3" s="5" t="str">
        <f>HYPERLINK("https://i.stack.imgur.com/iqVrk.png","Mirrors")</f>
        <v>Mirrors</v>
      </c>
      <c r="B3" s="6" t="s">
        <v>13</v>
      </c>
      <c r="C3" s="6" t="s">
        <v>14</v>
      </c>
      <c r="D3" s="6" t="s">
        <v>15</v>
      </c>
      <c r="E3" s="6" t="s">
        <v>16</v>
      </c>
      <c r="F3" s="6" t="s">
        <v>17</v>
      </c>
      <c r="G3" s="6" t="s">
        <v>18</v>
      </c>
      <c r="H3" s="6" t="s">
        <v>19</v>
      </c>
      <c r="I3" s="6" t="s">
        <v>20</v>
      </c>
      <c r="K3" s="8">
        <f>G4</f>
        <v>0.9</v>
      </c>
      <c r="M3" s="1" t="s">
        <v>21</v>
      </c>
      <c r="N3" s="1" t="s">
        <v>22</v>
      </c>
      <c r="O3" s="1" t="s">
        <v>23</v>
      </c>
      <c r="P3" s="1" t="s">
        <v>24</v>
      </c>
      <c r="Q3" s="1" t="s">
        <v>25</v>
      </c>
      <c r="R3" s="1" t="s">
        <v>26</v>
      </c>
      <c r="S3" s="1" t="s">
        <v>27</v>
      </c>
      <c r="T3" s="1" t="s">
        <v>28</v>
      </c>
    </row>
    <row r="4">
      <c r="A4" s="1"/>
      <c r="B4" s="1">
        <v>22.5</v>
      </c>
      <c r="C4" s="1">
        <v>0.75</v>
      </c>
      <c r="D4" s="1">
        <v>20.0</v>
      </c>
      <c r="E4" s="1">
        <v>8.0</v>
      </c>
      <c r="F4">
        <f>(B4-C4)*D4*E4</f>
        <v>3480</v>
      </c>
      <c r="G4" s="1">
        <v>0.9</v>
      </c>
      <c r="H4" s="1">
        <v>1360.0</v>
      </c>
      <c r="I4">
        <f>F4*H4*G4</f>
        <v>4259520</v>
      </c>
      <c r="M4" s="1" t="s">
        <v>29</v>
      </c>
      <c r="N4" s="1">
        <v>1250.0</v>
      </c>
      <c r="O4" s="1">
        <v>1300.0</v>
      </c>
      <c r="P4" s="1">
        <v>1350.0</v>
      </c>
      <c r="Q4" s="1">
        <v>2850.0</v>
      </c>
      <c r="R4" s="1">
        <v>2950.0</v>
      </c>
      <c r="S4" s="1">
        <v>1600.0</v>
      </c>
      <c r="T4" s="1">
        <v>3000.0</v>
      </c>
    </row>
    <row r="5">
      <c r="A5" s="11"/>
      <c r="B5" s="1"/>
      <c r="C5" s="1"/>
      <c r="D5" s="1"/>
      <c r="E5" s="1"/>
      <c r="F5" s="1"/>
      <c r="G5" s="1"/>
      <c r="H5" s="1"/>
      <c r="I5" s="1"/>
      <c r="K5" s="1"/>
      <c r="L5" s="1"/>
      <c r="M5" s="1"/>
    </row>
    <row r="6">
      <c r="A6" s="12" t="s">
        <v>31</v>
      </c>
      <c r="B6" s="6" t="s">
        <v>32</v>
      </c>
      <c r="C6" s="6" t="s">
        <v>33</v>
      </c>
      <c r="D6" s="6" t="s">
        <v>34</v>
      </c>
      <c r="E6" s="6" t="s">
        <v>36</v>
      </c>
      <c r="F6" s="6" t="s">
        <v>37</v>
      </c>
      <c r="G6" s="6" t="s">
        <v>38</v>
      </c>
      <c r="H6" s="6" t="s">
        <v>39</v>
      </c>
      <c r="I6" s="6" t="s">
        <v>40</v>
      </c>
      <c r="J6" s="6" t="s">
        <v>41</v>
      </c>
      <c r="L6" s="1"/>
      <c r="M6" s="1"/>
    </row>
    <row r="7">
      <c r="A7" s="1"/>
      <c r="B7" s="14">
        <v>0.0068</v>
      </c>
      <c r="C7">
        <f>B7*3.14*D4*E4/2</f>
        <v>1.70816</v>
      </c>
      <c r="D7">
        <f>I4</f>
        <v>4259520</v>
      </c>
      <c r="E7">
        <f>D7/C7</f>
        <v>2493630.573</v>
      </c>
      <c r="F7">
        <f>B7/2*3.14</f>
        <v>0.010676</v>
      </c>
      <c r="G7" s="1">
        <v>400.0</v>
      </c>
      <c r="H7" s="1">
        <v>800.0</v>
      </c>
      <c r="I7">
        <f>B22*H7^4</f>
        <v>23224.32</v>
      </c>
      <c r="J7">
        <f>(E7-I7)*C7</f>
        <v>4219849.146</v>
      </c>
      <c r="K7" s="8">
        <f>J7/D7</f>
        <v>0.9906865434</v>
      </c>
    </row>
    <row r="8">
      <c r="A8" s="1"/>
      <c r="I8">
        <f>B22/5 * (H7^5-G7^5)/(H7-G7)</f>
        <v>8999.424</v>
      </c>
      <c r="J8" s="15">
        <f>(E7-I8)*C7</f>
        <v>4244147.544</v>
      </c>
      <c r="K8" s="8">
        <f>J8/D7</f>
        <v>0.9963910356</v>
      </c>
    </row>
    <row r="9">
      <c r="A9" s="1"/>
    </row>
    <row r="10">
      <c r="A10" s="1"/>
    </row>
    <row r="11">
      <c r="A11" s="1"/>
    </row>
    <row r="12">
      <c r="A12" s="6" t="s">
        <v>42</v>
      </c>
      <c r="B12" s="6" t="s">
        <v>43</v>
      </c>
      <c r="C12" s="6" t="s">
        <v>44</v>
      </c>
      <c r="D12" s="6" t="s">
        <v>45</v>
      </c>
      <c r="E12" s="6" t="s">
        <v>46</v>
      </c>
      <c r="F12" s="6" t="s">
        <v>47</v>
      </c>
      <c r="G12" s="6" t="s">
        <v>48</v>
      </c>
      <c r="H12" s="16" t="s">
        <v>49</v>
      </c>
      <c r="I12" s="3" t="s">
        <v>50</v>
      </c>
    </row>
    <row r="13">
      <c r="B13">
        <f>H7</f>
        <v>800</v>
      </c>
      <c r="C13" s="1">
        <v>250.0</v>
      </c>
      <c r="D13" s="15">
        <f>(B13-C13)/B13</f>
        <v>0.6875</v>
      </c>
      <c r="E13" s="1">
        <v>0.7</v>
      </c>
      <c r="F13" s="17">
        <f>D13*E13</f>
        <v>0.48125</v>
      </c>
      <c r="G13" s="1">
        <f>J7*F13/2</f>
        <v>1015401.201</v>
      </c>
      <c r="H13">
        <f>G13/1000</f>
        <v>1015.401201</v>
      </c>
      <c r="I13" s="19">
        <f>G13/F13-G13</f>
        <v>1094523.372</v>
      </c>
      <c r="K13" s="1"/>
      <c r="L13" s="1"/>
    </row>
    <row r="15">
      <c r="A15" s="6" t="s">
        <v>55</v>
      </c>
      <c r="B15" s="6" t="s">
        <v>56</v>
      </c>
      <c r="C15" s="6" t="s">
        <v>57</v>
      </c>
      <c r="D15" s="6" t="s">
        <v>58</v>
      </c>
      <c r="E15" s="6" t="s">
        <v>59</v>
      </c>
      <c r="F15" s="16" t="s">
        <v>61</v>
      </c>
      <c r="G15" s="3" t="s">
        <v>62</v>
      </c>
    </row>
    <row r="16">
      <c r="B16" s="1">
        <f>C13+20</f>
        <v>270</v>
      </c>
      <c r="C16" s="1">
        <f>C13</f>
        <v>250</v>
      </c>
      <c r="D16" s="21">
        <f>I13</f>
        <v>1094523.372</v>
      </c>
      <c r="E16" s="15">
        <f>B22/5*(B16^5-C16^5)/(B16-C16)</f>
        <v>259.8720894</v>
      </c>
      <c r="F16" s="22">
        <f>D16/E16</f>
        <v>4211.77732</v>
      </c>
      <c r="G16" s="23">
        <f>F16</f>
        <v>4211.77732</v>
      </c>
    </row>
    <row r="19">
      <c r="A19" s="24" t="s">
        <v>64</v>
      </c>
      <c r="B19" s="25" t="s">
        <v>67</v>
      </c>
      <c r="C19" s="25" t="s">
        <v>68</v>
      </c>
      <c r="D19" s="25" t="s">
        <v>69</v>
      </c>
      <c r="E19" s="25" t="s">
        <v>70</v>
      </c>
      <c r="F19" s="25" t="s">
        <v>71</v>
      </c>
      <c r="G19" s="26"/>
      <c r="H19" s="26"/>
    </row>
    <row r="20">
      <c r="A20" s="27"/>
      <c r="B20" s="19">
        <f>F4</f>
        <v>3480</v>
      </c>
      <c r="C20" s="23">
        <f>G16</f>
        <v>4211.77732</v>
      </c>
      <c r="D20" s="23">
        <f>G13</f>
        <v>1015401.201</v>
      </c>
      <c r="E20" s="19">
        <f>F4*H4</f>
        <v>4732800</v>
      </c>
      <c r="F20" s="28">
        <f>D20*2/E20</f>
        <v>0.4290911091</v>
      </c>
    </row>
    <row r="22">
      <c r="A22" s="1" t="s">
        <v>72</v>
      </c>
      <c r="B22" s="1">
        <f>5.67*10^-8</f>
        <v>0.0000000567</v>
      </c>
      <c r="C22" s="1"/>
    </row>
    <row r="24">
      <c r="A24" s="6" t="s">
        <v>73</v>
      </c>
      <c r="B24" s="29" t="s">
        <v>74</v>
      </c>
      <c r="C24" s="16" t="s">
        <v>75</v>
      </c>
      <c r="D24" s="30"/>
      <c r="E24" s="16" t="s">
        <v>76</v>
      </c>
      <c r="F24" s="30"/>
      <c r="G24" s="16" t="s">
        <v>77</v>
      </c>
      <c r="H24" s="16" t="s">
        <v>78</v>
      </c>
      <c r="I24" s="30"/>
    </row>
    <row r="25">
      <c r="A25" s="31" t="s">
        <v>79</v>
      </c>
      <c r="B25" s="32"/>
      <c r="C25" s="6" t="s">
        <v>80</v>
      </c>
      <c r="D25" s="33" t="s">
        <v>81</v>
      </c>
      <c r="E25" s="6" t="s">
        <v>82</v>
      </c>
      <c r="F25" s="33" t="s">
        <v>83</v>
      </c>
      <c r="G25" s="6" t="s">
        <v>84</v>
      </c>
      <c r="H25" s="6" t="s">
        <v>75</v>
      </c>
      <c r="I25" s="6" t="s">
        <v>76</v>
      </c>
    </row>
    <row r="26">
      <c r="A26" s="1" t="s">
        <v>85</v>
      </c>
      <c r="B26" s="1">
        <v>1.0</v>
      </c>
      <c r="C26" s="1">
        <v>400.0</v>
      </c>
      <c r="D26" s="1">
        <f>0.8*1360</f>
        <v>1088</v>
      </c>
      <c r="E26" s="1">
        <v>400.0</v>
      </c>
      <c r="F26" s="1">
        <f>400^4*B22/2*0.8</f>
        <v>580.608</v>
      </c>
      <c r="G26" s="1">
        <v>1.0</v>
      </c>
      <c r="H26">
        <f>(B22*C26^4-D26)*(1+G26)*B26</f>
        <v>727.04</v>
      </c>
      <c r="I26">
        <f>(B22*E26^4-F26)*(1+G26)*B26</f>
        <v>1741.824</v>
      </c>
    </row>
    <row r="27">
      <c r="A27" s="1" t="s">
        <v>86</v>
      </c>
      <c r="B27" s="1">
        <v>10000.0</v>
      </c>
      <c r="C27" s="1">
        <v>380.0</v>
      </c>
      <c r="D27" s="1">
        <f>(0.12*1360/2 +400^4*B22/2)*0.8</f>
        <v>645.888</v>
      </c>
      <c r="E27" s="1">
        <v>330.0</v>
      </c>
      <c r="F27" s="1">
        <f>200^4*B22/2*0.8</f>
        <v>36.288</v>
      </c>
      <c r="G27" s="1">
        <v>1.0</v>
      </c>
      <c r="H27">
        <f>(B22*C27^4-D27)*(1+G27)*B27</f>
        <v>10727682.24</v>
      </c>
      <c r="I27">
        <f>(B22*E27^4-F27)*(1+G27)*B27</f>
        <v>12722584.14</v>
      </c>
    </row>
    <row r="28">
      <c r="A28" s="1" t="s">
        <v>87</v>
      </c>
      <c r="B28" s="1">
        <v>10000.0</v>
      </c>
      <c r="C28" s="1">
        <v>460.0</v>
      </c>
      <c r="D28" s="1">
        <f>1*1360</f>
        <v>1360</v>
      </c>
      <c r="E28" s="1">
        <v>370.0</v>
      </c>
      <c r="F28" s="1">
        <f>0*1360</f>
        <v>0</v>
      </c>
      <c r="G28" s="1">
        <v>0.0</v>
      </c>
      <c r="H28">
        <f>(B22*C28^4-D28)*(1+G28)*B28</f>
        <v>11787175.52</v>
      </c>
      <c r="I28">
        <f>(B22*E28^4-F28)*(1+G28)*B28</f>
        <v>10626492.87</v>
      </c>
    </row>
    <row r="29">
      <c r="A29" s="1"/>
      <c r="B29" s="1"/>
      <c r="C29" s="1"/>
      <c r="D29" s="1"/>
      <c r="E29" s="1"/>
      <c r="F29" s="1"/>
      <c r="G29" s="1"/>
      <c r="I29" s="1"/>
      <c r="J29" s="1"/>
      <c r="K29" s="1"/>
    </row>
    <row r="30">
      <c r="A30" s="1"/>
      <c r="B30" s="1"/>
      <c r="C30" s="1"/>
      <c r="D30" s="1"/>
      <c r="E30" s="1"/>
      <c r="F30" s="1"/>
      <c r="G30" s="1"/>
      <c r="I30" s="1"/>
      <c r="J30" s="1"/>
      <c r="K30" s="1"/>
    </row>
    <row r="31">
      <c r="A31" s="6" t="s">
        <v>88</v>
      </c>
      <c r="B31" s="16" t="s">
        <v>89</v>
      </c>
      <c r="C31" s="30"/>
      <c r="D31" s="30"/>
      <c r="E31" s="30"/>
      <c r="F31" s="30"/>
      <c r="G31" s="6" t="s">
        <v>90</v>
      </c>
      <c r="I31" s="1" t="s">
        <v>91</v>
      </c>
      <c r="J31" s="1" t="s">
        <v>92</v>
      </c>
    </row>
    <row r="32">
      <c r="A32" s="34">
        <v>0.5</v>
      </c>
      <c r="B32" s="35"/>
      <c r="C32" s="35">
        <f t="shared" ref="C32:C34" si="1">(C26-G32)/(1-A32)</f>
        <v>700</v>
      </c>
      <c r="D32" s="35"/>
      <c r="E32" s="35">
        <f t="shared" ref="E32:E34" si="2">(E26-G32)/(1-A32)</f>
        <v>700</v>
      </c>
      <c r="F32" s="35"/>
      <c r="G32" s="36">
        <v>50.0</v>
      </c>
      <c r="J32">
        <f>(B22/5 *(C26^5-(C26-G32)^5)/G32 -D26) *B26 *(1+G26)</f>
        <v>86.47175</v>
      </c>
      <c r="K32">
        <f>(B22/5 *(E26^5-(E26-G32)^5)/G32 -F26) *B26*(1+G26)</f>
        <v>1101.25575</v>
      </c>
    </row>
    <row r="33">
      <c r="A33" s="37">
        <v>0.3</v>
      </c>
      <c r="C33">
        <f t="shared" si="1"/>
        <v>471.4285714</v>
      </c>
      <c r="E33">
        <f t="shared" si="2"/>
        <v>400</v>
      </c>
      <c r="G33" s="38">
        <v>50.0</v>
      </c>
    </row>
    <row r="34">
      <c r="A34" s="39">
        <v>0.7</v>
      </c>
      <c r="B34" s="40"/>
      <c r="C34" s="40">
        <f t="shared" si="1"/>
        <v>1366.666667</v>
      </c>
      <c r="D34" s="40"/>
      <c r="E34" s="40">
        <f t="shared" si="2"/>
        <v>1066.666667</v>
      </c>
      <c r="F34" s="40"/>
      <c r="G34" s="41">
        <v>50.0</v>
      </c>
    </row>
    <row r="35">
      <c r="A35" s="1"/>
    </row>
    <row r="36">
      <c r="A36" s="1" t="s">
        <v>93</v>
      </c>
    </row>
    <row r="37">
      <c r="B37" s="1" t="s">
        <v>94</v>
      </c>
      <c r="C37" s="1" t="s">
        <v>95</v>
      </c>
      <c r="D37" s="1" t="s">
        <v>96</v>
      </c>
      <c r="E37" s="1" t="s">
        <v>97</v>
      </c>
      <c r="F37" s="1" t="s">
        <v>98</v>
      </c>
      <c r="H37" s="1" t="s">
        <v>99</v>
      </c>
      <c r="I37" s="1" t="s">
        <v>100</v>
      </c>
      <c r="J37" s="1" t="s">
        <v>101</v>
      </c>
    </row>
    <row r="38">
      <c r="A38" s="1" t="s">
        <v>102</v>
      </c>
      <c r="B38" s="1">
        <v>10.0</v>
      </c>
      <c r="C38" s="1">
        <v>25.0</v>
      </c>
      <c r="D38">
        <f>B38^2*3.14*C38</f>
        <v>7850</v>
      </c>
      <c r="E38">
        <f>B38^2*3.14</f>
        <v>314</v>
      </c>
      <c r="F38">
        <f>E38+(B38*2*3.14*C38)</f>
        <v>1884</v>
      </c>
      <c r="H38">
        <f>T4*D38*((Q4+R4)/2)*200</f>
        <v>13659000000000</v>
      </c>
      <c r="I38">
        <f>H38/1000000</f>
        <v>13659000</v>
      </c>
      <c r="J38">
        <f>I38/(660*3600)</f>
        <v>5.748737374</v>
      </c>
      <c r="K38" s="1" t="s">
        <v>103</v>
      </c>
    </row>
    <row r="39">
      <c r="G39" s="1" t="s">
        <v>104</v>
      </c>
      <c r="J39" s="1" t="s">
        <v>105</v>
      </c>
      <c r="K39" s="1">
        <v>22.0</v>
      </c>
    </row>
    <row r="40">
      <c r="A40" s="1"/>
      <c r="B40" s="1"/>
      <c r="D40" s="1" t="s">
        <v>106</v>
      </c>
      <c r="E40" s="1" t="s">
        <v>107</v>
      </c>
    </row>
    <row r="48">
      <c r="A48" s="1"/>
      <c r="C48" s="1"/>
    </row>
    <row r="49">
      <c r="A49" s="1"/>
    </row>
  </sheetData>
  <mergeCells count="7">
    <mergeCell ref="C24:D24"/>
    <mergeCell ref="E24:F24"/>
    <mergeCell ref="H24:I24"/>
    <mergeCell ref="B31:F31"/>
    <mergeCell ref="J31:K31"/>
    <mergeCell ref="A1:I1"/>
    <mergeCell ref="A19:A20"/>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row>
    <row r="2">
      <c r="B2" s="1" t="s">
        <v>1</v>
      </c>
      <c r="C2" s="1" t="s">
        <v>2</v>
      </c>
      <c r="D2" s="1" t="s">
        <v>4</v>
      </c>
      <c r="E2" s="1" t="s">
        <v>5</v>
      </c>
      <c r="F2" s="1" t="s">
        <v>6</v>
      </c>
      <c r="G2" s="1" t="s">
        <v>7</v>
      </c>
      <c r="H2" s="1" t="s">
        <v>8</v>
      </c>
      <c r="I2" s="1" t="s">
        <v>9</v>
      </c>
      <c r="J2" s="1" t="s">
        <v>10</v>
      </c>
    </row>
    <row r="3">
      <c r="A3" s="1" t="s">
        <v>11</v>
      </c>
      <c r="B3" s="1">
        <f t="shared" ref="B3:B4" si="1">24.2*(1000/26.981)</f>
        <v>896.9274675</v>
      </c>
      <c r="C3" s="1">
        <v>2375.0</v>
      </c>
      <c r="D3" s="1">
        <v>933.47</v>
      </c>
      <c r="E3" s="4">
        <f>Sheet1!J7</f>
        <v>2307715.132</v>
      </c>
      <c r="F3">
        <f t="shared" ref="F3:F4" si="2">D3+50</f>
        <v>983.47</v>
      </c>
      <c r="G3" s="1">
        <v>1450.0</v>
      </c>
      <c r="H3" s="7">
        <f t="shared" ref="H3:H4" si="3">E3/(B3*(G3-F3))/C3</f>
        <v>0.002322104092</v>
      </c>
      <c r="I3" s="9">
        <v>10.0</v>
      </c>
      <c r="J3" s="10">
        <f t="shared" ref="J3:J4" si="4">round(sqrt(H3/I3/PI())*2,4)</f>
        <v>0.0172</v>
      </c>
    </row>
    <row r="4">
      <c r="A4" s="1" t="s">
        <v>11</v>
      </c>
      <c r="B4" s="1">
        <f t="shared" si="1"/>
        <v>896.9274675</v>
      </c>
      <c r="C4" s="1">
        <v>2375.0</v>
      </c>
      <c r="D4" s="1">
        <v>933.47</v>
      </c>
      <c r="E4" s="4">
        <f>Sheet1!J7</f>
        <v>2307715.132</v>
      </c>
      <c r="F4">
        <f t="shared" si="2"/>
        <v>983.47</v>
      </c>
      <c r="G4" s="1">
        <v>1450.0</v>
      </c>
      <c r="H4" s="7">
        <f t="shared" si="3"/>
        <v>0.002322104092</v>
      </c>
      <c r="I4" s="9">
        <v>3.1</v>
      </c>
      <c r="J4" s="10">
        <f t="shared" si="4"/>
        <v>0.0309</v>
      </c>
    </row>
    <row r="6">
      <c r="A6" s="1" t="s">
        <v>30</v>
      </c>
      <c r="B6" s="1">
        <f>8.314*(1000/4)</f>
        <v>2078.5</v>
      </c>
      <c r="C6" s="1">
        <f>0.178*10</f>
        <v>1.78</v>
      </c>
      <c r="D6" s="1">
        <v>0.95</v>
      </c>
      <c r="E6" s="1">
        <v>1360.0</v>
      </c>
      <c r="F6" s="1">
        <v>300.0</v>
      </c>
      <c r="G6" s="1">
        <v>800.0</v>
      </c>
      <c r="H6">
        <f>E6/((G6-F6)*B6)/C6</f>
        <v>0.000735188784</v>
      </c>
      <c r="I6" s="1">
        <v>20.0</v>
      </c>
      <c r="J6" s="10">
        <f>round(sqrt(H6/I6/PI())*2,4)</f>
        <v>0.0068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3.57"/>
  </cols>
  <sheetData>
    <row r="1">
      <c r="A1" s="1" t="s">
        <v>51</v>
      </c>
      <c r="B1" s="18">
        <f>Sheet1!K3</f>
        <v>0.9</v>
      </c>
    </row>
    <row r="2">
      <c r="A2" s="1" t="s">
        <v>52</v>
      </c>
      <c r="B2" s="15">
        <f>Sheet1!K7</f>
        <v>0.5417782127</v>
      </c>
    </row>
    <row r="3">
      <c r="A3" s="1" t="s">
        <v>53</v>
      </c>
      <c r="B3" s="17">
        <f>Sheet1!F13</f>
        <v>0.5384615385</v>
      </c>
    </row>
    <row r="5">
      <c r="A5" s="1" t="s">
        <v>54</v>
      </c>
      <c r="B5" s="20">
        <f>B1*B2*B3</f>
        <v>0.2625540569</v>
      </c>
    </row>
    <row r="6">
      <c r="A6" s="1" t="s">
        <v>63</v>
      </c>
      <c r="B6" s="20">
        <f>Sheet1!G13*2/(Sheet1!D7/Sheet1!G4)</f>
        <v>0.2625540569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65</v>
      </c>
      <c r="B1" s="1">
        <v>800.0</v>
      </c>
      <c r="C1" s="1">
        <v>1000.0</v>
      </c>
      <c r="D1" s="1">
        <v>1200.0</v>
      </c>
      <c r="E1" s="1">
        <v>1400.0</v>
      </c>
      <c r="F1" s="1">
        <v>1600.0</v>
      </c>
      <c r="G1" s="1">
        <v>1800.0</v>
      </c>
    </row>
    <row r="2">
      <c r="A2" s="1" t="s">
        <v>29</v>
      </c>
      <c r="B2" s="1">
        <v>1250.0</v>
      </c>
      <c r="C2" s="1">
        <v>1300.0</v>
      </c>
      <c r="D2" s="1">
        <v>1350.0</v>
      </c>
      <c r="E2" s="1">
        <v>2850.0</v>
      </c>
      <c r="F2" s="1">
        <v>2950.0</v>
      </c>
      <c r="G2" s="1">
        <v>1600.0</v>
      </c>
    </row>
    <row r="3">
      <c r="A3" s="1" t="s">
        <v>66</v>
      </c>
      <c r="B3" s="1">
        <v>3000.0</v>
      </c>
    </row>
  </sheetData>
  <drawing r:id="rId1"/>
</worksheet>
</file>