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NDC_AMS_2\docs\"/>
    </mc:Choice>
  </mc:AlternateContent>
  <xr:revisionPtr revIDLastSave="0" documentId="13_ncr:1_{1D3FC03A-7D71-4FD0-9EC7-09AD0F504851}" xr6:coauthVersionLast="47" xr6:coauthVersionMax="47" xr10:uidLastSave="{00000000-0000-0000-0000-000000000000}"/>
  <bookViews>
    <workbookView xWindow="-120" yWindow="-120" windowWidth="20730" windowHeight="11160" tabRatio="583" xr2:uid="{00000000-000D-0000-FFFF-FFFF00000000}"/>
  </bookViews>
  <sheets>
    <sheet name="SCHEDULE OF ACCOUNTS" sheetId="57" r:id="rId1"/>
    <sheet name="schedules per account" sheetId="73" state="hidden" r:id="rId2"/>
    <sheet name="TRIAL BALANCE " sheetId="60" r:id="rId3"/>
    <sheet name="balance sheet" sheetId="61" r:id="rId4"/>
    <sheet name="income sta" sheetId="62" r:id="rId5"/>
    <sheet name="Changes in Equity" sheetId="65" r:id="rId6"/>
    <sheet name="Cash flow " sheetId="66" state="hidden" r:id="rId7"/>
    <sheet name="STRAIGHT SCHEDULE - 060524" sheetId="78" state="hidden" r:id="rId8"/>
    <sheet name="INVESTMENT BOOK VALUE PER COM" sheetId="74" state="hidden" r:id="rId9"/>
    <sheet name="RECEIVABLES" sheetId="79" state="hidden" r:id="rId10"/>
    <sheet name="INVESTMENT PROPERTY 2023" sheetId="69" state="hidden" r:id="rId11"/>
    <sheet name="SCHEDULE-NATURE PER ACCOUNT" sheetId="80" state="hidden" r:id="rId12"/>
    <sheet name="INVESTMENT PROPERTY 2022" sheetId="67" state="hidden" r:id="rId13"/>
    <sheet name="Cash Flows " sheetId="63" state="hidden" r:id="rId14"/>
    <sheet name="INVESTMENT PROPERTY 2021" sheetId="64" state="hidden" r:id="rId15"/>
    <sheet name="SCHEDULE - DEFERRED TAX" sheetId="70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DdD" localSheetId="5">#REF!</definedName>
    <definedName name="\DdD" localSheetId="0">#REF!</definedName>
    <definedName name="\DdD" localSheetId="2">#REF!</definedName>
    <definedName name="\DdD">#REF!</definedName>
    <definedName name="\dxd" localSheetId="5">#REF!</definedName>
    <definedName name="\dxd" localSheetId="0">#REF!</definedName>
    <definedName name="\dxd" localSheetId="2">#REF!</definedName>
    <definedName name="\dxd">#REF!</definedName>
    <definedName name="_AS" localSheetId="5">#REF!</definedName>
    <definedName name="_AS" localSheetId="0">#REF!</definedName>
    <definedName name="_AS" localSheetId="2">#REF!</definedName>
    <definedName name="_AS">#REF!</definedName>
    <definedName name="_cur1" localSheetId="5">#REF!</definedName>
    <definedName name="_cur1" localSheetId="0">#REF!</definedName>
    <definedName name="_cur1" localSheetId="2">#REF!</definedName>
    <definedName name="_cur1">#REF!</definedName>
    <definedName name="_cur2" localSheetId="5">#REF!</definedName>
    <definedName name="_cur2" localSheetId="0">#REF!</definedName>
    <definedName name="_cur2" localSheetId="2">#REF!</definedName>
    <definedName name="_cur2">#REF!</definedName>
    <definedName name="_cur3" localSheetId="5">#REF!</definedName>
    <definedName name="_cur3" localSheetId="0">#REF!</definedName>
    <definedName name="_cur3" localSheetId="2">#REF!</definedName>
    <definedName name="_cur3">#REF!</definedName>
    <definedName name="_cur4" localSheetId="5">#REF!</definedName>
    <definedName name="_cur4" localSheetId="0">#REF!</definedName>
    <definedName name="_cur4" localSheetId="2">#REF!</definedName>
    <definedName name="_cur4">#REF!</definedName>
    <definedName name="_cur5" localSheetId="5">#REF!</definedName>
    <definedName name="_cur5" localSheetId="0">#REF!</definedName>
    <definedName name="_cur5" localSheetId="2">#REF!</definedName>
    <definedName name="_cur5">#REF!</definedName>
    <definedName name="_xlnm._FilterDatabase" localSheetId="13" hidden="1">'Cash Flows '!$B$29:$F$31</definedName>
    <definedName name="_xlnm._FilterDatabase" localSheetId="0" hidden="1">'SCHEDULE OF ACCOUNTS'!$A$8:$I$384</definedName>
    <definedName name="_xlnm._FilterDatabase" localSheetId="2" hidden="1">'TRIAL BALANCE '!$A$7:$I$382</definedName>
    <definedName name="_yr1" localSheetId="5">#REF!</definedName>
    <definedName name="_yr1" localSheetId="0">#REF!</definedName>
    <definedName name="_yr1" localSheetId="2">#REF!</definedName>
    <definedName name="_yr1">#REF!</definedName>
    <definedName name="a" localSheetId="5">#REF!</definedName>
    <definedName name="a" localSheetId="0">#REF!</definedName>
    <definedName name="a" localSheetId="2">#REF!</definedName>
    <definedName name="a">#REF!</definedName>
    <definedName name="aaaa" localSheetId="5">#REF!</definedName>
    <definedName name="aaaa" localSheetId="0">#REF!</definedName>
    <definedName name="aaaa" localSheetId="2">#REF!</definedName>
    <definedName name="aaaa">#REF!</definedName>
    <definedName name="AD" localSheetId="5">#REF!</definedName>
    <definedName name="AD" localSheetId="0">#REF!</definedName>
    <definedName name="AD" localSheetId="2">#REF!</definedName>
    <definedName name="AD">#REF!</definedName>
    <definedName name="ADad" localSheetId="5">#REF!</definedName>
    <definedName name="ADad" localSheetId="0">#REF!</definedName>
    <definedName name="ADad" localSheetId="2">#REF!</definedName>
    <definedName name="ADad">#REF!</definedName>
    <definedName name="adadasd" localSheetId="5">#REF!</definedName>
    <definedName name="adadasd" localSheetId="0">#REF!</definedName>
    <definedName name="adadasd" localSheetId="2">#REF!</definedName>
    <definedName name="adadasd">#REF!</definedName>
    <definedName name="adadd" localSheetId="5">#REF!</definedName>
    <definedName name="adadd" localSheetId="0">#REF!</definedName>
    <definedName name="adadd" localSheetId="2">#REF!</definedName>
    <definedName name="adadd">#REF!</definedName>
    <definedName name="adadsa" localSheetId="5">#REF!</definedName>
    <definedName name="adadsa" localSheetId="0">#REF!</definedName>
    <definedName name="adadsa" localSheetId="2">#REF!</definedName>
    <definedName name="adadsa">#REF!</definedName>
    <definedName name="adasd" localSheetId="5">#REF!</definedName>
    <definedName name="adasd" localSheetId="0">#REF!</definedName>
    <definedName name="adasd" localSheetId="2">#REF!</definedName>
    <definedName name="adasd">#REF!</definedName>
    <definedName name="add" localSheetId="5">#REF!</definedName>
    <definedName name="add" localSheetId="0">#REF!</definedName>
    <definedName name="add" localSheetId="2">#REF!</definedName>
    <definedName name="add">#REF!</definedName>
    <definedName name="ADF" localSheetId="5">#REF!</definedName>
    <definedName name="ADF" localSheetId="0">#REF!</definedName>
    <definedName name="ADF" localSheetId="2">#REF!</definedName>
    <definedName name="ADF">#REF!</definedName>
    <definedName name="ads" localSheetId="5">#REF!</definedName>
    <definedName name="ads" localSheetId="0">#REF!</definedName>
    <definedName name="ads" localSheetId="2">#REF!</definedName>
    <definedName name="ads">#REF!</definedName>
    <definedName name="AFff" localSheetId="5">#REF!</definedName>
    <definedName name="AFff" localSheetId="0">#REF!</definedName>
    <definedName name="AFff" localSheetId="2">#REF!</definedName>
    <definedName name="AFff">#REF!</definedName>
    <definedName name="AQ" localSheetId="5">#REF!</definedName>
    <definedName name="AQ" localSheetId="0">#REF!</definedName>
    <definedName name="AQ" localSheetId="2">#REF!</definedName>
    <definedName name="AQ">#REF!</definedName>
    <definedName name="AS" localSheetId="5">#REF!</definedName>
    <definedName name="AS" localSheetId="0">#REF!</definedName>
    <definedName name="AS" localSheetId="2">#REF!</definedName>
    <definedName name="AS">#REF!</definedName>
    <definedName name="asad" localSheetId="5">#REF!</definedName>
    <definedName name="asad" localSheetId="0">#REF!</definedName>
    <definedName name="asad" localSheetId="2">#REF!</definedName>
    <definedName name="asad">#REF!</definedName>
    <definedName name="asadasdf" localSheetId="5">#REF!</definedName>
    <definedName name="asadasdf" localSheetId="0">#REF!</definedName>
    <definedName name="asadasdf" localSheetId="2">#REF!</definedName>
    <definedName name="asadasdf">#REF!</definedName>
    <definedName name="asasd" localSheetId="5">#REF!</definedName>
    <definedName name="asasd" localSheetId="0">#REF!</definedName>
    <definedName name="asasd" localSheetId="2">#REF!</definedName>
    <definedName name="asasd">#REF!</definedName>
    <definedName name="asdad" localSheetId="5">#REF!</definedName>
    <definedName name="asdad" localSheetId="0">#REF!</definedName>
    <definedName name="asdad" localSheetId="2">#REF!</definedName>
    <definedName name="asdad">#REF!</definedName>
    <definedName name="asdasfsafsdaf" localSheetId="5">#REF!</definedName>
    <definedName name="asdasfsafsdaf" localSheetId="0">#REF!</definedName>
    <definedName name="asdasfsafsdaf" localSheetId="2">#REF!</definedName>
    <definedName name="asdasfsafsdaf">#REF!</definedName>
    <definedName name="asdfg" localSheetId="5">#REF!</definedName>
    <definedName name="asdfg" localSheetId="0">#REF!</definedName>
    <definedName name="asdfg" localSheetId="2">#REF!</definedName>
    <definedName name="asdfg">#REF!</definedName>
    <definedName name="asssd" localSheetId="5">#REF!</definedName>
    <definedName name="asssd" localSheetId="0">#REF!</definedName>
    <definedName name="asssd" localSheetId="2">#REF!</definedName>
    <definedName name="asssd">#REF!</definedName>
    <definedName name="aSWQADAD" localSheetId="5">#REF!</definedName>
    <definedName name="aSWQADAD" localSheetId="0">#REF!</definedName>
    <definedName name="aSWQADAD" localSheetId="2">#REF!</definedName>
    <definedName name="aSWQADAD">#REF!</definedName>
    <definedName name="CAR" localSheetId="5">[1]JULY!#REF!</definedName>
    <definedName name="CAR">[1]JULY!#REF!</definedName>
    <definedName name="col" localSheetId="5">#REF!</definedName>
    <definedName name="col" localSheetId="0">#REF!</definedName>
    <definedName name="col" localSheetId="2">#REF!</definedName>
    <definedName name="col">#REF!</definedName>
    <definedName name="crc" localSheetId="5">#REF!</definedName>
    <definedName name="crc" localSheetId="0">#REF!</definedName>
    <definedName name="crc" localSheetId="2">#REF!</definedName>
    <definedName name="crc">#REF!</definedName>
    <definedName name="cred" localSheetId="5">#REF!</definedName>
    <definedName name="cred" localSheetId="0">#REF!</definedName>
    <definedName name="cred" localSheetId="2">#REF!</definedName>
    <definedName name="cred">#REF!</definedName>
    <definedName name="cred1" localSheetId="5">#REF!</definedName>
    <definedName name="cred1" localSheetId="0">#REF!</definedName>
    <definedName name="cred1" localSheetId="2">#REF!</definedName>
    <definedName name="cred1">#REF!</definedName>
    <definedName name="cred2" localSheetId="5">#REF!</definedName>
    <definedName name="cred2" localSheetId="0">#REF!</definedName>
    <definedName name="cred2" localSheetId="2">#REF!</definedName>
    <definedName name="cred2">#REF!</definedName>
    <definedName name="cred3" localSheetId="5">#REF!</definedName>
    <definedName name="cred3" localSheetId="0">#REF!</definedName>
    <definedName name="cred3" localSheetId="2">#REF!</definedName>
    <definedName name="cred3">#REF!</definedName>
    <definedName name="cred4" localSheetId="5">#REF!</definedName>
    <definedName name="cred4" localSheetId="0">#REF!</definedName>
    <definedName name="cred4" localSheetId="2">#REF!</definedName>
    <definedName name="cred4">#REF!</definedName>
    <definedName name="cred5" localSheetId="5">#REF!</definedName>
    <definedName name="cred5" localSheetId="0">#REF!</definedName>
    <definedName name="cred5" localSheetId="2">#REF!</definedName>
    <definedName name="cred5">#REF!</definedName>
    <definedName name="CREDloc" localSheetId="5">#REF!</definedName>
    <definedName name="CREDloc" localSheetId="0">#REF!</definedName>
    <definedName name="CREDloc" localSheetId="2">#REF!</definedName>
    <definedName name="CREDloc">#REF!</definedName>
    <definedName name="cscf" localSheetId="5">#REF!</definedName>
    <definedName name="cscf" localSheetId="0">#REF!</definedName>
    <definedName name="cscf" localSheetId="2">#REF!</definedName>
    <definedName name="cscf">#REF!</definedName>
    <definedName name="CUR" localSheetId="5">#REF!</definedName>
    <definedName name="CUR" localSheetId="0">#REF!</definedName>
    <definedName name="CUR" localSheetId="2">#REF!</definedName>
    <definedName name="CUR">#REF!</definedName>
    <definedName name="curab" localSheetId="5">#REF!</definedName>
    <definedName name="curab" localSheetId="0">#REF!</definedName>
    <definedName name="curab" localSheetId="2">#REF!</definedName>
    <definedName name="curab">#REF!</definedName>
    <definedName name="curab1" localSheetId="5">#REF!</definedName>
    <definedName name="curab1" localSheetId="0">#REF!</definedName>
    <definedName name="curab1" localSheetId="2">#REF!</definedName>
    <definedName name="curab1">#REF!</definedName>
    <definedName name="curabri" localSheetId="5">#REF!</definedName>
    <definedName name="curabri" localSheetId="0">#REF!</definedName>
    <definedName name="curabri" localSheetId="2">#REF!</definedName>
    <definedName name="curabri">#REF!</definedName>
    <definedName name="CURADD" localSheetId="5">#REF!</definedName>
    <definedName name="CURADD" localSheetId="0">#REF!</definedName>
    <definedName name="CURADD" localSheetId="2">#REF!</definedName>
    <definedName name="CURADD">#REF!</definedName>
    <definedName name="CURADD2" localSheetId="5">#REF!</definedName>
    <definedName name="CURADD2" localSheetId="0">#REF!</definedName>
    <definedName name="CURADD2" localSheetId="2">#REF!</definedName>
    <definedName name="CURADD2">#REF!</definedName>
    <definedName name="curname" localSheetId="5">#REF!</definedName>
    <definedName name="curname" localSheetId="0">#REF!</definedName>
    <definedName name="curname" localSheetId="2">#REF!</definedName>
    <definedName name="curname">#REF!</definedName>
    <definedName name="curr" localSheetId="5">#REF!</definedName>
    <definedName name="curr" localSheetId="0">#REF!</definedName>
    <definedName name="curr" localSheetId="2">#REF!</definedName>
    <definedName name="curr">#REF!</definedName>
    <definedName name="CURRENCY" localSheetId="5">#REF!</definedName>
    <definedName name="CURRENCY" localSheetId="0">#REF!</definedName>
    <definedName name="CURRENCY" localSheetId="2">#REF!</definedName>
    <definedName name="CURRENCY">#REF!</definedName>
    <definedName name="current" localSheetId="5">#REF!</definedName>
    <definedName name="current" localSheetId="0">#REF!</definedName>
    <definedName name="current" localSheetId="2">#REF!</definedName>
    <definedName name="current">#REF!</definedName>
    <definedName name="d" localSheetId="5">#REF!</definedName>
    <definedName name="d" localSheetId="0">#REF!</definedName>
    <definedName name="d" localSheetId="2">#REF!</definedName>
    <definedName name="d">#REF!</definedName>
    <definedName name="daasdad" localSheetId="5">#REF!</definedName>
    <definedName name="daasdad" localSheetId="0">#REF!</definedName>
    <definedName name="daasdad" localSheetId="2">#REF!</definedName>
    <definedName name="daasdad">#REF!</definedName>
    <definedName name="DafdFf" localSheetId="5">#REF!</definedName>
    <definedName name="DafdFf" localSheetId="0">#REF!</definedName>
    <definedName name="DafdFf" localSheetId="2">#REF!</definedName>
    <definedName name="DafdFf">#REF!</definedName>
    <definedName name="dasdas" localSheetId="5">#REF!</definedName>
    <definedName name="dasdas" localSheetId="0">#REF!</definedName>
    <definedName name="dasdas" localSheetId="2">#REF!</definedName>
    <definedName name="dasdas">#REF!</definedName>
    <definedName name="DATA" localSheetId="5">#REF!</definedName>
    <definedName name="DATA" localSheetId="0">#REF!</definedName>
    <definedName name="DATA" localSheetId="2">#REF!</definedName>
    <definedName name="DATA">#REF!</definedName>
    <definedName name="DATA2" localSheetId="5">#REF!</definedName>
    <definedName name="DATA2" localSheetId="0">#REF!</definedName>
    <definedName name="DATA2" localSheetId="2">#REF!</definedName>
    <definedName name="DATA2">#REF!</definedName>
    <definedName name="DATA3" localSheetId="5">#REF!</definedName>
    <definedName name="DATA3" localSheetId="0">#REF!</definedName>
    <definedName name="DATA3" localSheetId="2">#REF!</definedName>
    <definedName name="DATA3">#REF!</definedName>
    <definedName name="DATA4" localSheetId="5">#REF!</definedName>
    <definedName name="DATA4" localSheetId="0">#REF!</definedName>
    <definedName name="DATA4" localSheetId="2">#REF!</definedName>
    <definedName name="DATA4">#REF!</definedName>
    <definedName name="DATA5" localSheetId="5">#REF!</definedName>
    <definedName name="DATA5" localSheetId="0">#REF!</definedName>
    <definedName name="DATA5" localSheetId="2">#REF!</definedName>
    <definedName name="DATA5">#REF!</definedName>
    <definedName name="_xlnm.Database" localSheetId="6">#REF!</definedName>
    <definedName name="_xlnm.Database" localSheetId="5">#REF!</definedName>
    <definedName name="_xlnm.Database" localSheetId="0">#REF!</definedName>
    <definedName name="_xlnm.Database" localSheetId="2">#REF!</definedName>
    <definedName name="_xlnm.Database">#REF!</definedName>
    <definedName name="datum" localSheetId="5">#REF!</definedName>
    <definedName name="datum" localSheetId="0">#REF!</definedName>
    <definedName name="datum" localSheetId="2">#REF!</definedName>
    <definedName name="datum">#REF!</definedName>
    <definedName name="DAY" localSheetId="5">#REF!</definedName>
    <definedName name="DAY" localSheetId="0">#REF!</definedName>
    <definedName name="DAY" localSheetId="2">#REF!</definedName>
    <definedName name="DAY">#REF!</definedName>
    <definedName name="DBPTRUST" localSheetId="5">[1]JULY!#REF!</definedName>
    <definedName name="DBPTRUST">[1]JULY!#REF!</definedName>
    <definedName name="dD" localSheetId="5">#REF!</definedName>
    <definedName name="dD" localSheetId="0">#REF!</definedName>
    <definedName name="dD" localSheetId="2">#REF!</definedName>
    <definedName name="dD">#REF!</definedName>
    <definedName name="ddasd" localSheetId="5">#REF!</definedName>
    <definedName name="ddasd" localSheetId="0">#REF!</definedName>
    <definedName name="ddasd" localSheetId="2">#REF!</definedName>
    <definedName name="ddasd">#REF!</definedName>
    <definedName name="DDDD" localSheetId="5">#REF!</definedName>
    <definedName name="DDDD" localSheetId="0">#REF!</definedName>
    <definedName name="DDDD" localSheetId="2">#REF!</definedName>
    <definedName name="DDDD">#REF!</definedName>
    <definedName name="dDFF" localSheetId="5">#REF!</definedName>
    <definedName name="dDFF" localSheetId="0">#REF!</definedName>
    <definedName name="dDFF" localSheetId="2">#REF!</definedName>
    <definedName name="dDFF">#REF!</definedName>
    <definedName name="G" localSheetId="5">#REF!</definedName>
    <definedName name="G" localSheetId="0">#REF!</definedName>
    <definedName name="G" localSheetId="2">#REF!</definedName>
    <definedName name="G">#REF!</definedName>
    <definedName name="goi" localSheetId="5">#REF!</definedName>
    <definedName name="goi" localSheetId="0">#REF!</definedName>
    <definedName name="goi" localSheetId="2">#REF!</definedName>
    <definedName name="goi">#REF!</definedName>
    <definedName name="HOUSING" localSheetId="5">[1]JULY!#REF!</definedName>
    <definedName name="HOUSING">[1]JULY!#REF!</definedName>
    <definedName name="LBP">[1]JULY!#REF!</definedName>
    <definedName name="loan" localSheetId="5">#REF!</definedName>
    <definedName name="loan" localSheetId="0">#REF!</definedName>
    <definedName name="loan" localSheetId="2">#REF!</definedName>
    <definedName name="loan">#REF!</definedName>
    <definedName name="loan1" localSheetId="5">#REF!</definedName>
    <definedName name="loan1" localSheetId="0">#REF!</definedName>
    <definedName name="loan1" localSheetId="2">#REF!</definedName>
    <definedName name="loan1">#REF!</definedName>
    <definedName name="loan2" localSheetId="5">#REF!</definedName>
    <definedName name="loan2" localSheetId="0">#REF!</definedName>
    <definedName name="loan2" localSheetId="2">#REF!</definedName>
    <definedName name="loan2">#REF!</definedName>
    <definedName name="loan3" localSheetId="5">#REF!</definedName>
    <definedName name="loan3" localSheetId="0">#REF!</definedName>
    <definedName name="loan3" localSheetId="2">#REF!</definedName>
    <definedName name="loan3">#REF!</definedName>
    <definedName name="loan4" localSheetId="5">#REF!</definedName>
    <definedName name="loan4" localSheetId="0">#REF!</definedName>
    <definedName name="loan4" localSheetId="2">#REF!</definedName>
    <definedName name="loan4">#REF!</definedName>
    <definedName name="loan5" localSheetId="5">#REF!</definedName>
    <definedName name="loan5" localSheetId="0">#REF!</definedName>
    <definedName name="loan5" localSheetId="2">#REF!</definedName>
    <definedName name="loan5">#REF!</definedName>
    <definedName name="LOANloc" localSheetId="5">#REF!</definedName>
    <definedName name="LOANloc" localSheetId="0">#REF!</definedName>
    <definedName name="LOANloc" localSheetId="2">#REF!</definedName>
    <definedName name="LOANloc">#REF!</definedName>
    <definedName name="MINTEX" localSheetId="5">[1]JULY!#REF!</definedName>
    <definedName name="MINTEX">[1]JULY!#REF!</definedName>
    <definedName name="MONTH" localSheetId="5">#REF!</definedName>
    <definedName name="MONTH" localSheetId="0">#REF!</definedName>
    <definedName name="MONTH" localSheetId="2">#REF!</definedName>
    <definedName name="MONTH">#REF!</definedName>
    <definedName name="other1" localSheetId="5">#REF!</definedName>
    <definedName name="other1" localSheetId="0">#REF!</definedName>
    <definedName name="other1" localSheetId="2">#REF!</definedName>
    <definedName name="other1">#REF!</definedName>
    <definedName name="other2" localSheetId="5">#REF!</definedName>
    <definedName name="other2" localSheetId="0">#REF!</definedName>
    <definedName name="other2" localSheetId="2">#REF!</definedName>
    <definedName name="other2">#REF!</definedName>
    <definedName name="others1" localSheetId="5">#REF!</definedName>
    <definedName name="others1" localSheetId="0">#REF!</definedName>
    <definedName name="others1" localSheetId="2">#REF!</definedName>
    <definedName name="others1">#REF!</definedName>
    <definedName name="others2" localSheetId="5">#REF!</definedName>
    <definedName name="others2" localSheetId="0">#REF!</definedName>
    <definedName name="others2" localSheetId="2">#REF!</definedName>
    <definedName name="others2">#REF!</definedName>
    <definedName name="Others3" localSheetId="5">#REF!</definedName>
    <definedName name="Others3" localSheetId="0">#REF!</definedName>
    <definedName name="Others3" localSheetId="2">#REF!</definedName>
    <definedName name="Others3">#REF!</definedName>
    <definedName name="others4" localSheetId="5">#REF!</definedName>
    <definedName name="others4" localSheetId="0">#REF!</definedName>
    <definedName name="others4" localSheetId="2">#REF!</definedName>
    <definedName name="others4">#REF!</definedName>
    <definedName name="others5" localSheetId="5">#REF!</definedName>
    <definedName name="others5" localSheetId="0">#REF!</definedName>
    <definedName name="others5" localSheetId="2">#REF!</definedName>
    <definedName name="others5">#REF!</definedName>
    <definedName name="others6" localSheetId="5">#REF!</definedName>
    <definedName name="others6" localSheetId="0">#REF!</definedName>
    <definedName name="others6" localSheetId="2">#REF!</definedName>
    <definedName name="others6">#REF!</definedName>
    <definedName name="others7" localSheetId="5">#REF!</definedName>
    <definedName name="others7" localSheetId="0">#REF!</definedName>
    <definedName name="others7" localSheetId="2">#REF!</definedName>
    <definedName name="others7">#REF!</definedName>
    <definedName name="PRETTY" localSheetId="5">#REF!</definedName>
    <definedName name="PRETTY" localSheetId="0">#REF!</definedName>
    <definedName name="PRETTY" localSheetId="2">#REF!</definedName>
    <definedName name="PRETTY">#REF!</definedName>
    <definedName name="_xlnm.Print_Area" localSheetId="3">'balance sheet'!$A$1:$K$80</definedName>
    <definedName name="_xlnm.Print_Area" localSheetId="6">'Cash flow '!$B$1:$E$58</definedName>
    <definedName name="_xlnm.Print_Area" localSheetId="13">'Cash Flows '!$B$1:$F$52</definedName>
    <definedName name="_xlnm.Print_Area" localSheetId="5">'Changes in Equity'!$A$1:$H$25</definedName>
    <definedName name="_xlnm.Print_Area" localSheetId="4">'income sta'!$A$1:$J$43</definedName>
    <definedName name="_xlnm.Print_Area" localSheetId="14">'INVESTMENT PROPERTY 2021'!$A$1:$H$142</definedName>
    <definedName name="_xlnm.Print_Area" localSheetId="12">'INVESTMENT PROPERTY 2022'!$A$1:$I$141</definedName>
    <definedName name="_xlnm.Print_Area" localSheetId="10">'INVESTMENT PROPERTY 2023'!$A$1:$K$205</definedName>
    <definedName name="_xlnm.Print_Area" localSheetId="9">RECEIVABLES!$A$1:$G$278</definedName>
    <definedName name="_xlnm.Print_Area" localSheetId="15">'SCHEDULE - DEFERRED TAX'!$A$1:$P$59</definedName>
    <definedName name="_xlnm.Print_Area" localSheetId="0">'SCHEDULE OF ACCOUNTS'!$D$82:$E$113</definedName>
    <definedName name="_xlnm.Print_Area" localSheetId="11">'SCHEDULE-NATURE PER ACCOUNT'!$B$1342:$G$1433</definedName>
    <definedName name="_xlnm.Print_Area" localSheetId="1">'schedules per account'!$A$132:$E$151</definedName>
    <definedName name="_xlnm.Print_Area" localSheetId="2">'TRIAL BALANCE '!$B$1:$J$308</definedName>
    <definedName name="_xlnm.Print_Titles" localSheetId="12">'INVESTMENT PROPERTY 2022'!$1:$6</definedName>
    <definedName name="_xlnm.Print_Titles" localSheetId="10">'INVESTMENT PROPERTY 2023'!$1:$6</definedName>
    <definedName name="_xlnm.Print_Titles" localSheetId="0">'SCHEDULE OF ACCOUNTS'!$4:$8</definedName>
    <definedName name="q" localSheetId="5">#REF!</definedName>
    <definedName name="q" localSheetId="0">#REF!</definedName>
    <definedName name="q" localSheetId="2">#REF!</definedName>
    <definedName name="q">#REF!</definedName>
    <definedName name="qwowqweu" localSheetId="5">#REF!</definedName>
    <definedName name="qwowqweu" localSheetId="0">#REF!</definedName>
    <definedName name="qwowqweu" localSheetId="2">#REF!</definedName>
    <definedName name="qwowqweu">#REF!</definedName>
    <definedName name="re" localSheetId="5">#REF!</definedName>
    <definedName name="re" localSheetId="0">#REF!</definedName>
    <definedName name="re" localSheetId="2">#REF!</definedName>
    <definedName name="re">#REF!</definedName>
    <definedName name="Rng_CurFormat" localSheetId="5">#REF!</definedName>
    <definedName name="Rng_CurFormat" localSheetId="0">#REF!</definedName>
    <definedName name="Rng_CurFormat" localSheetId="2">#REF!</definedName>
    <definedName name="Rng_CurFormat">#REF!</definedName>
    <definedName name="RNGacct" localSheetId="5">#REF!</definedName>
    <definedName name="RNGacct" localSheetId="0">#REF!</definedName>
    <definedName name="RNGacct" localSheetId="2">#REF!</definedName>
    <definedName name="RNGacct">#REF!</definedName>
    <definedName name="rngCurrency" localSheetId="5">#REF!</definedName>
    <definedName name="rngCurrency" localSheetId="0">#REF!</definedName>
    <definedName name="rngCurrency" localSheetId="2">#REF!</definedName>
    <definedName name="rngCurrency">#REF!</definedName>
    <definedName name="RngDateFormat" localSheetId="5">#REF!</definedName>
    <definedName name="RngDateFormat" localSheetId="0">#REF!</definedName>
    <definedName name="RngDateFormat" localSheetId="2">#REF!</definedName>
    <definedName name="RngDateFormat">#REF!</definedName>
    <definedName name="rngYear" localSheetId="5">#REF!</definedName>
    <definedName name="rngYear" localSheetId="0">#REF!</definedName>
    <definedName name="rngYear" localSheetId="2">#REF!</definedName>
    <definedName name="rngYear">#REF!</definedName>
    <definedName name="rs" localSheetId="5">#REF!</definedName>
    <definedName name="rs" localSheetId="0">#REF!</definedName>
    <definedName name="rs" localSheetId="2">#REF!</definedName>
    <definedName name="rs">#REF!</definedName>
    <definedName name="rsource" localSheetId="5">#REF!</definedName>
    <definedName name="rsource" localSheetId="0">#REF!</definedName>
    <definedName name="rsource" localSheetId="2">#REF!</definedName>
    <definedName name="rsource">#REF!</definedName>
    <definedName name="sa" localSheetId="5">#REF!</definedName>
    <definedName name="sa" localSheetId="0">#REF!</definedName>
    <definedName name="sa" localSheetId="2">#REF!</definedName>
    <definedName name="sa">#REF!</definedName>
    <definedName name="sdD" localSheetId="5">#REF!</definedName>
    <definedName name="sdD" localSheetId="0">#REF!</definedName>
    <definedName name="sdD" localSheetId="2">#REF!</definedName>
    <definedName name="sdD">#REF!</definedName>
    <definedName name="SHE" localSheetId="5">#REF!</definedName>
    <definedName name="SHE" localSheetId="0">#REF!</definedName>
    <definedName name="SHE" localSheetId="2">#REF!</definedName>
    <definedName name="SHE">#REF!</definedName>
    <definedName name="SSsd" localSheetId="5">#REF!</definedName>
    <definedName name="SSsd" localSheetId="0">#REF!</definedName>
    <definedName name="SSsd" localSheetId="2">#REF!</definedName>
    <definedName name="SSsd">#REF!</definedName>
    <definedName name="TM1REBUILDOPTION">1</definedName>
    <definedName name="Year" localSheetId="5">#REF!</definedName>
    <definedName name="Year" localSheetId="0">#REF!</definedName>
    <definedName name="Year" localSheetId="2">#REF!</definedName>
    <definedName name="Year">#REF!</definedName>
    <definedName name="Year2003" localSheetId="5">#REF!</definedName>
    <definedName name="Year2003" localSheetId="0">#REF!</definedName>
    <definedName name="Year2003" localSheetId="2">#REF!</definedName>
    <definedName name="Year2003">#REF!</definedName>
    <definedName name="Year2004" localSheetId="5">#REF!</definedName>
    <definedName name="Year2004" localSheetId="0">#REF!</definedName>
    <definedName name="Year2004" localSheetId="2">#REF!</definedName>
    <definedName name="Year2004">#REF!</definedName>
    <definedName name="Year2005" localSheetId="5">#REF!</definedName>
    <definedName name="Year2005" localSheetId="0">#REF!</definedName>
    <definedName name="Year2005" localSheetId="2">#REF!</definedName>
    <definedName name="Year2005">#REF!</definedName>
    <definedName name="Year2006" localSheetId="5">#REF!</definedName>
    <definedName name="Year2006" localSheetId="0">#REF!</definedName>
    <definedName name="Year2006" localSheetId="2">#REF!</definedName>
    <definedName name="Year2006">#REF!</definedName>
    <definedName name="Year2007" localSheetId="5">#REF!</definedName>
    <definedName name="Year2007" localSheetId="0">#REF!</definedName>
    <definedName name="Year2007" localSheetId="2">#REF!</definedName>
    <definedName name="Year2007">#REF!</definedName>
    <definedName name="Year2008" localSheetId="5">#REF!</definedName>
    <definedName name="Year2008" localSheetId="0">#REF!</definedName>
    <definedName name="Year2008" localSheetId="2">#REF!</definedName>
    <definedName name="Year2008">#REF!</definedName>
    <definedName name="Year2009" localSheetId="5">#REF!</definedName>
    <definedName name="Year2009" localSheetId="0">#REF!</definedName>
    <definedName name="Year2009" localSheetId="2">#REF!</definedName>
    <definedName name="Year2009">#REF!</definedName>
    <definedName name="Year2010" localSheetId="5">#REF!</definedName>
    <definedName name="Year2010" localSheetId="0">#REF!</definedName>
    <definedName name="Year2010" localSheetId="2">#REF!</definedName>
    <definedName name="Year2010">#REF!</definedName>
    <definedName name="Year2011" localSheetId="5">#REF!</definedName>
    <definedName name="Year2011" localSheetId="0">#REF!</definedName>
    <definedName name="Year2011" localSheetId="2">#REF!</definedName>
    <definedName name="Year2011">#REF!</definedName>
    <definedName name="Year2012" localSheetId="5">#REF!</definedName>
    <definedName name="Year2012" localSheetId="0">#REF!</definedName>
    <definedName name="Year2012" localSheetId="2">#REF!</definedName>
    <definedName name="Year2012">#REF!</definedName>
    <definedName name="Year2013" localSheetId="5">#REF!</definedName>
    <definedName name="Year2013" localSheetId="0">#REF!</definedName>
    <definedName name="Year2013" localSheetId="2">#REF!</definedName>
    <definedName name="Year2013">#REF!</definedName>
    <definedName name="Year2014" localSheetId="5">#REF!</definedName>
    <definedName name="Year2014" localSheetId="0">#REF!</definedName>
    <definedName name="Year2014" localSheetId="2">#REF!</definedName>
    <definedName name="Year2014">#REF!</definedName>
    <definedName name="Year2015" localSheetId="5">#REF!</definedName>
    <definedName name="Year2015" localSheetId="0">#REF!</definedName>
    <definedName name="Year2015" localSheetId="2">#REF!</definedName>
    <definedName name="Year2015">#REF!</definedName>
    <definedName name="Year2016" localSheetId="5">#REF!</definedName>
    <definedName name="Year2016" localSheetId="0">#REF!</definedName>
    <definedName name="Year2016" localSheetId="2">#REF!</definedName>
    <definedName name="Year2016">#REF!</definedName>
    <definedName name="Year2017" localSheetId="5">#REF!</definedName>
    <definedName name="Year2017" localSheetId="0">#REF!</definedName>
    <definedName name="Year2017" localSheetId="2">#REF!</definedName>
    <definedName name="Year2017">#REF!</definedName>
    <definedName name="Year2018" localSheetId="5">#REF!</definedName>
    <definedName name="Year2018" localSheetId="0">#REF!</definedName>
    <definedName name="Year2018" localSheetId="2">#REF!</definedName>
    <definedName name="Year2018">#REF!</definedName>
    <definedName name="Year2019" localSheetId="5">#REF!</definedName>
    <definedName name="Year2019" localSheetId="0">#REF!</definedName>
    <definedName name="Year2019" localSheetId="2">#REF!</definedName>
    <definedName name="Year2019">#REF!</definedName>
    <definedName name="Year2020" localSheetId="5">#REF!</definedName>
    <definedName name="Year2020" localSheetId="0">#REF!</definedName>
    <definedName name="Year2020" localSheetId="2">#REF!</definedName>
    <definedName name="Year2020">#REF!</definedName>
    <definedName name="Year2021" localSheetId="5">#REF!</definedName>
    <definedName name="Year2021" localSheetId="0">#REF!</definedName>
    <definedName name="Year2021" localSheetId="2">#REF!</definedName>
    <definedName name="Year2021">#REF!</definedName>
    <definedName name="Year2022" localSheetId="5">#REF!</definedName>
    <definedName name="Year2022" localSheetId="0">#REF!</definedName>
    <definedName name="Year2022" localSheetId="2">#REF!</definedName>
    <definedName name="Year2022">#REF!</definedName>
    <definedName name="Year2023" localSheetId="5">#REF!</definedName>
    <definedName name="Year2023" localSheetId="0">#REF!</definedName>
    <definedName name="Year2023" localSheetId="2">#REF!</definedName>
    <definedName name="Year2023">#REF!</definedName>
    <definedName name="Year2024" localSheetId="5">#REF!</definedName>
    <definedName name="Year2024" localSheetId="0">#REF!</definedName>
    <definedName name="Year2024" localSheetId="2">#REF!</definedName>
    <definedName name="Year2024">#REF!</definedName>
    <definedName name="Year2025" localSheetId="5">#REF!</definedName>
    <definedName name="Year2025" localSheetId="0">#REF!</definedName>
    <definedName name="Year2025" localSheetId="2">#REF!</definedName>
    <definedName name="Year2025">#REF!</definedName>
    <definedName name="Year2026" localSheetId="5">#REF!</definedName>
    <definedName name="Year2026" localSheetId="0">#REF!</definedName>
    <definedName name="Year2026" localSheetId="2">#REF!</definedName>
    <definedName name="Year2026">#REF!</definedName>
    <definedName name="Year2027" localSheetId="5">#REF!</definedName>
    <definedName name="Year2027" localSheetId="0">#REF!</definedName>
    <definedName name="Year2027" localSheetId="2">#REF!</definedName>
    <definedName name="Year2027">#REF!</definedName>
    <definedName name="Year2028" localSheetId="5">#REF!</definedName>
    <definedName name="Year2028" localSheetId="0">#REF!</definedName>
    <definedName name="Year2028" localSheetId="2">#REF!</definedName>
    <definedName name="Year2028">#REF!</definedName>
    <definedName name="Year2029" localSheetId="5">#REF!</definedName>
    <definedName name="Year2029" localSheetId="0">#REF!</definedName>
    <definedName name="Year2029" localSheetId="2">#REF!</definedName>
    <definedName name="Year2029">#REF!</definedName>
    <definedName name="Year2030" localSheetId="5">#REF!</definedName>
    <definedName name="Year2030" localSheetId="0">#REF!</definedName>
    <definedName name="Year2030" localSheetId="2">#REF!</definedName>
    <definedName name="Year2030">#REF!</definedName>
    <definedName name="Year2031" localSheetId="5">#REF!</definedName>
    <definedName name="Year2031" localSheetId="0">#REF!</definedName>
    <definedName name="Year2031" localSheetId="2">#REF!</definedName>
    <definedName name="Year2031">#REF!</definedName>
    <definedName name="Year2032" localSheetId="5">#REF!</definedName>
    <definedName name="Year2032" localSheetId="0">#REF!</definedName>
    <definedName name="Year2032" localSheetId="2">#REF!</definedName>
    <definedName name="Year2032">#REF!</definedName>
    <definedName name="Year2033" localSheetId="5">#REF!</definedName>
    <definedName name="Year2033" localSheetId="0">#REF!</definedName>
    <definedName name="Year2033" localSheetId="2">#REF!</definedName>
    <definedName name="Year2033">#REF!</definedName>
    <definedName name="Year2034" localSheetId="5">#REF!</definedName>
    <definedName name="Year2034" localSheetId="0">#REF!</definedName>
    <definedName name="Year2034" localSheetId="2">#REF!</definedName>
    <definedName name="Year2034">#REF!</definedName>
    <definedName name="Year2035" localSheetId="5">#REF!</definedName>
    <definedName name="Year2035" localSheetId="0">#REF!</definedName>
    <definedName name="Year2035" localSheetId="2">#REF!</definedName>
    <definedName name="Year2035">#REF!</definedName>
    <definedName name="Year2036" localSheetId="5">#REF!</definedName>
    <definedName name="Year2036" localSheetId="0">#REF!</definedName>
    <definedName name="Year2036" localSheetId="2">#REF!</definedName>
    <definedName name="Year2036">#REF!</definedName>
    <definedName name="Year2037" localSheetId="5">#REF!</definedName>
    <definedName name="Year2037" localSheetId="0">#REF!</definedName>
    <definedName name="Year2037" localSheetId="2">#REF!</definedName>
    <definedName name="Year2037">#REF!</definedName>
    <definedName name="Year2038" localSheetId="5">#REF!</definedName>
    <definedName name="Year2038" localSheetId="0">#REF!</definedName>
    <definedName name="Year2038" localSheetId="2">#REF!</definedName>
    <definedName name="Year2038">#REF!</definedName>
    <definedName name="Year2039" localSheetId="5">#REF!</definedName>
    <definedName name="Year2039" localSheetId="0">#REF!</definedName>
    <definedName name="Year2039" localSheetId="2">#REF!</definedName>
    <definedName name="Year2039">#REF!</definedName>
    <definedName name="Year2040" localSheetId="5">#REF!</definedName>
    <definedName name="Year2040" localSheetId="0">#REF!</definedName>
    <definedName name="Year2040" localSheetId="2">#REF!</definedName>
    <definedName name="Year2040">#REF!</definedName>
    <definedName name="Year2041" localSheetId="5">#REF!</definedName>
    <definedName name="Year2041" localSheetId="0">#REF!</definedName>
    <definedName name="Year2041" localSheetId="2">#REF!</definedName>
    <definedName name="Year2041">#REF!</definedName>
    <definedName name="Year2042" localSheetId="5">#REF!</definedName>
    <definedName name="Year2042" localSheetId="0">#REF!</definedName>
    <definedName name="Year2042" localSheetId="2">#REF!</definedName>
    <definedName name="Year2042">#REF!</definedName>
    <definedName name="Year2043" localSheetId="5">#REF!</definedName>
    <definedName name="Year2043" localSheetId="0">#REF!</definedName>
    <definedName name="Year2043" localSheetId="2">#REF!</definedName>
    <definedName name="Year2043">#REF!</definedName>
    <definedName name="Year2044" localSheetId="5">#REF!</definedName>
    <definedName name="Year2044" localSheetId="0">#REF!</definedName>
    <definedName name="Year2044" localSheetId="2">#REF!</definedName>
    <definedName name="Year2044">#REF!</definedName>
    <definedName name="Year2045" localSheetId="5">#REF!</definedName>
    <definedName name="Year2045" localSheetId="0">#REF!</definedName>
    <definedName name="Year2045" localSheetId="2">#REF!</definedName>
    <definedName name="Year2045">#REF!</definedName>
    <definedName name="Year2046" localSheetId="5">#REF!</definedName>
    <definedName name="Year2046" localSheetId="0">#REF!</definedName>
    <definedName name="Year2046" localSheetId="2">#REF!</definedName>
    <definedName name="Year2046">#REF!</definedName>
    <definedName name="Year2047" localSheetId="5">#REF!</definedName>
    <definedName name="Year2047" localSheetId="0">#REF!</definedName>
    <definedName name="Year2047" localSheetId="2">#REF!</definedName>
    <definedName name="Year2047">#REF!</definedName>
    <definedName name="year2048" localSheetId="5">#REF!</definedName>
    <definedName name="year2048" localSheetId="0">#REF!</definedName>
    <definedName name="year2048" localSheetId="2">#REF!</definedName>
    <definedName name="year2048">#REF!</definedName>
    <definedName name="Year2049" localSheetId="5">#REF!</definedName>
    <definedName name="Year2049" localSheetId="0">#REF!</definedName>
    <definedName name="Year2049" localSheetId="2">#REF!</definedName>
    <definedName name="Year2049">#REF!</definedName>
    <definedName name="Year2050" localSheetId="5">#REF!</definedName>
    <definedName name="Year2050" localSheetId="0">#REF!</definedName>
    <definedName name="Year2050" localSheetId="2">#REF!</definedName>
    <definedName name="Year2050">#REF!</definedName>
    <definedName name="Year2051" localSheetId="5">#REF!</definedName>
    <definedName name="Year2051" localSheetId="0">#REF!</definedName>
    <definedName name="Year2051" localSheetId="2">#REF!</definedName>
    <definedName name="Year2051">#REF!</definedName>
    <definedName name="Year2052" localSheetId="5">#REF!</definedName>
    <definedName name="Year2052" localSheetId="0">#REF!</definedName>
    <definedName name="Year2052" localSheetId="2">#REF!</definedName>
    <definedName name="Year2052">#REF!</definedName>
    <definedName name="Year2053" localSheetId="5">#REF!</definedName>
    <definedName name="Year2053" localSheetId="0">#REF!</definedName>
    <definedName name="Year2053" localSheetId="2">#REF!</definedName>
    <definedName name="Year2053">#REF!</definedName>
    <definedName name="Years" localSheetId="5">#REF!</definedName>
    <definedName name="Years" localSheetId="0">#REF!</definedName>
    <definedName name="Years" localSheetId="2">#REF!</definedName>
    <definedName name="Yea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62" l="1"/>
  <c r="J35" i="62"/>
  <c r="J34" i="62"/>
  <c r="J23" i="62"/>
  <c r="J22" i="62"/>
  <c r="J21" i="62"/>
  <c r="J25" i="62" s="1"/>
  <c r="J14" i="62"/>
  <c r="J13" i="62"/>
  <c r="J12" i="62"/>
  <c r="J27" i="62" s="1"/>
  <c r="J36" i="62" s="1"/>
  <c r="J38" i="62" s="1"/>
  <c r="J307" i="60"/>
  <c r="J309" i="57"/>
  <c r="J144" i="60"/>
  <c r="J143" i="60"/>
  <c r="J142" i="60"/>
  <c r="J141" i="60"/>
  <c r="J140" i="60"/>
  <c r="I281" i="60"/>
  <c r="I241" i="57"/>
  <c r="N150" i="60"/>
  <c r="H333" i="79" l="1"/>
  <c r="H278" i="79"/>
  <c r="F27" i="79"/>
  <c r="F84" i="79"/>
  <c r="F61" i="79"/>
  <c r="F63" i="79"/>
  <c r="I282" i="60" l="1"/>
  <c r="I283" i="60"/>
  <c r="I239" i="60"/>
  <c r="I8" i="60"/>
  <c r="I9" i="60"/>
  <c r="I11" i="60"/>
  <c r="I13" i="60"/>
  <c r="I15" i="60"/>
  <c r="N11" i="60" s="1"/>
  <c r="I16" i="60"/>
  <c r="N22" i="60" s="1"/>
  <c r="I58" i="60"/>
  <c r="I36" i="60"/>
  <c r="E383" i="79"/>
  <c r="D383" i="79"/>
  <c r="F379" i="79"/>
  <c r="F378" i="79"/>
  <c r="F377" i="79"/>
  <c r="F383" i="79" s="1"/>
  <c r="E371" i="79"/>
  <c r="D371" i="79"/>
  <c r="F370" i="79"/>
  <c r="F369" i="79"/>
  <c r="F368" i="79"/>
  <c r="F371" i="79" s="1"/>
  <c r="E361" i="79"/>
  <c r="D361" i="79"/>
  <c r="F360" i="79"/>
  <c r="F359" i="79"/>
  <c r="F358" i="79"/>
  <c r="F357" i="79"/>
  <c r="F356" i="79"/>
  <c r="F355" i="79"/>
  <c r="F354" i="79"/>
  <c r="F353" i="79"/>
  <c r="F352" i="79"/>
  <c r="F351" i="79"/>
  <c r="F350" i="79"/>
  <c r="F349" i="79"/>
  <c r="E348" i="79"/>
  <c r="F348" i="79" s="1"/>
  <c r="E347" i="79"/>
  <c r="F347" i="79" s="1"/>
  <c r="F346" i="79"/>
  <c r="E342" i="79"/>
  <c r="D342" i="79"/>
  <c r="F340" i="79"/>
  <c r="F339" i="79"/>
  <c r="F338" i="79"/>
  <c r="F337" i="79"/>
  <c r="E333" i="79"/>
  <c r="D333" i="79"/>
  <c r="F332" i="79"/>
  <c r="F331" i="79"/>
  <c r="F330" i="79"/>
  <c r="F329" i="79"/>
  <c r="F328" i="79"/>
  <c r="F327" i="79"/>
  <c r="F333" i="79" s="1"/>
  <c r="E323" i="79"/>
  <c r="D323" i="79"/>
  <c r="F322" i="79"/>
  <c r="F321" i="79"/>
  <c r="F320" i="79"/>
  <c r="F319" i="79"/>
  <c r="F318" i="79"/>
  <c r="F317" i="79"/>
  <c r="F316" i="79"/>
  <c r="F315" i="79"/>
  <c r="F314" i="79"/>
  <c r="F313" i="79"/>
  <c r="F312" i="79"/>
  <c r="F311" i="79"/>
  <c r="F310" i="79"/>
  <c r="F309" i="79"/>
  <c r="F308" i="79"/>
  <c r="F307" i="79"/>
  <c r="F306" i="79"/>
  <c r="F305" i="79"/>
  <c r="F304" i="79"/>
  <c r="F303" i="79"/>
  <c r="F302" i="79"/>
  <c r="F301" i="79"/>
  <c r="E297" i="79"/>
  <c r="D297" i="79"/>
  <c r="F296" i="79"/>
  <c r="F295" i="79"/>
  <c r="F294" i="79"/>
  <c r="F293" i="79"/>
  <c r="F292" i="79"/>
  <c r="F291" i="79"/>
  <c r="F290" i="79"/>
  <c r="F289" i="79"/>
  <c r="F288" i="79"/>
  <c r="F287" i="79"/>
  <c r="F286" i="79"/>
  <c r="E277" i="79"/>
  <c r="D277" i="79"/>
  <c r="F276" i="79"/>
  <c r="F275" i="79"/>
  <c r="F274" i="79"/>
  <c r="F273" i="79"/>
  <c r="F272" i="79"/>
  <c r="F271" i="79"/>
  <c r="F270" i="79"/>
  <c r="F269" i="79"/>
  <c r="F268" i="79"/>
  <c r="F267" i="79"/>
  <c r="F266" i="79"/>
  <c r="F265" i="79"/>
  <c r="F264" i="79"/>
  <c r="F263" i="79"/>
  <c r="F262" i="79"/>
  <c r="F261" i="79"/>
  <c r="F260" i="79"/>
  <c r="F259" i="79"/>
  <c r="F258" i="79"/>
  <c r="F257" i="79"/>
  <c r="F256" i="79"/>
  <c r="F255" i="79"/>
  <c r="F254" i="79"/>
  <c r="F253" i="79"/>
  <c r="F252" i="79"/>
  <c r="F251" i="79"/>
  <c r="F250" i="79"/>
  <c r="F249" i="79"/>
  <c r="F248" i="79"/>
  <c r="F247" i="79"/>
  <c r="F246" i="79"/>
  <c r="F245" i="79"/>
  <c r="F244" i="79"/>
  <c r="F243" i="79"/>
  <c r="F242" i="79"/>
  <c r="F241" i="79"/>
  <c r="F240" i="79"/>
  <c r="F239" i="79"/>
  <c r="F238" i="79"/>
  <c r="F237" i="79"/>
  <c r="F236" i="79"/>
  <c r="F235" i="79"/>
  <c r="F234" i="79"/>
  <c r="F233" i="79"/>
  <c r="F232" i="79"/>
  <c r="F231" i="79"/>
  <c r="F230" i="79"/>
  <c r="F229" i="79"/>
  <c r="F228" i="79"/>
  <c r="F227" i="79"/>
  <c r="F226" i="79"/>
  <c r="F225" i="79"/>
  <c r="F224" i="79"/>
  <c r="F223" i="79"/>
  <c r="F222" i="79"/>
  <c r="F221" i="79"/>
  <c r="F220" i="79"/>
  <c r="F219" i="79"/>
  <c r="F218" i="79"/>
  <c r="F217" i="79"/>
  <c r="F216" i="79"/>
  <c r="F215" i="79"/>
  <c r="F214" i="79"/>
  <c r="F213" i="79"/>
  <c r="F212" i="79"/>
  <c r="F211" i="79"/>
  <c r="F210" i="79"/>
  <c r="F209" i="79"/>
  <c r="F208" i="79"/>
  <c r="F207" i="79"/>
  <c r="F206" i="79"/>
  <c r="F205" i="79"/>
  <c r="F204" i="79"/>
  <c r="F203" i="79"/>
  <c r="F202" i="79"/>
  <c r="F201" i="79"/>
  <c r="F200" i="79"/>
  <c r="F199" i="79"/>
  <c r="F198" i="79"/>
  <c r="F197" i="79"/>
  <c r="F196" i="79"/>
  <c r="F195" i="79"/>
  <c r="F194" i="79"/>
  <c r="F193" i="79"/>
  <c r="F192" i="79"/>
  <c r="F191" i="79"/>
  <c r="F190" i="79"/>
  <c r="F189" i="79"/>
  <c r="F188" i="79"/>
  <c r="F187" i="79"/>
  <c r="F186" i="79"/>
  <c r="F185" i="79"/>
  <c r="F184" i="79"/>
  <c r="F183" i="79"/>
  <c r="F182" i="79"/>
  <c r="F181" i="79"/>
  <c r="F180" i="79"/>
  <c r="F179" i="79"/>
  <c r="F178" i="79"/>
  <c r="F177" i="79"/>
  <c r="F176" i="79"/>
  <c r="F175" i="79"/>
  <c r="F174" i="79"/>
  <c r="F173" i="79"/>
  <c r="F172" i="79"/>
  <c r="F171" i="79"/>
  <c r="F170" i="79"/>
  <c r="F169" i="79"/>
  <c r="F168" i="79"/>
  <c r="F167" i="79"/>
  <c r="F166" i="79"/>
  <c r="F165" i="79"/>
  <c r="F164" i="79"/>
  <c r="F163" i="79"/>
  <c r="F162" i="79"/>
  <c r="F161" i="79"/>
  <c r="F160" i="79"/>
  <c r="F159" i="79"/>
  <c r="F158" i="79"/>
  <c r="F157" i="79"/>
  <c r="F156" i="79"/>
  <c r="F155" i="79"/>
  <c r="F154" i="79"/>
  <c r="F153" i="79"/>
  <c r="F152" i="79"/>
  <c r="F151" i="79"/>
  <c r="F150" i="79"/>
  <c r="F149" i="79"/>
  <c r="F148" i="79"/>
  <c r="F147" i="79"/>
  <c r="F146" i="79"/>
  <c r="F145" i="79"/>
  <c r="F144" i="79"/>
  <c r="F143" i="79"/>
  <c r="F142" i="79"/>
  <c r="F141" i="79"/>
  <c r="F140" i="79"/>
  <c r="F139" i="79"/>
  <c r="F138" i="79"/>
  <c r="F137" i="79"/>
  <c r="F136" i="79"/>
  <c r="F135" i="79"/>
  <c r="F134" i="79"/>
  <c r="F133" i="79"/>
  <c r="F132" i="79"/>
  <c r="E126" i="79"/>
  <c r="D126" i="79"/>
  <c r="F125" i="79"/>
  <c r="F124" i="79"/>
  <c r="F123" i="79"/>
  <c r="F122" i="79"/>
  <c r="F121" i="79"/>
  <c r="F120" i="79"/>
  <c r="F119" i="79"/>
  <c r="F118" i="79"/>
  <c r="F117" i="79"/>
  <c r="F116" i="79"/>
  <c r="F115" i="79"/>
  <c r="F114" i="79"/>
  <c r="F113" i="79"/>
  <c r="F112" i="79"/>
  <c r="F111" i="79"/>
  <c r="F110" i="79"/>
  <c r="F109" i="79"/>
  <c r="F108" i="79"/>
  <c r="F107" i="79"/>
  <c r="F106" i="79"/>
  <c r="F105" i="79"/>
  <c r="F104" i="79"/>
  <c r="F103" i="79"/>
  <c r="D99" i="79"/>
  <c r="E89" i="79"/>
  <c r="D89" i="79"/>
  <c r="F88" i="79"/>
  <c r="F87" i="79"/>
  <c r="F86" i="79"/>
  <c r="F85" i="79"/>
  <c r="F83" i="79"/>
  <c r="F82" i="79"/>
  <c r="F81" i="79"/>
  <c r="F80" i="79"/>
  <c r="F79" i="79"/>
  <c r="F78" i="79"/>
  <c r="F77" i="79"/>
  <c r="F76" i="79"/>
  <c r="F75" i="79"/>
  <c r="F74" i="79"/>
  <c r="F73" i="79"/>
  <c r="F72" i="79"/>
  <c r="F71" i="79"/>
  <c r="F70" i="79"/>
  <c r="F69" i="79"/>
  <c r="F68" i="79"/>
  <c r="F67" i="79"/>
  <c r="F66" i="79"/>
  <c r="F65" i="79"/>
  <c r="F64" i="79"/>
  <c r="F62" i="79"/>
  <c r="F60" i="79"/>
  <c r="F59" i="79"/>
  <c r="F58" i="79"/>
  <c r="F57" i="79"/>
  <c r="F56" i="79"/>
  <c r="F55" i="79"/>
  <c r="F54" i="79"/>
  <c r="F53" i="79"/>
  <c r="F52" i="79"/>
  <c r="F51" i="79"/>
  <c r="F50" i="79"/>
  <c r="F49" i="79"/>
  <c r="F48" i="79"/>
  <c r="F47" i="79"/>
  <c r="F46" i="79"/>
  <c r="F45" i="79"/>
  <c r="F44" i="79"/>
  <c r="F43" i="79"/>
  <c r="F42" i="79"/>
  <c r="F41" i="79"/>
  <c r="F40" i="79"/>
  <c r="F39" i="79"/>
  <c r="F38" i="79"/>
  <c r="F37" i="79"/>
  <c r="F36" i="79"/>
  <c r="F35" i="79"/>
  <c r="F34" i="79"/>
  <c r="F33" i="79"/>
  <c r="F32" i="79"/>
  <c r="F31" i="79"/>
  <c r="F30" i="79"/>
  <c r="F29" i="79"/>
  <c r="F28" i="79"/>
  <c r="F26" i="79"/>
  <c r="F25" i="79"/>
  <c r="F24" i="79"/>
  <c r="F23" i="79"/>
  <c r="F22" i="79"/>
  <c r="F21" i="79"/>
  <c r="F20" i="79"/>
  <c r="F19" i="79"/>
  <c r="F18" i="79"/>
  <c r="F17" i="79"/>
  <c r="F16" i="79"/>
  <c r="F15" i="79"/>
  <c r="F14" i="79"/>
  <c r="F13" i="79"/>
  <c r="F11" i="79"/>
  <c r="F10" i="79"/>
  <c r="F9" i="79"/>
  <c r="F8" i="79"/>
  <c r="F7" i="79"/>
  <c r="N9" i="60" l="1"/>
  <c r="F361" i="79"/>
  <c r="F126" i="79"/>
  <c r="F323" i="79"/>
  <c r="F277" i="79"/>
  <c r="F342" i="79"/>
  <c r="F89" i="79"/>
  <c r="G240" i="74"/>
  <c r="G124" i="74"/>
  <c r="I309" i="57" l="1"/>
  <c r="C13" i="61"/>
  <c r="N30" i="60"/>
  <c r="N27" i="60"/>
  <c r="N23" i="60"/>
  <c r="N25" i="60"/>
  <c r="N26" i="60"/>
  <c r="C24" i="61"/>
  <c r="H240" i="74" s="1"/>
  <c r="C14" i="61"/>
  <c r="M53" i="60"/>
  <c r="I45" i="60"/>
  <c r="I152" i="60"/>
  <c r="J151" i="60"/>
  <c r="J149" i="60"/>
  <c r="J136" i="60"/>
  <c r="J310" i="57" l="1"/>
  <c r="I119" i="57" l="1"/>
  <c r="E15" i="73"/>
  <c r="D15" i="73"/>
  <c r="H924" i="78" l="1"/>
  <c r="H47" i="78"/>
  <c r="H1636" i="78"/>
  <c r="H1635" i="78"/>
  <c r="H1634" i="78"/>
  <c r="H1633" i="78"/>
  <c r="H1632" i="78"/>
  <c r="H1631" i="78"/>
  <c r="H1630" i="78"/>
  <c r="H1629" i="78"/>
  <c r="H1628" i="78"/>
  <c r="H1627" i="78"/>
  <c r="H1626" i="78"/>
  <c r="H1625" i="78"/>
  <c r="H1624" i="78"/>
  <c r="H1623" i="78"/>
  <c r="H1622" i="78"/>
  <c r="H1621" i="78"/>
  <c r="H1620" i="78"/>
  <c r="H1619" i="78"/>
  <c r="H1618" i="78"/>
  <c r="H1617" i="78"/>
  <c r="H1616" i="78"/>
  <c r="H1615" i="78"/>
  <c r="H1614" i="78"/>
  <c r="H1613" i="78"/>
  <c r="H1612" i="78"/>
  <c r="H1611" i="78"/>
  <c r="H1610" i="78"/>
  <c r="H1609" i="78"/>
  <c r="H1608" i="78"/>
  <c r="H1607" i="78"/>
  <c r="H1606" i="78"/>
  <c r="H1605" i="78"/>
  <c r="H1604" i="78"/>
  <c r="H1603" i="78"/>
  <c r="H1602" i="78"/>
  <c r="H1601" i="78"/>
  <c r="H1600" i="78"/>
  <c r="H1599" i="78"/>
  <c r="H1598" i="78"/>
  <c r="H1597" i="78"/>
  <c r="H1596" i="78"/>
  <c r="H1595" i="78"/>
  <c r="H1594" i="78"/>
  <c r="H1593" i="78"/>
  <c r="H1592" i="78"/>
  <c r="H1591" i="78"/>
  <c r="H1590" i="78"/>
  <c r="H1589" i="78"/>
  <c r="H1588" i="78"/>
  <c r="H1587" i="78"/>
  <c r="H1586" i="78"/>
  <c r="H1585" i="78"/>
  <c r="H1584" i="78"/>
  <c r="H1583" i="78"/>
  <c r="H1582" i="78"/>
  <c r="H1581" i="78"/>
  <c r="H1580" i="78"/>
  <c r="H1579" i="78"/>
  <c r="H1578" i="78"/>
  <c r="H1577" i="78"/>
  <c r="H1576" i="78"/>
  <c r="H1575" i="78"/>
  <c r="H1574" i="78"/>
  <c r="H1573" i="78"/>
  <c r="H1572" i="78"/>
  <c r="H1571" i="78"/>
  <c r="H1570" i="78"/>
  <c r="H1569" i="78"/>
  <c r="H1568" i="78"/>
  <c r="H1567" i="78"/>
  <c r="H1566" i="78"/>
  <c r="H1565" i="78"/>
  <c r="H1564" i="78"/>
  <c r="H1563" i="78"/>
  <c r="H1562" i="78"/>
  <c r="H1561" i="78"/>
  <c r="H1560" i="78"/>
  <c r="H1559" i="78"/>
  <c r="H1558" i="78"/>
  <c r="H1557" i="78"/>
  <c r="H1556" i="78"/>
  <c r="H1555" i="78"/>
  <c r="H1554" i="78"/>
  <c r="H1553" i="78"/>
  <c r="H1552" i="78"/>
  <c r="H1551" i="78"/>
  <c r="H1550" i="78"/>
  <c r="H1549" i="78"/>
  <c r="H1548" i="78"/>
  <c r="H1547" i="78"/>
  <c r="H1546" i="78"/>
  <c r="H1545" i="78"/>
  <c r="H1544" i="78"/>
  <c r="H1543" i="78"/>
  <c r="H1539" i="78"/>
  <c r="H1538" i="78"/>
  <c r="H1537" i="78"/>
  <c r="H1536" i="78"/>
  <c r="H1535" i="78"/>
  <c r="H1534" i="78"/>
  <c r="H1533" i="78"/>
  <c r="H1532" i="78"/>
  <c r="H1531" i="78"/>
  <c r="H1530" i="78"/>
  <c r="H1529" i="78"/>
  <c r="H1528" i="78"/>
  <c r="H1527" i="78"/>
  <c r="H1526" i="78"/>
  <c r="H1525" i="78"/>
  <c r="H1524" i="78"/>
  <c r="H1523" i="78"/>
  <c r="H1522" i="78"/>
  <c r="H1521" i="78"/>
  <c r="H1520" i="78"/>
  <c r="H1519" i="78"/>
  <c r="H1518" i="78"/>
  <c r="H1517" i="78"/>
  <c r="H1516" i="78"/>
  <c r="H1515" i="78"/>
  <c r="H1514" i="78"/>
  <c r="H1513" i="78"/>
  <c r="H1510" i="78"/>
  <c r="H1509" i="78"/>
  <c r="H1508" i="78"/>
  <c r="H1507" i="78"/>
  <c r="H1506" i="78"/>
  <c r="H1505" i="78"/>
  <c r="H1504" i="78"/>
  <c r="H1503" i="78"/>
  <c r="H1502" i="78"/>
  <c r="H1501" i="78"/>
  <c r="H1500" i="78"/>
  <c r="H1499" i="78"/>
  <c r="H1498" i="78"/>
  <c r="H1497" i="78"/>
  <c r="H1496" i="78"/>
  <c r="H1495" i="78"/>
  <c r="H1494" i="78"/>
  <c r="H1493" i="78"/>
  <c r="H1492" i="78"/>
  <c r="H1491" i="78"/>
  <c r="H1490" i="78"/>
  <c r="H1489" i="78"/>
  <c r="H1488" i="78"/>
  <c r="H1487" i="78"/>
  <c r="H1486" i="78"/>
  <c r="H1485" i="78"/>
  <c r="H1484" i="78"/>
  <c r="H1483" i="78"/>
  <c r="H1482" i="78"/>
  <c r="H1481" i="78"/>
  <c r="H1480" i="78"/>
  <c r="H1479" i="78"/>
  <c r="H1478" i="78"/>
  <c r="H1477" i="78"/>
  <c r="H1476" i="78"/>
  <c r="H1475" i="78"/>
  <c r="H1474" i="78"/>
  <c r="H1473" i="78"/>
  <c r="H1472" i="78"/>
  <c r="H1471" i="78"/>
  <c r="H1470" i="78"/>
  <c r="H1469" i="78"/>
  <c r="H1468" i="78"/>
  <c r="H1467" i="78"/>
  <c r="H1466" i="78"/>
  <c r="H1465" i="78"/>
  <c r="H1464" i="78"/>
  <c r="H1463" i="78"/>
  <c r="H1462" i="78"/>
  <c r="H1461" i="78"/>
  <c r="H1460" i="78"/>
  <c r="H1459" i="78"/>
  <c r="H1458" i="78"/>
  <c r="H1457" i="78"/>
  <c r="H1456" i="78"/>
  <c r="H1455" i="78"/>
  <c r="H1454" i="78"/>
  <c r="H1453" i="78"/>
  <c r="H1452" i="78"/>
  <c r="H1451" i="78"/>
  <c r="H1450" i="78"/>
  <c r="H1449" i="78"/>
  <c r="H1448" i="78"/>
  <c r="H1447" i="78"/>
  <c r="H1446" i="78"/>
  <c r="H1445" i="78"/>
  <c r="H1444" i="78"/>
  <c r="H1443" i="78"/>
  <c r="H1442" i="78"/>
  <c r="H1441" i="78"/>
  <c r="H1440" i="78"/>
  <c r="H1439" i="78"/>
  <c r="H1438" i="78"/>
  <c r="H1437" i="78"/>
  <c r="H1436" i="78"/>
  <c r="H1435" i="78"/>
  <c r="H1434" i="78"/>
  <c r="H1433" i="78"/>
  <c r="H1432" i="78"/>
  <c r="H1431" i="78"/>
  <c r="H1430" i="78"/>
  <c r="H1429" i="78"/>
  <c r="H1428" i="78"/>
  <c r="H1427" i="78"/>
  <c r="H1426" i="78"/>
  <c r="H1425" i="78"/>
  <c r="H1424" i="78"/>
  <c r="H1423" i="78"/>
  <c r="H1422" i="78"/>
  <c r="H1421" i="78"/>
  <c r="H1420" i="78"/>
  <c r="H1419" i="78"/>
  <c r="H1418" i="78"/>
  <c r="H1417" i="78"/>
  <c r="H1416" i="78"/>
  <c r="H1415" i="78"/>
  <c r="H1414" i="78"/>
  <c r="H1413" i="78"/>
  <c r="H1412" i="78"/>
  <c r="H1411" i="78"/>
  <c r="H1410" i="78"/>
  <c r="H1409" i="78"/>
  <c r="H1408" i="78"/>
  <c r="H1407" i="78"/>
  <c r="H1406" i="78"/>
  <c r="H1405" i="78"/>
  <c r="H1404" i="78"/>
  <c r="H1403" i="78"/>
  <c r="H1402" i="78"/>
  <c r="H1401" i="78"/>
  <c r="H1400" i="78"/>
  <c r="H1399" i="78"/>
  <c r="H1398" i="78"/>
  <c r="H1397" i="78"/>
  <c r="H1396" i="78"/>
  <c r="H1395" i="78"/>
  <c r="H1394" i="78"/>
  <c r="H1393" i="78"/>
  <c r="H1392" i="78"/>
  <c r="H1391" i="78"/>
  <c r="H1390" i="78"/>
  <c r="H1389" i="78"/>
  <c r="H1388" i="78"/>
  <c r="H1387" i="78"/>
  <c r="H1386" i="78"/>
  <c r="H1385" i="78"/>
  <c r="H1384" i="78"/>
  <c r="H1383" i="78"/>
  <c r="H1382" i="78"/>
  <c r="H1381" i="78"/>
  <c r="H1380" i="78"/>
  <c r="H1379" i="78"/>
  <c r="H1378" i="78"/>
  <c r="H1377" i="78"/>
  <c r="H1376" i="78"/>
  <c r="H1375" i="78"/>
  <c r="H1374" i="78"/>
  <c r="H1373" i="78"/>
  <c r="H1372" i="78"/>
  <c r="H1371" i="78"/>
  <c r="H1370" i="78"/>
  <c r="H1369" i="78"/>
  <c r="H1368" i="78"/>
  <c r="H1367" i="78"/>
  <c r="H1365" i="78"/>
  <c r="H1362" i="78"/>
  <c r="H1361" i="78"/>
  <c r="H1359" i="78"/>
  <c r="H1357" i="78"/>
  <c r="H1356" i="78"/>
  <c r="H1353" i="78"/>
  <c r="H1352" i="78"/>
  <c r="H1349" i="78"/>
  <c r="H1348" i="78"/>
  <c r="H1347" i="78"/>
  <c r="H1346" i="78"/>
  <c r="H1345" i="78"/>
  <c r="H1344" i="78"/>
  <c r="H1343" i="78"/>
  <c r="H1342" i="78"/>
  <c r="H1341" i="78"/>
  <c r="H1340" i="78"/>
  <c r="H1339" i="78"/>
  <c r="H1338" i="78"/>
  <c r="H1337" i="78"/>
  <c r="H1336" i="78"/>
  <c r="H1335" i="78"/>
  <c r="H1334" i="78"/>
  <c r="H1330" i="78"/>
  <c r="H1329" i="78"/>
  <c r="H1328" i="78"/>
  <c r="H1327" i="78"/>
  <c r="H1324" i="78"/>
  <c r="H1323" i="78"/>
  <c r="H1322" i="78"/>
  <c r="H1321" i="78"/>
  <c r="H1320" i="78"/>
  <c r="H1319" i="78"/>
  <c r="H1318" i="78"/>
  <c r="H1317" i="78"/>
  <c r="H1316" i="78"/>
  <c r="H1315" i="78"/>
  <c r="H1314" i="78"/>
  <c r="H1313" i="78"/>
  <c r="H1312" i="78"/>
  <c r="H1311" i="78"/>
  <c r="H1310" i="78"/>
  <c r="H1309" i="78"/>
  <c r="H1308" i="78"/>
  <c r="H1307" i="78"/>
  <c r="H1306" i="78"/>
  <c r="H1305" i="78"/>
  <c r="H1304" i="78"/>
  <c r="H1303" i="78"/>
  <c r="H1302" i="78"/>
  <c r="H1301" i="78"/>
  <c r="H1300" i="78"/>
  <c r="H1299" i="78"/>
  <c r="H1298" i="78"/>
  <c r="H1297" i="78"/>
  <c r="H1296" i="78"/>
  <c r="H1295" i="78"/>
  <c r="H1294" i="78"/>
  <c r="H1293" i="78"/>
  <c r="H1292" i="78"/>
  <c r="H1291" i="78"/>
  <c r="H1290" i="78"/>
  <c r="H1289" i="78"/>
  <c r="H1288" i="78"/>
  <c r="H1287" i="78"/>
  <c r="H1286" i="78"/>
  <c r="H1285" i="78"/>
  <c r="H1284" i="78"/>
  <c r="H1283" i="78"/>
  <c r="H1282" i="78"/>
  <c r="H1281" i="78"/>
  <c r="H1280" i="78"/>
  <c r="H1279" i="78"/>
  <c r="H1278" i="78"/>
  <c r="H1277" i="78"/>
  <c r="H1276" i="78"/>
  <c r="H1275" i="78"/>
  <c r="H1272" i="78"/>
  <c r="H1271" i="78"/>
  <c r="H1270" i="78"/>
  <c r="H1269" i="78"/>
  <c r="H1268" i="78"/>
  <c r="H1267" i="78"/>
  <c r="H1266" i="78"/>
  <c r="H1265" i="78"/>
  <c r="H1264" i="78"/>
  <c r="H1263" i="78"/>
  <c r="H1262" i="78"/>
  <c r="H1261" i="78"/>
  <c r="H1260" i="78"/>
  <c r="H1259" i="78"/>
  <c r="H1258" i="78"/>
  <c r="H1257" i="78"/>
  <c r="H1255" i="78"/>
  <c r="H1253" i="78"/>
  <c r="H1252" i="78"/>
  <c r="H1251" i="78"/>
  <c r="H1248" i="78"/>
  <c r="H1247" i="78"/>
  <c r="H1246" i="78"/>
  <c r="H1245" i="78"/>
  <c r="H1244" i="78"/>
  <c r="H1243" i="78"/>
  <c r="H1242" i="78"/>
  <c r="H1241" i="78"/>
  <c r="H1240" i="78"/>
  <c r="H1239" i="78"/>
  <c r="H1238" i="78"/>
  <c r="H1237" i="78"/>
  <c r="H1236" i="78"/>
  <c r="H1235" i="78"/>
  <c r="H1234" i="78"/>
  <c r="H1232" i="78"/>
  <c r="H1230" i="78"/>
  <c r="H1229" i="78"/>
  <c r="H1228" i="78"/>
  <c r="H1225" i="78"/>
  <c r="H1224" i="78"/>
  <c r="H1223" i="78"/>
  <c r="H1220" i="78"/>
  <c r="H1219" i="78"/>
  <c r="H1216" i="78"/>
  <c r="H1215" i="78"/>
  <c r="H1214" i="78"/>
  <c r="H1213" i="78"/>
  <c r="H1212" i="78"/>
  <c r="H1209" i="78"/>
  <c r="H1208" i="78"/>
  <c r="H1207" i="78"/>
  <c r="H1206" i="78"/>
  <c r="H1205" i="78"/>
  <c r="H1204" i="78"/>
  <c r="H1201" i="78"/>
  <c r="H1200" i="78"/>
  <c r="H1199" i="78"/>
  <c r="H1196" i="78"/>
  <c r="H1195" i="78"/>
  <c r="H1194" i="78"/>
  <c r="H1191" i="78"/>
  <c r="H1190" i="78"/>
  <c r="H1189" i="78"/>
  <c r="H1186" i="78"/>
  <c r="H1185" i="78"/>
  <c r="H1184" i="78"/>
  <c r="H1183" i="78"/>
  <c r="H1180" i="78"/>
  <c r="H1179" i="78"/>
  <c r="H1178" i="78"/>
  <c r="H1177" i="78"/>
  <c r="H1174" i="78"/>
  <c r="H1173" i="78"/>
  <c r="H1172" i="78"/>
  <c r="H1171" i="78"/>
  <c r="H1170" i="78"/>
  <c r="H1167" i="78"/>
  <c r="H1166" i="78"/>
  <c r="H1165" i="78"/>
  <c r="H1164" i="78"/>
  <c r="H1163" i="78"/>
  <c r="H1162" i="78"/>
  <c r="H1161" i="78"/>
  <c r="H1160" i="78"/>
  <c r="H1159" i="78"/>
  <c r="H1158" i="78"/>
  <c r="H1155" i="78"/>
  <c r="H1154" i="78"/>
  <c r="H1153" i="78"/>
  <c r="H1152" i="78"/>
  <c r="H1151" i="78"/>
  <c r="H1150" i="78"/>
  <c r="H1149" i="78"/>
  <c r="H1148" i="78"/>
  <c r="H1147" i="78"/>
  <c r="H1146" i="78"/>
  <c r="H1145" i="78"/>
  <c r="H1144" i="78"/>
  <c r="H1143" i="78"/>
  <c r="H1142" i="78"/>
  <c r="H1139" i="78"/>
  <c r="H1138" i="78"/>
  <c r="H1137" i="78"/>
  <c r="H1136" i="78"/>
  <c r="H1133" i="78"/>
  <c r="H1132" i="78"/>
  <c r="H1131" i="78"/>
  <c r="H1128" i="78"/>
  <c r="H1127" i="78"/>
  <c r="H1126" i="78"/>
  <c r="H1125" i="78"/>
  <c r="H1124" i="78"/>
  <c r="H1123" i="78"/>
  <c r="H1122" i="78"/>
  <c r="H1120" i="78"/>
  <c r="H1118" i="78"/>
  <c r="H1117" i="78"/>
  <c r="H1114" i="78"/>
  <c r="H1113" i="78"/>
  <c r="H1110" i="78"/>
  <c r="H1109" i="78"/>
  <c r="H1108" i="78"/>
  <c r="H1107" i="78"/>
  <c r="H1106" i="78"/>
  <c r="H1103" i="78"/>
  <c r="H1102" i="78"/>
  <c r="H1099" i="78"/>
  <c r="H1098" i="78"/>
  <c r="H1097" i="78"/>
  <c r="H1096" i="78"/>
  <c r="H1095" i="78"/>
  <c r="H1094" i="78"/>
  <c r="H1093" i="78"/>
  <c r="H1092" i="78"/>
  <c r="H1091" i="78"/>
  <c r="H1090" i="78"/>
  <c r="H1089" i="78"/>
  <c r="H1086" i="78"/>
  <c r="H1085" i="78"/>
  <c r="H1082" i="78"/>
  <c r="H1081" i="78"/>
  <c r="H1078" i="78"/>
  <c r="H1077" i="78"/>
  <c r="H1076" i="78"/>
  <c r="H1075" i="78"/>
  <c r="H1072" i="78"/>
  <c r="H1071" i="78"/>
  <c r="H1070" i="78"/>
  <c r="H1067" i="78"/>
  <c r="H1066" i="78"/>
  <c r="H1065" i="78"/>
  <c r="H1064" i="78"/>
  <c r="H1063" i="78"/>
  <c r="H1062" i="78"/>
  <c r="H1061" i="78"/>
  <c r="H1060" i="78"/>
  <c r="H1059" i="78"/>
  <c r="H1058" i="78"/>
  <c r="H1057" i="78"/>
  <c r="H1056" i="78"/>
  <c r="H1055" i="78"/>
  <c r="H1054" i="78"/>
  <c r="H1053" i="78"/>
  <c r="H1052" i="78"/>
  <c r="H1051" i="78"/>
  <c r="H1050" i="78"/>
  <c r="H1049" i="78"/>
  <c r="H1048" i="78"/>
  <c r="H1047" i="78"/>
  <c r="H1046" i="78"/>
  <c r="H1045" i="78"/>
  <c r="H1044" i="78"/>
  <c r="H1043" i="78"/>
  <c r="H1042" i="78"/>
  <c r="H1041" i="78"/>
  <c r="H1040" i="78"/>
  <c r="H1039" i="78"/>
  <c r="H1038" i="78"/>
  <c r="H1037" i="78"/>
  <c r="H1036" i="78"/>
  <c r="H1035" i="78"/>
  <c r="H1034" i="78"/>
  <c r="H1033" i="78"/>
  <c r="H1032" i="78"/>
  <c r="H1031" i="78"/>
  <c r="H1030" i="78"/>
  <c r="H1029" i="78"/>
  <c r="H1028" i="78"/>
  <c r="H1027" i="78"/>
  <c r="H1026" i="78"/>
  <c r="H1025" i="78"/>
  <c r="H1024" i="78"/>
  <c r="H1023" i="78"/>
  <c r="H1022" i="78"/>
  <c r="H1021" i="78"/>
  <c r="H1020" i="78"/>
  <c r="H1019" i="78"/>
  <c r="H1018" i="78"/>
  <c r="H1017" i="78"/>
  <c r="H1016" i="78"/>
  <c r="H1012" i="78"/>
  <c r="H1011" i="78"/>
  <c r="H1010" i="78"/>
  <c r="H1007" i="78"/>
  <c r="H1006" i="78"/>
  <c r="H1005" i="78"/>
  <c r="H1004" i="78"/>
  <c r="H1001" i="78"/>
  <c r="H1000" i="78"/>
  <c r="H999" i="78"/>
  <c r="H998" i="78"/>
  <c r="H997" i="78"/>
  <c r="H993" i="78"/>
  <c r="H992" i="78"/>
  <c r="H991" i="78"/>
  <c r="H990" i="78"/>
  <c r="H987" i="78"/>
  <c r="H986" i="78"/>
  <c r="H983" i="78"/>
  <c r="H982" i="78"/>
  <c r="H981" i="78"/>
  <c r="H978" i="78"/>
  <c r="H977" i="78"/>
  <c r="H976" i="78"/>
  <c r="H975" i="78"/>
  <c r="H974" i="78"/>
  <c r="H971" i="78"/>
  <c r="H970" i="78"/>
  <c r="H969" i="78"/>
  <c r="H968" i="78"/>
  <c r="H967" i="78"/>
  <c r="H964" i="78"/>
  <c r="H963" i="78"/>
  <c r="H960" i="78"/>
  <c r="H959" i="78"/>
  <c r="H955" i="78"/>
  <c r="H954" i="78"/>
  <c r="H951" i="78"/>
  <c r="H950" i="78"/>
  <c r="H947" i="78"/>
  <c r="H946" i="78"/>
  <c r="H943" i="78"/>
  <c r="H942" i="78"/>
  <c r="H941" i="78"/>
  <c r="H940" i="78"/>
  <c r="H937" i="78"/>
  <c r="H936" i="78"/>
  <c r="H935" i="78"/>
  <c r="H932" i="78"/>
  <c r="H931" i="78"/>
  <c r="H928" i="78"/>
  <c r="H927" i="78"/>
  <c r="H923" i="78"/>
  <c r="H922" i="78"/>
  <c r="H919" i="78"/>
  <c r="H918" i="78"/>
  <c r="H917" i="78"/>
  <c r="H914" i="78"/>
  <c r="H913" i="78"/>
  <c r="H912" i="78"/>
  <c r="H909" i="78"/>
  <c r="H908" i="78"/>
  <c r="H907" i="78"/>
  <c r="H904" i="78"/>
  <c r="H903" i="78"/>
  <c r="H902" i="78"/>
  <c r="H901" i="78"/>
  <c r="H900" i="78"/>
  <c r="H899" i="78"/>
  <c r="H896" i="78"/>
  <c r="H895" i="78"/>
  <c r="H894" i="78"/>
  <c r="H893" i="78"/>
  <c r="H892" i="78"/>
  <c r="H891" i="78"/>
  <c r="H890" i="78"/>
  <c r="H887" i="78"/>
  <c r="H886" i="78"/>
  <c r="H885" i="78"/>
  <c r="H884" i="78"/>
  <c r="H883" i="78"/>
  <c r="H882" i="78"/>
  <c r="H881" i="78"/>
  <c r="H880" i="78"/>
  <c r="H879" i="78"/>
  <c r="H878" i="78"/>
  <c r="H877" i="78"/>
  <c r="H876" i="78"/>
  <c r="H875" i="78"/>
  <c r="H874" i="78"/>
  <c r="H873" i="78"/>
  <c r="H872" i="78"/>
  <c r="H871" i="78"/>
  <c r="H870" i="78"/>
  <c r="H869" i="78"/>
  <c r="H868" i="78"/>
  <c r="H867" i="78"/>
  <c r="H866" i="78"/>
  <c r="H865" i="78"/>
  <c r="H864" i="78"/>
  <c r="H863" i="78"/>
  <c r="H862" i="78"/>
  <c r="H861" i="78"/>
  <c r="H860" i="78"/>
  <c r="H859" i="78"/>
  <c r="H858" i="78"/>
  <c r="H857" i="78"/>
  <c r="H856" i="78"/>
  <c r="H855" i="78"/>
  <c r="H854" i="78"/>
  <c r="H853" i="78"/>
  <c r="H852" i="78"/>
  <c r="H851" i="78"/>
  <c r="H850" i="78"/>
  <c r="H849" i="78"/>
  <c r="H848" i="78"/>
  <c r="H847" i="78"/>
  <c r="H846" i="78"/>
  <c r="H845" i="78"/>
  <c r="H844" i="78"/>
  <c r="H843" i="78"/>
  <c r="H842" i="78"/>
  <c r="H841" i="78"/>
  <c r="H840" i="78"/>
  <c r="H839" i="78"/>
  <c r="H838" i="78"/>
  <c r="H837" i="78"/>
  <c r="H836" i="78"/>
  <c r="H835" i="78"/>
  <c r="H834" i="78"/>
  <c r="H833" i="78"/>
  <c r="H832" i="78"/>
  <c r="H828" i="78"/>
  <c r="H827" i="78"/>
  <c r="H826" i="78"/>
  <c r="H825" i="78"/>
  <c r="H824" i="78"/>
  <c r="H823" i="78"/>
  <c r="H822" i="78"/>
  <c r="H821" i="78"/>
  <c r="H820" i="78"/>
  <c r="H819" i="78"/>
  <c r="H818" i="78"/>
  <c r="H817" i="78"/>
  <c r="H816" i="78"/>
  <c r="H815" i="78"/>
  <c r="H814" i="78"/>
  <c r="H813" i="78"/>
  <c r="H812" i="78"/>
  <c r="H811" i="78"/>
  <c r="H810" i="78"/>
  <c r="H809" i="78"/>
  <c r="H808" i="78"/>
  <c r="H807" i="78"/>
  <c r="H806" i="78"/>
  <c r="H805" i="78"/>
  <c r="H804" i="78"/>
  <c r="H803" i="78"/>
  <c r="H802" i="78"/>
  <c r="H801" i="78"/>
  <c r="H798" i="78"/>
  <c r="H797" i="78"/>
  <c r="H796" i="78"/>
  <c r="H795" i="78"/>
  <c r="H794" i="78"/>
  <c r="H793" i="78"/>
  <c r="H792" i="78"/>
  <c r="H791" i="78"/>
  <c r="H790" i="78"/>
  <c r="H789" i="78"/>
  <c r="H788" i="78"/>
  <c r="H787" i="78"/>
  <c r="H786" i="78"/>
  <c r="H785" i="78"/>
  <c r="H784" i="78"/>
  <c r="H783" i="78"/>
  <c r="H782" i="78"/>
  <c r="H781" i="78"/>
  <c r="H780" i="78"/>
  <c r="H779" i="78"/>
  <c r="H778" i="78"/>
  <c r="H777" i="78"/>
  <c r="H776" i="78"/>
  <c r="H775" i="78"/>
  <c r="H774" i="78"/>
  <c r="H773" i="78"/>
  <c r="H772" i="78"/>
  <c r="H771" i="78"/>
  <c r="H770" i="78"/>
  <c r="H769" i="78"/>
  <c r="H766" i="78"/>
  <c r="H765" i="78"/>
  <c r="H764" i="78"/>
  <c r="H763" i="78"/>
  <c r="H762" i="78"/>
  <c r="H761" i="78"/>
  <c r="H760" i="78"/>
  <c r="H759" i="78"/>
  <c r="H758" i="78"/>
  <c r="H757" i="78"/>
  <c r="H756" i="78"/>
  <c r="H755" i="78"/>
  <c r="H754" i="78"/>
  <c r="H753" i="78"/>
  <c r="H752" i="78"/>
  <c r="H751" i="78"/>
  <c r="H748" i="78"/>
  <c r="H746" i="78"/>
  <c r="H745" i="78"/>
  <c r="H744" i="78"/>
  <c r="H743" i="78"/>
  <c r="H740" i="78"/>
  <c r="H739" i="78"/>
  <c r="H738" i="78"/>
  <c r="H737" i="78"/>
  <c r="H736" i="78"/>
  <c r="H735" i="78"/>
  <c r="H732" i="78"/>
  <c r="H731" i="78"/>
  <c r="H730" i="78"/>
  <c r="H729" i="78"/>
  <c r="H728" i="78"/>
  <c r="H725" i="78"/>
  <c r="H724" i="78"/>
  <c r="H723" i="78"/>
  <c r="H722" i="78"/>
  <c r="H721" i="78"/>
  <c r="H720" i="78"/>
  <c r="H719" i="78"/>
  <c r="H718" i="78"/>
  <c r="H717" i="78"/>
  <c r="H716" i="78"/>
  <c r="H715" i="78"/>
  <c r="H714" i="78"/>
  <c r="H713" i="78"/>
  <c r="H712" i="78"/>
  <c r="H711" i="78"/>
  <c r="H710" i="78"/>
  <c r="H709" i="78"/>
  <c r="H708" i="78"/>
  <c r="H707" i="78"/>
  <c r="H706" i="78"/>
  <c r="H705" i="78"/>
  <c r="H704" i="78"/>
  <c r="H703" i="78"/>
  <c r="H702" i="78"/>
  <c r="H699" i="78"/>
  <c r="H698" i="78"/>
  <c r="H697" i="78"/>
  <c r="H696" i="78"/>
  <c r="H693" i="78"/>
  <c r="H692" i="78"/>
  <c r="H691" i="78"/>
  <c r="H690" i="78"/>
  <c r="H689" i="78"/>
  <c r="H688" i="78"/>
  <c r="H687" i="78"/>
  <c r="H686" i="78"/>
  <c r="H685" i="78"/>
  <c r="H684" i="78"/>
  <c r="H683" i="78"/>
  <c r="H682" i="78"/>
  <c r="H681" i="78"/>
  <c r="H680" i="78"/>
  <c r="H679" i="78"/>
  <c r="H678" i="78"/>
  <c r="H677" i="78"/>
  <c r="H676" i="78"/>
  <c r="H675" i="78"/>
  <c r="H674" i="78"/>
  <c r="H673" i="78"/>
  <c r="H670" i="78"/>
  <c r="H669" i="78"/>
  <c r="H668" i="78"/>
  <c r="H667" i="78"/>
  <c r="H664" i="78"/>
  <c r="H663" i="78"/>
  <c r="H662" i="78"/>
  <c r="H661" i="78"/>
  <c r="H660" i="78"/>
  <c r="H659" i="78"/>
  <c r="H658" i="78"/>
  <c r="H657" i="78"/>
  <c r="H656" i="78"/>
  <c r="H655" i="78"/>
  <c r="H654" i="78"/>
  <c r="H653" i="78"/>
  <c r="H652" i="78"/>
  <c r="H651" i="78"/>
  <c r="H650" i="78"/>
  <c r="H649" i="78"/>
  <c r="H648" i="78"/>
  <c r="H647" i="78"/>
  <c r="H646" i="78"/>
  <c r="H644" i="78"/>
  <c r="H643" i="78"/>
  <c r="H642" i="78"/>
  <c r="H641" i="78"/>
  <c r="H640" i="78"/>
  <c r="H639" i="78"/>
  <c r="H638" i="78"/>
  <c r="H637" i="78"/>
  <c r="H636" i="78"/>
  <c r="H635" i="78"/>
  <c r="H634" i="78"/>
  <c r="H633" i="78"/>
  <c r="H632" i="78"/>
  <c r="H631" i="78"/>
  <c r="H628" i="78"/>
  <c r="H627" i="78"/>
  <c r="H626" i="78"/>
  <c r="H625" i="78"/>
  <c r="H624" i="78"/>
  <c r="H623" i="78"/>
  <c r="H622" i="78"/>
  <c r="H621" i="78"/>
  <c r="H620" i="78"/>
  <c r="H619" i="78"/>
  <c r="H618" i="78"/>
  <c r="H617" i="78"/>
  <c r="H614" i="78"/>
  <c r="H613" i="78"/>
  <c r="H611" i="78"/>
  <c r="H609" i="78"/>
  <c r="H608" i="78"/>
  <c r="H607" i="78"/>
  <c r="H606" i="78"/>
  <c r="H605" i="78"/>
  <c r="H604" i="78"/>
  <c r="H600" i="78"/>
  <c r="H599" i="78"/>
  <c r="H598" i="78"/>
  <c r="H597" i="78"/>
  <c r="H596" i="78"/>
  <c r="H595" i="78"/>
  <c r="H594" i="78"/>
  <c r="H593" i="78"/>
  <c r="H592" i="78"/>
  <c r="H591" i="78"/>
  <c r="H590" i="78"/>
  <c r="H589" i="78"/>
  <c r="H588" i="78"/>
  <c r="H587" i="78"/>
  <c r="H586" i="78"/>
  <c r="H585" i="78"/>
  <c r="H584" i="78"/>
  <c r="H583" i="78"/>
  <c r="H582" i="78"/>
  <c r="H581" i="78"/>
  <c r="H580" i="78"/>
  <c r="H579" i="78"/>
  <c r="H578" i="78"/>
  <c r="H577" i="78"/>
  <c r="H576" i="78"/>
  <c r="H575" i="78"/>
  <c r="H574" i="78"/>
  <c r="H573" i="78"/>
  <c r="H572" i="78"/>
  <c r="H570" i="78"/>
  <c r="H569" i="78"/>
  <c r="H568" i="78"/>
  <c r="H567" i="78"/>
  <c r="H566" i="78"/>
  <c r="H565" i="78"/>
  <c r="H564" i="78"/>
  <c r="H563" i="78"/>
  <c r="H562" i="78"/>
  <c r="H561" i="78"/>
  <c r="H560" i="78"/>
  <c r="H559" i="78"/>
  <c r="H558" i="78"/>
  <c r="H557" i="78"/>
  <c r="H556" i="78"/>
  <c r="H555" i="78"/>
  <c r="H554" i="78"/>
  <c r="H553" i="78"/>
  <c r="H552" i="78"/>
  <c r="H551" i="78"/>
  <c r="H550" i="78"/>
  <c r="H549" i="78"/>
  <c r="H548" i="78"/>
  <c r="H547" i="78"/>
  <c r="H546" i="78"/>
  <c r="H545" i="78"/>
  <c r="H541" i="78"/>
  <c r="H540" i="78"/>
  <c r="H539" i="78"/>
  <c r="H538" i="78"/>
  <c r="H537" i="78"/>
  <c r="H536" i="78"/>
  <c r="H535" i="78"/>
  <c r="H534" i="78"/>
  <c r="H533" i="78"/>
  <c r="H532" i="78"/>
  <c r="H531" i="78"/>
  <c r="H530" i="78"/>
  <c r="H529" i="78"/>
  <c r="H528" i="78"/>
  <c r="H527" i="78"/>
  <c r="H526" i="78"/>
  <c r="H525" i="78"/>
  <c r="H524" i="78"/>
  <c r="H523" i="78"/>
  <c r="H522" i="78"/>
  <c r="H521" i="78"/>
  <c r="H520" i="78"/>
  <c r="H519" i="78"/>
  <c r="H518" i="78"/>
  <c r="H517" i="78"/>
  <c r="H516" i="78"/>
  <c r="H515" i="78"/>
  <c r="H514" i="78"/>
  <c r="H513" i="78"/>
  <c r="H512" i="78"/>
  <c r="H511" i="78"/>
  <c r="H510" i="78"/>
  <c r="H509" i="78"/>
  <c r="H508" i="78"/>
  <c r="H507" i="78"/>
  <c r="H506" i="78"/>
  <c r="H505" i="78"/>
  <c r="H504" i="78"/>
  <c r="H503" i="78"/>
  <c r="H502" i="78"/>
  <c r="H501" i="78"/>
  <c r="H500" i="78"/>
  <c r="H499" i="78"/>
  <c r="H498" i="78"/>
  <c r="H497" i="78"/>
  <c r="H496" i="78"/>
  <c r="H495" i="78"/>
  <c r="H494" i="78"/>
  <c r="H493" i="78"/>
  <c r="H492" i="78"/>
  <c r="H491" i="78"/>
  <c r="H490" i="78"/>
  <c r="H489" i="78"/>
  <c r="H488" i="78"/>
  <c r="H487" i="78"/>
  <c r="H486" i="78"/>
  <c r="H485" i="78"/>
  <c r="H484" i="78"/>
  <c r="H483" i="78"/>
  <c r="H482" i="78"/>
  <c r="H481" i="78"/>
  <c r="H480" i="78"/>
  <c r="H479" i="78"/>
  <c r="H478" i="78"/>
  <c r="H477" i="78"/>
  <c r="H476" i="78"/>
  <c r="H475" i="78"/>
  <c r="H474" i="78"/>
  <c r="H473" i="78"/>
  <c r="H472" i="78"/>
  <c r="H471" i="78"/>
  <c r="H470" i="78"/>
  <c r="H469" i="78"/>
  <c r="H468" i="78"/>
  <c r="H467" i="78"/>
  <c r="H466" i="78"/>
  <c r="H465" i="78"/>
  <c r="H464" i="78"/>
  <c r="H463" i="78"/>
  <c r="H462" i="78"/>
  <c r="H461" i="78"/>
  <c r="H460" i="78"/>
  <c r="H459" i="78"/>
  <c r="H458" i="78"/>
  <c r="H457" i="78"/>
  <c r="H456" i="78"/>
  <c r="H455" i="78"/>
  <c r="H454" i="78"/>
  <c r="H453" i="78"/>
  <c r="H452" i="78"/>
  <c r="H451" i="78"/>
  <c r="H450" i="78"/>
  <c r="H449" i="78"/>
  <c r="H448" i="78"/>
  <c r="H447" i="78"/>
  <c r="H446" i="78"/>
  <c r="H445" i="78"/>
  <c r="H444" i="78"/>
  <c r="H443" i="78"/>
  <c r="H442" i="78"/>
  <c r="H441" i="78"/>
  <c r="H440" i="78"/>
  <c r="H439" i="78"/>
  <c r="H438" i="78"/>
  <c r="H437" i="78"/>
  <c r="H436" i="78"/>
  <c r="H435" i="78"/>
  <c r="H434" i="78"/>
  <c r="H433" i="78"/>
  <c r="H432" i="78"/>
  <c r="H431" i="78"/>
  <c r="H430" i="78"/>
  <c r="H429" i="78"/>
  <c r="H428" i="78"/>
  <c r="H427" i="78"/>
  <c r="H426" i="78"/>
  <c r="H425" i="78"/>
  <c r="H424" i="78"/>
  <c r="H423" i="78"/>
  <c r="H422" i="78"/>
  <c r="H421" i="78"/>
  <c r="H420" i="78"/>
  <c r="H419" i="78"/>
  <c r="H418" i="78"/>
  <c r="H417" i="78"/>
  <c r="H416" i="78"/>
  <c r="H415" i="78"/>
  <c r="H414" i="78"/>
  <c r="H413" i="78"/>
  <c r="H412" i="78"/>
  <c r="H411" i="78"/>
  <c r="H410" i="78"/>
  <c r="H409" i="78"/>
  <c r="H408" i="78"/>
  <c r="H407" i="78"/>
  <c r="H406" i="78"/>
  <c r="H405" i="78"/>
  <c r="H404" i="78"/>
  <c r="H403" i="78"/>
  <c r="H402" i="78"/>
  <c r="H401" i="78"/>
  <c r="H400" i="78"/>
  <c r="H399" i="78"/>
  <c r="H398" i="78"/>
  <c r="H397" i="78"/>
  <c r="H396" i="78"/>
  <c r="H395" i="78"/>
  <c r="H394" i="78"/>
  <c r="H393" i="78"/>
  <c r="H392" i="78"/>
  <c r="H391" i="78"/>
  <c r="H390" i="78"/>
  <c r="H389" i="78"/>
  <c r="H388" i="78"/>
  <c r="H387" i="78"/>
  <c r="H386" i="78"/>
  <c r="H385" i="78"/>
  <c r="H384" i="78"/>
  <c r="H383" i="78"/>
  <c r="H382" i="78"/>
  <c r="H381" i="78"/>
  <c r="H380" i="78"/>
  <c r="H379" i="78"/>
  <c r="H378" i="78"/>
  <c r="H377" i="78"/>
  <c r="H376" i="78"/>
  <c r="H375" i="78"/>
  <c r="H374" i="78"/>
  <c r="H373" i="78"/>
  <c r="H372" i="78"/>
  <c r="H371" i="78"/>
  <c r="H370" i="78"/>
  <c r="H369" i="78"/>
  <c r="H368" i="78"/>
  <c r="H367" i="78"/>
  <c r="H366" i="78"/>
  <c r="H365" i="78"/>
  <c r="H364" i="78"/>
  <c r="H363" i="78"/>
  <c r="H362" i="78"/>
  <c r="H361" i="78"/>
  <c r="H360" i="78"/>
  <c r="H359" i="78"/>
  <c r="H358" i="78"/>
  <c r="H357" i="78"/>
  <c r="H356" i="78"/>
  <c r="H355" i="78"/>
  <c r="H354" i="78"/>
  <c r="H353" i="78"/>
  <c r="H352" i="78"/>
  <c r="H351" i="78"/>
  <c r="H350" i="78"/>
  <c r="H349" i="78"/>
  <c r="H348" i="78"/>
  <c r="H347" i="78"/>
  <c r="H346" i="78"/>
  <c r="H345" i="78"/>
  <c r="H344" i="78"/>
  <c r="H343" i="78"/>
  <c r="H342" i="78"/>
  <c r="H341" i="78"/>
  <c r="H340" i="78"/>
  <c r="H339" i="78"/>
  <c r="H338" i="78"/>
  <c r="H337" i="78"/>
  <c r="H336" i="78"/>
  <c r="H335" i="78"/>
  <c r="H334" i="78"/>
  <c r="H333" i="78"/>
  <c r="H332" i="78"/>
  <c r="H331" i="78"/>
  <c r="H330" i="78"/>
  <c r="H329" i="78"/>
  <c r="H328" i="78"/>
  <c r="H327" i="78"/>
  <c r="H326" i="78"/>
  <c r="H325" i="78"/>
  <c r="H324" i="78"/>
  <c r="H323" i="78"/>
  <c r="H322" i="78"/>
  <c r="H321" i="78"/>
  <c r="H320" i="78"/>
  <c r="H319" i="78"/>
  <c r="H318" i="78"/>
  <c r="H317" i="78"/>
  <c r="H316" i="78"/>
  <c r="H315" i="78"/>
  <c r="H314" i="78"/>
  <c r="H313" i="78"/>
  <c r="H312" i="78"/>
  <c r="H311" i="78"/>
  <c r="H310" i="78"/>
  <c r="H309" i="78"/>
  <c r="H308" i="78"/>
  <c r="H307" i="78"/>
  <c r="H306" i="78"/>
  <c r="H305" i="78"/>
  <c r="H304" i="78"/>
  <c r="H303" i="78"/>
  <c r="H302" i="78"/>
  <c r="H301" i="78"/>
  <c r="H300" i="78"/>
  <c r="H299" i="78"/>
  <c r="H298" i="78"/>
  <c r="H297" i="78"/>
  <c r="H296" i="78"/>
  <c r="H295" i="78"/>
  <c r="H294" i="78"/>
  <c r="H293" i="78"/>
  <c r="H292" i="78"/>
  <c r="H291" i="78"/>
  <c r="H290" i="78"/>
  <c r="H289" i="78"/>
  <c r="H288" i="78"/>
  <c r="H287" i="78"/>
  <c r="H286" i="78"/>
  <c r="H285" i="78"/>
  <c r="H284" i="78"/>
  <c r="H283" i="78"/>
  <c r="H282" i="78"/>
  <c r="H281" i="78"/>
  <c r="H280" i="78"/>
  <c r="H279" i="78"/>
  <c r="H278" i="78"/>
  <c r="H277" i="78"/>
  <c r="H276" i="78"/>
  <c r="H275" i="78"/>
  <c r="H274" i="78"/>
  <c r="H273" i="78"/>
  <c r="H272" i="78"/>
  <c r="H271" i="78"/>
  <c r="H270" i="78"/>
  <c r="H269" i="78"/>
  <c r="H268" i="78"/>
  <c r="H267" i="78"/>
  <c r="H264" i="78"/>
  <c r="H263" i="78"/>
  <c r="H262" i="78"/>
  <c r="H261" i="78"/>
  <c r="H260" i="78"/>
  <c r="H256" i="78"/>
  <c r="H255" i="78"/>
  <c r="H254" i="78"/>
  <c r="H253" i="78"/>
  <c r="H252" i="78"/>
  <c r="H251" i="78"/>
  <c r="H250" i="78"/>
  <c r="H249" i="78"/>
  <c r="H248" i="78"/>
  <c r="H247" i="78"/>
  <c r="H246" i="78"/>
  <c r="H245" i="78"/>
  <c r="H244" i="78"/>
  <c r="H243" i="78"/>
  <c r="H242" i="78"/>
  <c r="H241" i="78"/>
  <c r="H240" i="78"/>
  <c r="H239" i="78"/>
  <c r="H238" i="78"/>
  <c r="H237" i="78"/>
  <c r="H236" i="78"/>
  <c r="H235" i="78"/>
  <c r="H234" i="78"/>
  <c r="H233" i="78"/>
  <c r="H232" i="78"/>
  <c r="H231" i="78"/>
  <c r="H230" i="78"/>
  <c r="H229" i="78"/>
  <c r="H228" i="78"/>
  <c r="H227" i="78"/>
  <c r="H226" i="78"/>
  <c r="H225" i="78"/>
  <c r="H224" i="78"/>
  <c r="H223" i="78"/>
  <c r="H222" i="78"/>
  <c r="H221" i="78"/>
  <c r="H220" i="78"/>
  <c r="H219" i="78"/>
  <c r="H218" i="78"/>
  <c r="H217" i="78"/>
  <c r="H216" i="78"/>
  <c r="H215" i="78"/>
  <c r="H214" i="78"/>
  <c r="H213" i="78"/>
  <c r="H212" i="78"/>
  <c r="H211" i="78"/>
  <c r="H210" i="78"/>
  <c r="H209" i="78"/>
  <c r="H208" i="78"/>
  <c r="H207" i="78"/>
  <c r="H206" i="78"/>
  <c r="H205" i="78"/>
  <c r="H204" i="78"/>
  <c r="H203" i="78"/>
  <c r="H202" i="78"/>
  <c r="H201" i="78"/>
  <c r="H200" i="78"/>
  <c r="H199" i="78"/>
  <c r="H198" i="78"/>
  <c r="H197" i="78"/>
  <c r="H196" i="78"/>
  <c r="H195" i="78"/>
  <c r="H194" i="78"/>
  <c r="H193" i="78"/>
  <c r="H192" i="78"/>
  <c r="H191" i="78"/>
  <c r="H190" i="78"/>
  <c r="H189" i="78"/>
  <c r="H188" i="78"/>
  <c r="H187" i="78"/>
  <c r="H186" i="78"/>
  <c r="H185" i="78"/>
  <c r="H184" i="78"/>
  <c r="H183" i="78"/>
  <c r="H182" i="78"/>
  <c r="H181" i="78"/>
  <c r="H180" i="78"/>
  <c r="H177" i="78"/>
  <c r="H175" i="78"/>
  <c r="H174" i="78"/>
  <c r="H171" i="78"/>
  <c r="H170" i="78"/>
  <c r="H169" i="78"/>
  <c r="H168" i="78"/>
  <c r="H167" i="78"/>
  <c r="H165" i="78"/>
  <c r="H162" i="78"/>
  <c r="H161" i="78"/>
  <c r="H160" i="78"/>
  <c r="H159" i="78"/>
  <c r="H158" i="78"/>
  <c r="H155" i="78"/>
  <c r="H154" i="78"/>
  <c r="H153" i="78"/>
  <c r="H152" i="78"/>
  <c r="H151" i="78"/>
  <c r="H150" i="78"/>
  <c r="H149" i="78"/>
  <c r="H148" i="78"/>
  <c r="H147" i="78"/>
  <c r="H146" i="78"/>
  <c r="H145" i="78"/>
  <c r="H144" i="78"/>
  <c r="H143" i="78"/>
  <c r="H142" i="78"/>
  <c r="H141" i="78"/>
  <c r="H140" i="78"/>
  <c r="H139" i="78"/>
  <c r="H138" i="78"/>
  <c r="H135" i="78"/>
  <c r="H134" i="78"/>
  <c r="H133" i="78"/>
  <c r="H132" i="78"/>
  <c r="H131" i="78"/>
  <c r="H130" i="78"/>
  <c r="H129" i="78"/>
  <c r="H126" i="78"/>
  <c r="H125" i="78"/>
  <c r="H124" i="78"/>
  <c r="H123" i="78"/>
  <c r="H122" i="78"/>
  <c r="H121" i="78"/>
  <c r="H120" i="78"/>
  <c r="H119" i="78"/>
  <c r="H118" i="78"/>
  <c r="H117" i="78"/>
  <c r="H116" i="78"/>
  <c r="H115" i="78"/>
  <c r="H113" i="78"/>
  <c r="H111" i="78"/>
  <c r="H110" i="78"/>
  <c r="H109" i="78"/>
  <c r="H108" i="78"/>
  <c r="H107" i="78"/>
  <c r="H106" i="78"/>
  <c r="H105" i="78"/>
  <c r="H104" i="78"/>
  <c r="H103" i="78"/>
  <c r="H102" i="78"/>
  <c r="H101" i="78"/>
  <c r="H100" i="78"/>
  <c r="H99" i="78"/>
  <c r="H96" i="78"/>
  <c r="H95" i="78"/>
  <c r="H94" i="78"/>
  <c r="H93" i="78"/>
  <c r="H92" i="78"/>
  <c r="H91" i="78"/>
  <c r="H90" i="78"/>
  <c r="H89" i="78"/>
  <c r="H88" i="78"/>
  <c r="H85" i="78"/>
  <c r="H84" i="78"/>
  <c r="H83" i="78"/>
  <c r="H82" i="78"/>
  <c r="H81" i="78"/>
  <c r="H80" i="78"/>
  <c r="H79" i="78"/>
  <c r="H78" i="78"/>
  <c r="H77" i="78"/>
  <c r="H76" i="78"/>
  <c r="H75" i="78"/>
  <c r="H74" i="78"/>
  <c r="H71" i="78"/>
  <c r="H70" i="78"/>
  <c r="H69" i="78"/>
  <c r="H68" i="78"/>
  <c r="H67" i="78"/>
  <c r="H63" i="78"/>
  <c r="H62" i="78"/>
  <c r="H61" i="78"/>
  <c r="H60" i="78"/>
  <c r="H59" i="78"/>
  <c r="H58" i="78"/>
  <c r="H57" i="78"/>
  <c r="H56" i="78"/>
  <c r="H55" i="78"/>
  <c r="H54" i="78"/>
  <c r="H52" i="78"/>
  <c r="H51" i="78"/>
  <c r="H50" i="78"/>
  <c r="H46" i="78"/>
  <c r="H45" i="78"/>
  <c r="H44" i="78"/>
  <c r="H43" i="78"/>
  <c r="H42" i="78"/>
  <c r="H41" i="78"/>
  <c r="H40" i="78"/>
  <c r="H39" i="78"/>
  <c r="H36" i="78"/>
  <c r="H35" i="78"/>
  <c r="H34" i="78"/>
  <c r="H31" i="78"/>
  <c r="H30" i="78"/>
  <c r="H29" i="78"/>
  <c r="H28" i="78"/>
  <c r="H27" i="78"/>
  <c r="H26" i="78"/>
  <c r="H25" i="78"/>
  <c r="H22" i="78"/>
  <c r="H21" i="78"/>
  <c r="H20" i="78"/>
  <c r="H19" i="78"/>
  <c r="H18" i="78"/>
  <c r="H17" i="78"/>
  <c r="H16" i="78"/>
  <c r="H15" i="78"/>
  <c r="H14" i="78"/>
  <c r="H11" i="78"/>
  <c r="H10" i="78"/>
  <c r="H9" i="78"/>
  <c r="H8" i="78"/>
  <c r="H7" i="78"/>
  <c r="H257" i="78"/>
  <c r="G63" i="78"/>
  <c r="D63" i="78"/>
  <c r="H486" i="73"/>
  <c r="H477" i="73"/>
  <c r="H468" i="73"/>
  <c r="H466" i="73"/>
  <c r="H441" i="73"/>
  <c r="H439" i="73"/>
  <c r="H427" i="73"/>
  <c r="H426" i="73"/>
  <c r="H425" i="73"/>
  <c r="H424" i="73"/>
  <c r="H423" i="73"/>
  <c r="H421" i="73"/>
  <c r="H412" i="73"/>
  <c r="H411" i="73"/>
  <c r="H410" i="73"/>
  <c r="H409" i="73"/>
  <c r="H400" i="73"/>
  <c r="H399" i="73"/>
  <c r="H398" i="73"/>
  <c r="H390" i="73"/>
  <c r="H389" i="73"/>
  <c r="H342" i="73"/>
  <c r="H319" i="73"/>
  <c r="H298" i="73"/>
  <c r="H285" i="73"/>
  <c r="H277" i="73"/>
  <c r="H276" i="73"/>
  <c r="H270" i="73"/>
  <c r="H213" i="73"/>
  <c r="H212" i="73"/>
  <c r="H211" i="73"/>
  <c r="H210" i="73"/>
  <c r="H209" i="73"/>
  <c r="H206" i="73"/>
  <c r="H205" i="73"/>
  <c r="H204" i="73"/>
  <c r="H199" i="73"/>
  <c r="H188" i="73"/>
  <c r="H174" i="73"/>
  <c r="H107" i="73"/>
  <c r="H106" i="73"/>
  <c r="H105" i="73"/>
  <c r="H104" i="73"/>
  <c r="H101" i="73"/>
  <c r="H98" i="73"/>
  <c r="H77" i="73"/>
  <c r="H51" i="73"/>
  <c r="H50" i="73"/>
  <c r="H49" i="73"/>
  <c r="H46" i="73"/>
  <c r="H44" i="73"/>
  <c r="H43" i="73"/>
  <c r="H42" i="73"/>
  <c r="H41" i="73"/>
  <c r="H40" i="73"/>
  <c r="H39" i="73"/>
  <c r="H37" i="73"/>
  <c r="H36" i="73"/>
  <c r="H35" i="73"/>
  <c r="H33" i="73"/>
  <c r="H30" i="73"/>
  <c r="H29" i="73"/>
  <c r="H28" i="73"/>
  <c r="H27" i="73"/>
  <c r="H26" i="73"/>
  <c r="H25" i="73"/>
  <c r="H17" i="73"/>
  <c r="H16" i="73"/>
  <c r="H15" i="73"/>
  <c r="H14" i="73"/>
  <c r="H8" i="73"/>
  <c r="H7" i="73"/>
  <c r="D214" i="73"/>
  <c r="D45" i="73" l="1"/>
  <c r="H45" i="73" s="1"/>
  <c r="D31" i="73"/>
  <c r="H31" i="73" s="1"/>
  <c r="E392" i="73" l="1"/>
  <c r="H392" i="73" s="1"/>
  <c r="E385" i="73"/>
  <c r="H385" i="73" s="1"/>
  <c r="E263" i="73"/>
  <c r="H263" i="73" s="1"/>
  <c r="E257" i="73"/>
  <c r="H257" i="73" s="1"/>
  <c r="E207" i="73"/>
  <c r="E194" i="73"/>
  <c r="H194" i="73" s="1"/>
  <c r="E157" i="73"/>
  <c r="H157" i="73" s="1"/>
  <c r="H207" i="73" l="1"/>
  <c r="G22" i="62"/>
  <c r="F63" i="61"/>
  <c r="H178" i="69"/>
  <c r="H179" i="69" s="1"/>
  <c r="F29" i="61" l="1"/>
  <c r="J35" i="69" l="1"/>
  <c r="I12" i="69" l="1"/>
  <c r="T11" i="69" l="1"/>
  <c r="J11" i="69" s="1"/>
  <c r="D30" i="66" l="1"/>
  <c r="G21" i="62" l="1"/>
  <c r="E42" i="61"/>
  <c r="I63" i="61" l="1"/>
  <c r="E56" i="61"/>
  <c r="F56" i="61" s="1"/>
  <c r="I56" i="61"/>
  <c r="G35" i="62"/>
  <c r="J144" i="69" l="1"/>
  <c r="H144" i="69"/>
  <c r="E144" i="69"/>
  <c r="K143" i="69"/>
  <c r="G143" i="69"/>
  <c r="F143" i="69"/>
  <c r="J114" i="60" l="1"/>
  <c r="M142" i="69" l="1"/>
  <c r="M141" i="69"/>
  <c r="M140" i="69"/>
  <c r="M139" i="69"/>
  <c r="M138" i="69"/>
  <c r="M132" i="69"/>
  <c r="M129" i="69"/>
  <c r="M126" i="69"/>
  <c r="M125" i="69"/>
  <c r="M123" i="69"/>
  <c r="M122" i="69"/>
  <c r="M121" i="69"/>
  <c r="M120" i="69"/>
  <c r="M117" i="69"/>
  <c r="M116" i="69"/>
  <c r="M105" i="69"/>
  <c r="M101" i="69"/>
  <c r="M100" i="69"/>
  <c r="M99" i="69"/>
  <c r="M96" i="69"/>
  <c r="M95" i="69"/>
  <c r="M92" i="69"/>
  <c r="M89" i="69"/>
  <c r="M86" i="69"/>
  <c r="M85" i="69"/>
  <c r="M84" i="69"/>
  <c r="M80" i="69"/>
  <c r="M79" i="69"/>
  <c r="M75" i="69"/>
  <c r="M74" i="69"/>
  <c r="M73" i="69"/>
  <c r="M72" i="69"/>
  <c r="M71" i="69"/>
  <c r="M68" i="69"/>
  <c r="M65" i="69"/>
  <c r="M61" i="69"/>
  <c r="M60" i="69"/>
  <c r="M59" i="69"/>
  <c r="M58" i="69"/>
  <c r="M57" i="69"/>
  <c r="M56" i="69"/>
  <c r="M53" i="69"/>
  <c r="M52" i="69"/>
  <c r="M50" i="69"/>
  <c r="M49" i="69"/>
  <c r="M48" i="69"/>
  <c r="M47" i="69"/>
  <c r="M46" i="69"/>
  <c r="M43" i="69"/>
  <c r="M40" i="69"/>
  <c r="M35" i="69"/>
  <c r="M32" i="69"/>
  <c r="M29" i="69"/>
  <c r="M28" i="69"/>
  <c r="M25" i="69"/>
  <c r="M22" i="69"/>
  <c r="M19" i="69"/>
  <c r="M18" i="69"/>
  <c r="M17" i="69"/>
  <c r="M16" i="69"/>
  <c r="M13" i="69"/>
  <c r="F140" i="69"/>
  <c r="F139" i="69"/>
  <c r="F132" i="69"/>
  <c r="F129" i="69"/>
  <c r="F126" i="69"/>
  <c r="F125" i="69"/>
  <c r="F124" i="69"/>
  <c r="F123" i="69"/>
  <c r="F122" i="69"/>
  <c r="F121" i="69"/>
  <c r="F120" i="69"/>
  <c r="F117" i="69"/>
  <c r="F116" i="69"/>
  <c r="F112" i="69"/>
  <c r="F109" i="69"/>
  <c r="F108" i="69"/>
  <c r="F105" i="69"/>
  <c r="F101" i="69"/>
  <c r="F100" i="69"/>
  <c r="F99" i="69"/>
  <c r="F96" i="69"/>
  <c r="F95" i="69"/>
  <c r="F92" i="69"/>
  <c r="F89" i="69"/>
  <c r="F86" i="69"/>
  <c r="F85" i="69"/>
  <c r="F84" i="69"/>
  <c r="F80" i="69"/>
  <c r="F79" i="69"/>
  <c r="F75" i="69"/>
  <c r="F74" i="69"/>
  <c r="F73" i="69"/>
  <c r="F72" i="69"/>
  <c r="F71" i="69"/>
  <c r="F68" i="69"/>
  <c r="F65" i="69"/>
  <c r="F61" i="69"/>
  <c r="F60" i="69"/>
  <c r="F59" i="69"/>
  <c r="F58" i="69"/>
  <c r="F56" i="69"/>
  <c r="F53" i="69"/>
  <c r="F52" i="69"/>
  <c r="F50" i="69"/>
  <c r="F49" i="69"/>
  <c r="F48" i="69"/>
  <c r="F47" i="69"/>
  <c r="F46" i="69"/>
  <c r="F43" i="69"/>
  <c r="F40" i="69"/>
  <c r="F35" i="69"/>
  <c r="F32" i="69"/>
  <c r="F29" i="69"/>
  <c r="F28" i="69"/>
  <c r="F25" i="69"/>
  <c r="F22" i="69"/>
  <c r="F18" i="69"/>
  <c r="F17" i="69"/>
  <c r="F16" i="69"/>
  <c r="F13" i="69"/>
  <c r="F11" i="69"/>
  <c r="G222" i="74" l="1"/>
  <c r="G225" i="74" s="1"/>
  <c r="G212" i="74"/>
  <c r="G201" i="74"/>
  <c r="G195" i="74"/>
  <c r="G189" i="74"/>
  <c r="G183" i="74"/>
  <c r="G177" i="74"/>
  <c r="G165" i="74"/>
  <c r="G155" i="74"/>
  <c r="G149" i="74"/>
  <c r="G143" i="74"/>
  <c r="G137" i="74"/>
  <c r="G117" i="74"/>
  <c r="G108" i="74"/>
  <c r="G102" i="74"/>
  <c r="G95" i="74"/>
  <c r="G89" i="74"/>
  <c r="G83" i="74"/>
  <c r="G77" i="74"/>
  <c r="G71" i="74"/>
  <c r="G65" i="74"/>
  <c r="G59" i="74"/>
  <c r="G53" i="74"/>
  <c r="G45" i="74"/>
  <c r="G39" i="74"/>
  <c r="G30" i="74"/>
  <c r="G168" i="74" l="1"/>
  <c r="G127" i="74"/>
  <c r="G227" i="74"/>
  <c r="H134" i="69" l="1"/>
  <c r="H146" i="69" s="1"/>
  <c r="F467" i="73" l="1"/>
  <c r="E480" i="73"/>
  <c r="H480" i="73" s="1"/>
  <c r="G276" i="73" l="1"/>
  <c r="E75" i="73" l="1"/>
  <c r="H75" i="73" s="1"/>
  <c r="J44" i="61" l="1"/>
  <c r="J43" i="61"/>
  <c r="E433" i="73"/>
  <c r="H433" i="73" s="1"/>
  <c r="E438" i="73" l="1"/>
  <c r="H438" i="73" s="1"/>
  <c r="E361" i="73"/>
  <c r="H361" i="73" s="1"/>
  <c r="E401" i="73"/>
  <c r="H401" i="73" s="1"/>
  <c r="E329" i="73"/>
  <c r="H329" i="73" s="1"/>
  <c r="E307" i="73"/>
  <c r="H307" i="73" s="1"/>
  <c r="E314" i="73"/>
  <c r="H314" i="73" s="1"/>
  <c r="E304" i="73"/>
  <c r="H304" i="73" s="1"/>
  <c r="E274" i="73" l="1"/>
  <c r="H274" i="73" s="1"/>
  <c r="E487" i="73" l="1"/>
  <c r="E474" i="73"/>
  <c r="H474" i="73" s="1"/>
  <c r="E467" i="73"/>
  <c r="H467" i="73" s="1"/>
  <c r="E460" i="73"/>
  <c r="H460" i="73" s="1"/>
  <c r="E459" i="73"/>
  <c r="H459" i="73" s="1"/>
  <c r="E457" i="73"/>
  <c r="H457" i="73" s="1"/>
  <c r="E458" i="73"/>
  <c r="H458" i="73" s="1"/>
  <c r="E456" i="73"/>
  <c r="H456" i="73" s="1"/>
  <c r="E455" i="73"/>
  <c r="H455" i="73" s="1"/>
  <c r="E447" i="73"/>
  <c r="H447" i="73" s="1"/>
  <c r="E446" i="73"/>
  <c r="H446" i="73" s="1"/>
  <c r="E437" i="73"/>
  <c r="H437" i="73" s="1"/>
  <c r="E436" i="73"/>
  <c r="H436" i="73" s="1"/>
  <c r="E435" i="73"/>
  <c r="H435" i="73" s="1"/>
  <c r="E434" i="73"/>
  <c r="H434" i="73" s="1"/>
  <c r="E432" i="73"/>
  <c r="H432" i="73" s="1"/>
  <c r="E431" i="73"/>
  <c r="H431" i="73" s="1"/>
  <c r="E430" i="73"/>
  <c r="H430" i="73" s="1"/>
  <c r="E429" i="73"/>
  <c r="H429" i="73" s="1"/>
  <c r="E428" i="73"/>
  <c r="H428" i="73" s="1"/>
  <c r="E420" i="73"/>
  <c r="H420" i="73" s="1"/>
  <c r="E419" i="73"/>
  <c r="H419" i="73" s="1"/>
  <c r="E418" i="73"/>
  <c r="H418" i="73" s="1"/>
  <c r="E417" i="73"/>
  <c r="H417" i="73" s="1"/>
  <c r="E416" i="73"/>
  <c r="H416" i="73" s="1"/>
  <c r="E415" i="73"/>
  <c r="H415" i="73" s="1"/>
  <c r="E414" i="73"/>
  <c r="H414" i="73" s="1"/>
  <c r="E413" i="73"/>
  <c r="H413" i="73" s="1"/>
  <c r="E407" i="73"/>
  <c r="H407" i="73" s="1"/>
  <c r="E406" i="73"/>
  <c r="H406" i="73" s="1"/>
  <c r="E405" i="73"/>
  <c r="H405" i="73" s="1"/>
  <c r="E404" i="73"/>
  <c r="H404" i="73" s="1"/>
  <c r="E403" i="73"/>
  <c r="H403" i="73" s="1"/>
  <c r="E402" i="73"/>
  <c r="H402" i="73" s="1"/>
  <c r="E395" i="73"/>
  <c r="H395" i="73" s="1"/>
  <c r="E394" i="73"/>
  <c r="H394" i="73" s="1"/>
  <c r="E393" i="73"/>
  <c r="H393" i="73" s="1"/>
  <c r="E391" i="73"/>
  <c r="H391" i="73" s="1"/>
  <c r="E386" i="73"/>
  <c r="H386" i="73" s="1"/>
  <c r="E384" i="73"/>
  <c r="H384" i="73" s="1"/>
  <c r="E383" i="73"/>
  <c r="H383" i="73" s="1"/>
  <c r="E378" i="73"/>
  <c r="H378" i="73" s="1"/>
  <c r="E377" i="73"/>
  <c r="H377" i="73" s="1"/>
  <c r="E376" i="73"/>
  <c r="H376" i="73" s="1"/>
  <c r="E375" i="73"/>
  <c r="H375" i="73" s="1"/>
  <c r="E367" i="73"/>
  <c r="H367" i="73" s="1"/>
  <c r="E369" i="73"/>
  <c r="H369" i="73" s="1"/>
  <c r="E368" i="73"/>
  <c r="H368" i="73" s="1"/>
  <c r="E362" i="73"/>
  <c r="H362" i="73" s="1"/>
  <c r="E356" i="73"/>
  <c r="H356" i="73" s="1"/>
  <c r="E355" i="73"/>
  <c r="H355" i="73" s="1"/>
  <c r="E354" i="73"/>
  <c r="H354" i="73" s="1"/>
  <c r="E353" i="73"/>
  <c r="H353" i="73" s="1"/>
  <c r="E348" i="73"/>
  <c r="H348" i="73" s="1"/>
  <c r="E341" i="73"/>
  <c r="E325" i="73"/>
  <c r="H325" i="73" s="1"/>
  <c r="E324" i="73"/>
  <c r="H324" i="73" s="1"/>
  <c r="E323" i="73"/>
  <c r="H323" i="73" s="1"/>
  <c r="E322" i="73"/>
  <c r="H322" i="73" s="1"/>
  <c r="E321" i="73"/>
  <c r="H321" i="73" s="1"/>
  <c r="E320" i="73"/>
  <c r="H320" i="73" s="1"/>
  <c r="E318" i="73"/>
  <c r="H318" i="73" s="1"/>
  <c r="E317" i="73"/>
  <c r="H317" i="73" s="1"/>
  <c r="E316" i="73"/>
  <c r="H316" i="73" s="1"/>
  <c r="E315" i="73"/>
  <c r="H315" i="73" s="1"/>
  <c r="E310" i="73"/>
  <c r="H310" i="73" s="1"/>
  <c r="E309" i="73"/>
  <c r="H309" i="73" s="1"/>
  <c r="E308" i="73"/>
  <c r="H308" i="73" s="1"/>
  <c r="E299" i="73"/>
  <c r="H299" i="73" s="1"/>
  <c r="E292" i="73"/>
  <c r="H292" i="73" s="1"/>
  <c r="E293" i="73"/>
  <c r="H293" i="73" s="1"/>
  <c r="E287" i="73"/>
  <c r="H287" i="73" s="1"/>
  <c r="E286" i="73"/>
  <c r="H286" i="73" s="1"/>
  <c r="E284" i="73"/>
  <c r="H284" i="73" s="1"/>
  <c r="E278" i="73"/>
  <c r="H278" i="73" s="1"/>
  <c r="E275" i="73"/>
  <c r="H275" i="73" s="1"/>
  <c r="E273" i="73"/>
  <c r="H273" i="73" s="1"/>
  <c r="E272" i="73"/>
  <c r="H272" i="73" s="1"/>
  <c r="E271" i="73"/>
  <c r="H271" i="73" s="1"/>
  <c r="E264" i="73"/>
  <c r="H264" i="73" s="1"/>
  <c r="E262" i="73"/>
  <c r="H262" i="73" s="1"/>
  <c r="E251" i="73"/>
  <c r="H251" i="73" s="1"/>
  <c r="E250" i="73"/>
  <c r="H250" i="73" s="1"/>
  <c r="E245" i="73"/>
  <c r="H245" i="73" s="1"/>
  <c r="E244" i="73"/>
  <c r="H244" i="73" s="1"/>
  <c r="E239" i="73"/>
  <c r="H239" i="73" s="1"/>
  <c r="E233" i="73"/>
  <c r="H233" i="73" s="1"/>
  <c r="E232" i="73"/>
  <c r="H232" i="73" s="1"/>
  <c r="E227" i="73"/>
  <c r="H227" i="73" s="1"/>
  <c r="E226" i="73"/>
  <c r="H226" i="73" s="1"/>
  <c r="E225" i="73"/>
  <c r="H225" i="73" s="1"/>
  <c r="E224" i="73"/>
  <c r="H224" i="73" s="1"/>
  <c r="E223" i="73"/>
  <c r="H223" i="73" s="1"/>
  <c r="E222" i="73"/>
  <c r="H222" i="73" s="1"/>
  <c r="E221" i="73"/>
  <c r="H221" i="73" s="1"/>
  <c r="E220" i="73"/>
  <c r="H220" i="73" s="1"/>
  <c r="E219" i="73"/>
  <c r="H219" i="73" s="1"/>
  <c r="E218" i="73"/>
  <c r="H218" i="73" s="1"/>
  <c r="E208" i="73"/>
  <c r="G194" i="73"/>
  <c r="E201" i="73"/>
  <c r="H201" i="73" s="1"/>
  <c r="E200" i="73"/>
  <c r="H200" i="73" s="1"/>
  <c r="E198" i="73"/>
  <c r="H198" i="73" s="1"/>
  <c r="E197" i="73"/>
  <c r="H197" i="73" s="1"/>
  <c r="E196" i="73"/>
  <c r="H196" i="73" s="1"/>
  <c r="E195" i="73"/>
  <c r="H195" i="73" s="1"/>
  <c r="E186" i="73"/>
  <c r="H186" i="73" s="1"/>
  <c r="E185" i="73"/>
  <c r="H185" i="73" s="1"/>
  <c r="E184" i="73"/>
  <c r="H184" i="73" s="1"/>
  <c r="E183" i="73"/>
  <c r="H183" i="73" s="1"/>
  <c r="E182" i="73"/>
  <c r="H182" i="73" s="1"/>
  <c r="E181" i="73"/>
  <c r="H181" i="73" s="1"/>
  <c r="E180" i="73"/>
  <c r="H180" i="73" s="1"/>
  <c r="E179" i="73"/>
  <c r="H179" i="73" s="1"/>
  <c r="E178" i="73"/>
  <c r="H178" i="73" s="1"/>
  <c r="E177" i="73"/>
  <c r="H177" i="73" s="1"/>
  <c r="E176" i="73"/>
  <c r="H176" i="73" s="1"/>
  <c r="E175" i="73"/>
  <c r="H175" i="73" s="1"/>
  <c r="E172" i="73"/>
  <c r="H172" i="73" s="1"/>
  <c r="E171" i="73"/>
  <c r="H171" i="73" s="1"/>
  <c r="E170" i="73"/>
  <c r="H170" i="73" s="1"/>
  <c r="E169" i="73"/>
  <c r="H169" i="73" s="1"/>
  <c r="E168" i="73"/>
  <c r="H168" i="73" s="1"/>
  <c r="E167" i="73"/>
  <c r="H167" i="73" s="1"/>
  <c r="E166" i="73"/>
  <c r="H166" i="73" s="1"/>
  <c r="E165" i="73"/>
  <c r="H165" i="73" s="1"/>
  <c r="E164" i="73"/>
  <c r="H164" i="73" s="1"/>
  <c r="E163" i="73"/>
  <c r="H163" i="73" s="1"/>
  <c r="E156" i="73"/>
  <c r="H156" i="73" s="1"/>
  <c r="E149" i="73"/>
  <c r="H149" i="73" s="1"/>
  <c r="E148" i="73"/>
  <c r="H148" i="73" s="1"/>
  <c r="E147" i="73"/>
  <c r="H147" i="73" s="1"/>
  <c r="E146" i="73"/>
  <c r="H146" i="73" s="1"/>
  <c r="E145" i="73"/>
  <c r="H145" i="73" s="1"/>
  <c r="E141" i="73"/>
  <c r="H141" i="73" s="1"/>
  <c r="E140" i="73"/>
  <c r="H140" i="73" s="1"/>
  <c r="E139" i="73"/>
  <c r="H139" i="73" s="1"/>
  <c r="E138" i="73"/>
  <c r="H138" i="73" s="1"/>
  <c r="E137" i="73"/>
  <c r="H137" i="73" s="1"/>
  <c r="E136" i="73"/>
  <c r="H136" i="73" s="1"/>
  <c r="E126" i="73"/>
  <c r="H126" i="73" s="1"/>
  <c r="E125" i="73"/>
  <c r="H125" i="73" s="1"/>
  <c r="E124" i="73"/>
  <c r="H124" i="73" s="1"/>
  <c r="E123" i="73"/>
  <c r="H123" i="73" s="1"/>
  <c r="E113" i="73"/>
  <c r="H113" i="73" s="1"/>
  <c r="E112" i="73"/>
  <c r="H112" i="73" s="1"/>
  <c r="E102" i="73"/>
  <c r="H102" i="73" s="1"/>
  <c r="E100" i="73"/>
  <c r="H100" i="73" s="1"/>
  <c r="E88" i="73"/>
  <c r="H88" i="73" s="1"/>
  <c r="E87" i="73"/>
  <c r="H87" i="73" s="1"/>
  <c r="E86" i="73"/>
  <c r="H86" i="73" s="1"/>
  <c r="E76" i="73"/>
  <c r="H76" i="73" s="1"/>
  <c r="E74" i="73"/>
  <c r="H74" i="73" s="1"/>
  <c r="E73" i="73"/>
  <c r="H73" i="73" s="1"/>
  <c r="E72" i="73"/>
  <c r="H72" i="73" s="1"/>
  <c r="E71" i="73"/>
  <c r="H71" i="73" s="1"/>
  <c r="E70" i="73"/>
  <c r="H70" i="73" s="1"/>
  <c r="E69" i="73"/>
  <c r="H69" i="73" s="1"/>
  <c r="E60" i="73"/>
  <c r="H60" i="73" s="1"/>
  <c r="E48" i="73"/>
  <c r="H48" i="73" s="1"/>
  <c r="E38" i="73"/>
  <c r="E23" i="73"/>
  <c r="H208" i="73" l="1"/>
  <c r="E214" i="73"/>
  <c r="H214" i="73" s="1"/>
  <c r="E343" i="73"/>
  <c r="H343" i="73" s="1"/>
  <c r="H341" i="73"/>
  <c r="E488" i="73"/>
  <c r="H488" i="73" s="1"/>
  <c r="H487" i="73"/>
  <c r="E47" i="73"/>
  <c r="E461" i="73"/>
  <c r="H461" i="73" s="1"/>
  <c r="E440" i="73"/>
  <c r="H440" i="73" s="1"/>
  <c r="E114" i="73"/>
  <c r="H114" i="73" s="1"/>
  <c r="E422" i="73"/>
  <c r="H422" i="73" s="1"/>
  <c r="E246" i="73"/>
  <c r="H246" i="73" s="1"/>
  <c r="E357" i="73"/>
  <c r="H357" i="73" s="1"/>
  <c r="E311" i="73"/>
  <c r="H311" i="73" s="1"/>
  <c r="E252" i="73"/>
  <c r="H252" i="73" s="1"/>
  <c r="E448" i="73"/>
  <c r="H448" i="73" s="1"/>
  <c r="E469" i="73"/>
  <c r="H469" i="73" s="1"/>
  <c r="E363" i="73"/>
  <c r="H363" i="73" s="1"/>
  <c r="E408" i="73"/>
  <c r="H408" i="73" s="1"/>
  <c r="E326" i="73"/>
  <c r="H326" i="73" s="1"/>
  <c r="E158" i="73"/>
  <c r="H158" i="73" s="1"/>
  <c r="E265" i="73"/>
  <c r="H265" i="73" s="1"/>
  <c r="E370" i="73"/>
  <c r="H370" i="73" s="1"/>
  <c r="E294" i="73"/>
  <c r="H294" i="73" s="1"/>
  <c r="E288" i="73"/>
  <c r="H288" i="73" s="1"/>
  <c r="E379" i="73"/>
  <c r="H379" i="73" s="1"/>
  <c r="E396" i="73"/>
  <c r="E234" i="73"/>
  <c r="H234" i="73" s="1"/>
  <c r="E127" i="73"/>
  <c r="H127" i="73" s="1"/>
  <c r="E279" i="73"/>
  <c r="H279" i="73" s="1"/>
  <c r="E228" i="73"/>
  <c r="H228" i="73" s="1"/>
  <c r="E387" i="73"/>
  <c r="E187" i="73"/>
  <c r="H187" i="73" s="1"/>
  <c r="E202" i="73"/>
  <c r="E150" i="73"/>
  <c r="H150" i="73" s="1"/>
  <c r="E89" i="73"/>
  <c r="H89" i="73" s="1"/>
  <c r="E173" i="73"/>
  <c r="H173" i="73" s="1"/>
  <c r="E103" i="73"/>
  <c r="H103" i="73" s="1"/>
  <c r="E142" i="73"/>
  <c r="H142" i="73" s="1"/>
  <c r="E78" i="73"/>
  <c r="H78" i="73" s="1"/>
  <c r="E388" i="73" l="1"/>
  <c r="H388" i="73" s="1"/>
  <c r="H387" i="73"/>
  <c r="E203" i="73"/>
  <c r="H203" i="73" s="1"/>
  <c r="H202" i="73"/>
  <c r="E397" i="73"/>
  <c r="H397" i="73" s="1"/>
  <c r="H396" i="73"/>
  <c r="E443" i="73"/>
  <c r="E333" i="73"/>
  <c r="H333" i="73" s="1"/>
  <c r="E442" i="73"/>
  <c r="H442" i="73" s="1"/>
  <c r="E297" i="73"/>
  <c r="H297" i="73" s="1"/>
  <c r="E52" i="73"/>
  <c r="H52" i="73" s="1"/>
  <c r="E482" i="73"/>
  <c r="H482" i="73" s="1"/>
  <c r="E151" i="73"/>
  <c r="H151" i="73" s="1"/>
  <c r="E189" i="73"/>
  <c r="H189" i="73" s="1"/>
  <c r="E18" i="73" l="1"/>
  <c r="H18" i="73" s="1"/>
  <c r="E6" i="73" l="1"/>
  <c r="E9" i="73" l="1"/>
  <c r="H9" i="73" s="1"/>
  <c r="H6" i="73"/>
  <c r="G140" i="69"/>
  <c r="G139" i="69"/>
  <c r="G138" i="69"/>
  <c r="G144" i="69" s="1"/>
  <c r="G132" i="69"/>
  <c r="G129" i="69"/>
  <c r="G126" i="69"/>
  <c r="G125" i="69"/>
  <c r="G123" i="69"/>
  <c r="G122" i="69"/>
  <c r="G121" i="69"/>
  <c r="G120" i="69"/>
  <c r="G117" i="69"/>
  <c r="G116" i="69"/>
  <c r="G105" i="69"/>
  <c r="G101" i="69"/>
  <c r="G100" i="69"/>
  <c r="G99" i="69"/>
  <c r="G96" i="69"/>
  <c r="G95" i="69"/>
  <c r="G92" i="69"/>
  <c r="G89" i="69"/>
  <c r="G86" i="69"/>
  <c r="G85" i="69"/>
  <c r="G84" i="69"/>
  <c r="G80" i="69"/>
  <c r="G75" i="69"/>
  <c r="G79" i="69"/>
  <c r="G74" i="69"/>
  <c r="G73" i="69"/>
  <c r="G72" i="69"/>
  <c r="G71" i="69"/>
  <c r="G68" i="69"/>
  <c r="G65" i="69"/>
  <c r="G61" i="69"/>
  <c r="G60" i="69"/>
  <c r="G59" i="69"/>
  <c r="G58" i="69"/>
  <c r="G56" i="69"/>
  <c r="G53" i="69"/>
  <c r="G52" i="69"/>
  <c r="G50" i="69"/>
  <c r="G49" i="69"/>
  <c r="G48" i="69"/>
  <c r="G47" i="69"/>
  <c r="G46" i="69"/>
  <c r="G43" i="69"/>
  <c r="G40" i="69"/>
  <c r="G35" i="69"/>
  <c r="G32" i="69"/>
  <c r="G29" i="69"/>
  <c r="G28" i="69"/>
  <c r="G25" i="69"/>
  <c r="G22" i="69"/>
  <c r="G18" i="69"/>
  <c r="G17" i="69"/>
  <c r="G16" i="69"/>
  <c r="G13" i="69"/>
  <c r="F220" i="73" l="1"/>
  <c r="G220" i="73" s="1"/>
  <c r="I138" i="69" l="1"/>
  <c r="F138" i="69" l="1"/>
  <c r="I144" i="69"/>
  <c r="H35" i="62"/>
  <c r="O45" i="70" l="1"/>
  <c r="M11" i="69" l="1"/>
  <c r="G11" i="69" l="1"/>
  <c r="J112" i="69" l="1"/>
  <c r="M112" i="69" s="1"/>
  <c r="K75" i="69"/>
  <c r="L75" i="69" s="1"/>
  <c r="K112" i="69" l="1"/>
  <c r="L112" i="69" s="1"/>
  <c r="G112" i="69"/>
  <c r="H42" i="61" l="1"/>
  <c r="J149" i="57"/>
  <c r="H49" i="70" l="1"/>
  <c r="J48" i="70"/>
  <c r="I48" i="70"/>
  <c r="H48" i="70"/>
  <c r="G48" i="70"/>
  <c r="F48" i="70"/>
  <c r="E48" i="70"/>
  <c r="D48" i="70"/>
  <c r="C48" i="70"/>
  <c r="H47" i="70"/>
  <c r="G47" i="70"/>
  <c r="E47" i="70"/>
  <c r="D47" i="70"/>
  <c r="C47" i="70"/>
  <c r="I46" i="70"/>
  <c r="H46" i="70"/>
  <c r="G46" i="70"/>
  <c r="E46" i="70"/>
  <c r="D46" i="70"/>
  <c r="C46" i="70"/>
  <c r="I45" i="70"/>
  <c r="H45" i="70"/>
  <c r="G45" i="70"/>
  <c r="E45" i="70"/>
  <c r="D45" i="70"/>
  <c r="C45" i="70"/>
  <c r="C44" i="70"/>
  <c r="J42" i="70"/>
  <c r="I42" i="70"/>
  <c r="H42" i="70"/>
  <c r="G42" i="70"/>
  <c r="F42" i="70"/>
  <c r="E42" i="70"/>
  <c r="D42" i="70"/>
  <c r="C42" i="70"/>
  <c r="H41" i="70"/>
  <c r="G41" i="70"/>
  <c r="E41" i="70"/>
  <c r="D41" i="70"/>
  <c r="C41" i="70"/>
  <c r="N40" i="70"/>
  <c r="O44" i="70" s="1"/>
  <c r="P46" i="70" s="1"/>
  <c r="H33" i="70"/>
  <c r="E33" i="70"/>
  <c r="C33" i="70"/>
  <c r="I27" i="70"/>
  <c r="H27" i="70"/>
  <c r="G27" i="70"/>
  <c r="D27" i="70"/>
  <c r="C27" i="70"/>
  <c r="I26" i="70"/>
  <c r="H26" i="70"/>
  <c r="G26" i="70"/>
  <c r="F26" i="70"/>
  <c r="E26" i="70"/>
  <c r="D26" i="70"/>
  <c r="C26" i="70"/>
  <c r="J25" i="70"/>
  <c r="I25" i="70"/>
  <c r="H25" i="70"/>
  <c r="G25" i="70"/>
  <c r="F25" i="70"/>
  <c r="E25" i="70"/>
  <c r="D25" i="70"/>
  <c r="C25" i="70"/>
  <c r="D24" i="70"/>
  <c r="C24" i="70"/>
  <c r="J23" i="70"/>
  <c r="I23" i="70"/>
  <c r="H23" i="70"/>
  <c r="G23" i="70"/>
  <c r="F23" i="70"/>
  <c r="E23" i="70"/>
  <c r="D23" i="70"/>
  <c r="C23" i="70"/>
  <c r="I22" i="70"/>
  <c r="H22" i="70"/>
  <c r="G22" i="70"/>
  <c r="F22" i="70"/>
  <c r="D22" i="70"/>
  <c r="C22" i="70"/>
  <c r="I21" i="70"/>
  <c r="G21" i="70"/>
  <c r="F21" i="70"/>
  <c r="D21" i="70"/>
  <c r="C21" i="70"/>
  <c r="H14" i="70"/>
  <c r="I14" i="70" s="1"/>
  <c r="F14" i="70"/>
  <c r="F13" i="70"/>
  <c r="G13" i="70" s="1"/>
  <c r="E13" i="70"/>
  <c r="E24" i="70" s="1"/>
  <c r="E12" i="70"/>
  <c r="E27" i="70" s="1"/>
  <c r="E8" i="70"/>
  <c r="E22" i="70" s="1"/>
  <c r="D8" i="70"/>
  <c r="C8" i="70"/>
  <c r="H7" i="70"/>
  <c r="H21" i="70" s="1"/>
  <c r="E7" i="70"/>
  <c r="E21" i="70" s="1"/>
  <c r="C28" i="70" l="1"/>
  <c r="D28" i="70"/>
  <c r="F12" i="70"/>
  <c r="F27" i="70" s="1"/>
  <c r="F50" i="70"/>
  <c r="J14" i="70"/>
  <c r="K14" i="70" s="1"/>
  <c r="G24" i="70"/>
  <c r="G28" i="70" s="1"/>
  <c r="H13" i="70"/>
  <c r="I13" i="70" s="1"/>
  <c r="I24" i="70" s="1"/>
  <c r="I28" i="70" s="1"/>
  <c r="F24" i="70"/>
  <c r="F28" i="70" s="1"/>
  <c r="G50" i="70"/>
  <c r="H50" i="70"/>
  <c r="D50" i="70"/>
  <c r="E50" i="70"/>
  <c r="D29" i="70"/>
  <c r="E28" i="70"/>
  <c r="D34" i="70" l="1"/>
  <c r="D35" i="70" s="1"/>
  <c r="H24" i="70"/>
  <c r="H28" i="70" s="1"/>
  <c r="I29" i="70" s="1"/>
  <c r="G29" i="70"/>
  <c r="I34" i="70"/>
  <c r="I35" i="70" s="1"/>
  <c r="H34" i="70"/>
  <c r="H35" i="70" s="1"/>
  <c r="H51" i="70" s="1"/>
  <c r="E29" i="70"/>
  <c r="E31" i="70" s="1"/>
  <c r="F34" i="70"/>
  <c r="E34" i="70"/>
  <c r="E35" i="70" s="1"/>
  <c r="E51" i="70" s="1"/>
  <c r="F29" i="70"/>
  <c r="G34" i="70"/>
  <c r="G35" i="70" s="1"/>
  <c r="G51" i="70" s="1"/>
  <c r="G12" i="62"/>
  <c r="E25" i="61"/>
  <c r="F25" i="61" s="1"/>
  <c r="H29" i="70" l="1"/>
  <c r="H24" i="62"/>
  <c r="F17" i="61" l="1"/>
  <c r="E15" i="61"/>
  <c r="F15" i="61" l="1"/>
  <c r="H22" i="62"/>
  <c r="H21" i="62"/>
  <c r="H12" i="62"/>
  <c r="I57" i="61"/>
  <c r="I42" i="61"/>
  <c r="I15" i="61"/>
  <c r="F57" i="61"/>
  <c r="F42" i="61"/>
  <c r="I119" i="60" l="1"/>
  <c r="F195" i="73" s="1"/>
  <c r="J44" i="60"/>
  <c r="F60" i="61"/>
  <c r="F51" i="61"/>
  <c r="F33" i="61"/>
  <c r="F32" i="61"/>
  <c r="F19" i="61"/>
  <c r="F25" i="62"/>
  <c r="F18" i="62"/>
  <c r="F27" i="62" s="1"/>
  <c r="F36" i="62" s="1"/>
  <c r="F38" i="62" s="1"/>
  <c r="G60" i="61"/>
  <c r="G51" i="61"/>
  <c r="G32" i="61"/>
  <c r="G19" i="61"/>
  <c r="G34" i="61" s="1"/>
  <c r="F145" i="73" l="1"/>
  <c r="G195" i="73"/>
  <c r="F66" i="61"/>
  <c r="G66" i="61"/>
  <c r="F34" i="61"/>
  <c r="I37" i="60"/>
  <c r="J188" i="60"/>
  <c r="F207" i="73" l="1"/>
  <c r="G207" i="73" s="1"/>
  <c r="I30" i="60" l="1"/>
  <c r="F101" i="73" s="1"/>
  <c r="I29" i="60"/>
  <c r="F88" i="73" s="1"/>
  <c r="G88" i="73" s="1"/>
  <c r="J12" i="69" l="1"/>
  <c r="K12" i="69" s="1"/>
  <c r="J108" i="69"/>
  <c r="J109" i="69"/>
  <c r="G109" i="69" l="1"/>
  <c r="M109" i="69"/>
  <c r="G108" i="69"/>
  <c r="M108" i="69"/>
  <c r="G12" i="69"/>
  <c r="M12" i="69"/>
  <c r="I108" i="60"/>
  <c r="F175" i="73" s="1"/>
  <c r="I94" i="60"/>
  <c r="F170" i="73" s="1"/>
  <c r="G170" i="73" s="1"/>
  <c r="I66" i="60"/>
  <c r="I40" i="60"/>
  <c r="I38" i="60"/>
  <c r="F8" i="73"/>
  <c r="N211" i="73"/>
  <c r="I211" i="60"/>
  <c r="F321" i="73" s="1"/>
  <c r="I214" i="60"/>
  <c r="F324" i="73" s="1"/>
  <c r="I229" i="60"/>
  <c r="F353" i="73" s="1"/>
  <c r="I231" i="60"/>
  <c r="F355" i="73" s="1"/>
  <c r="I234" i="60"/>
  <c r="F361" i="73" s="1"/>
  <c r="I247" i="60"/>
  <c r="F384" i="73" s="1"/>
  <c r="I252" i="60"/>
  <c r="F392" i="73" s="1"/>
  <c r="I254" i="60"/>
  <c r="F394" i="73" s="1"/>
  <c r="I255" i="60"/>
  <c r="F395" i="73" s="1"/>
  <c r="I257" i="60"/>
  <c r="F401" i="73" s="1"/>
  <c r="I260" i="60"/>
  <c r="F404" i="73" s="1"/>
  <c r="G11" i="65"/>
  <c r="N210" i="73" l="1"/>
  <c r="F18" i="73"/>
  <c r="G18" i="73" s="1"/>
  <c r="F86" i="73"/>
  <c r="G86" i="73" s="1"/>
  <c r="F7" i="73"/>
  <c r="C37" i="73"/>
  <c r="F41" i="73"/>
  <c r="G41" i="73" s="1"/>
  <c r="G175" i="73"/>
  <c r="J157" i="60" l="1"/>
  <c r="F226" i="73" s="1"/>
  <c r="G226" i="73" s="1"/>
  <c r="G44" i="65" l="1"/>
  <c r="J105" i="57" l="1"/>
  <c r="I102" i="57"/>
  <c r="J103" i="57"/>
  <c r="J156" i="60"/>
  <c r="F225" i="73" s="1"/>
  <c r="G225" i="73" s="1"/>
  <c r="G184" i="69" l="1"/>
  <c r="G183" i="69"/>
  <c r="G182" i="69"/>
  <c r="G181" i="69"/>
  <c r="M144" i="69"/>
  <c r="K142" i="69"/>
  <c r="L142" i="69" s="1"/>
  <c r="K141" i="69"/>
  <c r="L141" i="69" s="1"/>
  <c r="K140" i="69"/>
  <c r="L140" i="69" s="1"/>
  <c r="K139" i="69"/>
  <c r="L139" i="69" s="1"/>
  <c r="K132" i="69"/>
  <c r="L132" i="69" s="1"/>
  <c r="K131" i="69"/>
  <c r="K130" i="69"/>
  <c r="K129" i="69"/>
  <c r="L129" i="69" s="1"/>
  <c r="K128" i="69"/>
  <c r="K127" i="69"/>
  <c r="K126" i="69"/>
  <c r="L126" i="69" s="1"/>
  <c r="K125" i="69"/>
  <c r="L125" i="69" s="1"/>
  <c r="K124" i="69"/>
  <c r="L124" i="69" s="1"/>
  <c r="K123" i="69"/>
  <c r="L123" i="69" s="1"/>
  <c r="K122" i="69"/>
  <c r="L122" i="69" s="1"/>
  <c r="K121" i="69"/>
  <c r="L121" i="69" s="1"/>
  <c r="K120" i="69"/>
  <c r="L120" i="69" s="1"/>
  <c r="K119" i="69"/>
  <c r="K118" i="69"/>
  <c r="K117" i="69"/>
  <c r="L117" i="69" s="1"/>
  <c r="K116" i="69"/>
  <c r="L116" i="69" s="1"/>
  <c r="K115" i="69"/>
  <c r="K110" i="69"/>
  <c r="E110" i="69"/>
  <c r="K107" i="69"/>
  <c r="K106" i="69"/>
  <c r="K105" i="69"/>
  <c r="L105" i="69" s="1"/>
  <c r="K104" i="69"/>
  <c r="K103" i="69"/>
  <c r="K101" i="69"/>
  <c r="L101" i="69" s="1"/>
  <c r="K100" i="69"/>
  <c r="L100" i="69" s="1"/>
  <c r="K99" i="69"/>
  <c r="L99" i="69" s="1"/>
  <c r="K98" i="69"/>
  <c r="K97" i="69"/>
  <c r="K96" i="69"/>
  <c r="L96" i="69" s="1"/>
  <c r="K95" i="69"/>
  <c r="L95" i="69" s="1"/>
  <c r="K94" i="69"/>
  <c r="K93" i="69"/>
  <c r="K92" i="69"/>
  <c r="L92" i="69" s="1"/>
  <c r="K91" i="69"/>
  <c r="K90" i="69"/>
  <c r="K89" i="69"/>
  <c r="L89" i="69" s="1"/>
  <c r="K88" i="69"/>
  <c r="K87" i="69"/>
  <c r="K86" i="69"/>
  <c r="L86" i="69" s="1"/>
  <c r="K85" i="69"/>
  <c r="L85" i="69" s="1"/>
  <c r="K84" i="69"/>
  <c r="L84" i="69" s="1"/>
  <c r="K83" i="69"/>
  <c r="K82" i="69"/>
  <c r="K81" i="69"/>
  <c r="K80" i="69"/>
  <c r="L80" i="69" s="1"/>
  <c r="K79" i="69"/>
  <c r="L79" i="69" s="1"/>
  <c r="K78" i="69"/>
  <c r="K77" i="69"/>
  <c r="K76" i="69"/>
  <c r="K74" i="69"/>
  <c r="L74" i="69" s="1"/>
  <c r="K73" i="69"/>
  <c r="L73" i="69" s="1"/>
  <c r="K72" i="69"/>
  <c r="L72" i="69" s="1"/>
  <c r="K71" i="69"/>
  <c r="L71" i="69" s="1"/>
  <c r="K70" i="69"/>
  <c r="K69" i="69"/>
  <c r="K68" i="69"/>
  <c r="L68" i="69" s="1"/>
  <c r="K67" i="69"/>
  <c r="K66" i="69"/>
  <c r="K65" i="69"/>
  <c r="L65" i="69" s="1"/>
  <c r="K64" i="69"/>
  <c r="K63" i="69"/>
  <c r="K62" i="69"/>
  <c r="E62" i="69"/>
  <c r="K61" i="69"/>
  <c r="L61" i="69" s="1"/>
  <c r="K60" i="69"/>
  <c r="L60" i="69" s="1"/>
  <c r="K59" i="69"/>
  <c r="L59" i="69" s="1"/>
  <c r="K58" i="69"/>
  <c r="L58" i="69" s="1"/>
  <c r="K57" i="69"/>
  <c r="L57" i="69" s="1"/>
  <c r="E57" i="69"/>
  <c r="K56" i="69"/>
  <c r="L56" i="69" s="1"/>
  <c r="K55" i="69"/>
  <c r="K54" i="69"/>
  <c r="K53" i="69"/>
  <c r="L53" i="69" s="1"/>
  <c r="K52" i="69"/>
  <c r="L52" i="69" s="1"/>
  <c r="K51" i="69"/>
  <c r="K50" i="69"/>
  <c r="L50" i="69" s="1"/>
  <c r="K49" i="69"/>
  <c r="L49" i="69" s="1"/>
  <c r="K48" i="69"/>
  <c r="L48" i="69" s="1"/>
  <c r="K47" i="69"/>
  <c r="L47" i="69" s="1"/>
  <c r="K46" i="69"/>
  <c r="L46" i="69" s="1"/>
  <c r="K45" i="69"/>
  <c r="K44" i="69"/>
  <c r="K43" i="69"/>
  <c r="L43" i="69" s="1"/>
  <c r="K42" i="69"/>
  <c r="K41" i="69"/>
  <c r="K40" i="69"/>
  <c r="L40" i="69" s="1"/>
  <c r="K39" i="69"/>
  <c r="K38" i="69"/>
  <c r="K37" i="69"/>
  <c r="E37" i="69"/>
  <c r="K36" i="69"/>
  <c r="K35" i="69"/>
  <c r="L35" i="69" s="1"/>
  <c r="K34" i="69"/>
  <c r="K33" i="69"/>
  <c r="K32" i="69"/>
  <c r="L32" i="69" s="1"/>
  <c r="K31" i="69"/>
  <c r="K30" i="69"/>
  <c r="K29" i="69"/>
  <c r="L29" i="69" s="1"/>
  <c r="K28" i="69"/>
  <c r="L28" i="69" s="1"/>
  <c r="K27" i="69"/>
  <c r="K26" i="69"/>
  <c r="K25" i="69"/>
  <c r="L25" i="69" s="1"/>
  <c r="K24" i="69"/>
  <c r="K23" i="69"/>
  <c r="K22" i="69"/>
  <c r="L22" i="69" s="1"/>
  <c r="K21" i="69"/>
  <c r="K20" i="69"/>
  <c r="K19" i="69"/>
  <c r="L19" i="69" s="1"/>
  <c r="E19" i="69"/>
  <c r="F19" i="69" s="1"/>
  <c r="K18" i="69"/>
  <c r="L18" i="69" s="1"/>
  <c r="K17" i="69"/>
  <c r="L17" i="69" s="1"/>
  <c r="K16" i="69"/>
  <c r="L16" i="69" s="1"/>
  <c r="K15" i="69"/>
  <c r="K14" i="69"/>
  <c r="K13" i="69"/>
  <c r="L13" i="69" s="1"/>
  <c r="L12" i="69"/>
  <c r="K11" i="69"/>
  <c r="L11" i="69" s="1"/>
  <c r="G57" i="69" l="1"/>
  <c r="F57" i="69"/>
  <c r="E134" i="69"/>
  <c r="E146" i="69" s="1"/>
  <c r="G19" i="69"/>
  <c r="J134" i="69"/>
  <c r="G185" i="69"/>
  <c r="K109" i="69"/>
  <c r="L109" i="69" s="1"/>
  <c r="K138" i="69"/>
  <c r="K144" i="69" s="1"/>
  <c r="I134" i="69"/>
  <c r="I146" i="69" s="1"/>
  <c r="K108" i="69"/>
  <c r="L108" i="69" s="1"/>
  <c r="J146" i="69" l="1"/>
  <c r="M146" i="69" s="1"/>
  <c r="M134" i="69"/>
  <c r="L138" i="69"/>
  <c r="G134" i="69"/>
  <c r="G146" i="69" s="1"/>
  <c r="K134" i="69"/>
  <c r="L76" i="57" l="1"/>
  <c r="L134" i="69"/>
  <c r="L144" i="69"/>
  <c r="K146" i="69"/>
  <c r="L75" i="57"/>
  <c r="L174" i="57"/>
  <c r="J195" i="60" l="1"/>
  <c r="K176" i="69" s="1"/>
  <c r="K177" i="69" s="1"/>
  <c r="L146" i="69"/>
  <c r="J13" i="70"/>
  <c r="L77" i="57"/>
  <c r="M137" i="57"/>
  <c r="M140" i="57" s="1"/>
  <c r="F287" i="73" l="1"/>
  <c r="G287" i="73" s="1"/>
  <c r="J24" i="70"/>
  <c r="K13" i="70"/>
  <c r="H109" i="67"/>
  <c r="E22" i="66" l="1"/>
  <c r="D22" i="66"/>
  <c r="P11" i="67" l="1"/>
  <c r="N11" i="67"/>
  <c r="K174" i="57" l="1"/>
  <c r="L175" i="57" s="1"/>
  <c r="L177" i="57" s="1"/>
  <c r="J30" i="60"/>
  <c r="H108" i="67" l="1"/>
  <c r="I303" i="60" l="1"/>
  <c r="F468" i="73" s="1"/>
  <c r="I75" i="67" l="1"/>
  <c r="F12" i="65" l="1"/>
  <c r="E12" i="65"/>
  <c r="D12" i="65"/>
  <c r="C12" i="65"/>
  <c r="H18" i="62"/>
  <c r="H25" i="62"/>
  <c r="D60" i="61"/>
  <c r="D51" i="61"/>
  <c r="D33" i="61"/>
  <c r="D32" i="61"/>
  <c r="D19" i="61"/>
  <c r="E37" i="66"/>
  <c r="E45" i="66"/>
  <c r="E47" i="66" s="1"/>
  <c r="E33" i="66"/>
  <c r="D16" i="66"/>
  <c r="E16" i="66"/>
  <c r="D66" i="61" l="1"/>
  <c r="D34" i="61"/>
  <c r="H27" i="62"/>
  <c r="E52" i="66"/>
  <c r="E55" i="66" s="1"/>
  <c r="H36" i="62" l="1"/>
  <c r="I41" i="70"/>
  <c r="I50" i="70" s="1"/>
  <c r="I51" i="70" s="1"/>
  <c r="H38" i="62" l="1"/>
  <c r="I138" i="67"/>
  <c r="I137" i="67"/>
  <c r="I136" i="67"/>
  <c r="I135" i="67"/>
  <c r="H139" i="67"/>
  <c r="I128" i="67"/>
  <c r="I127" i="67"/>
  <c r="I126" i="67"/>
  <c r="I125" i="67"/>
  <c r="J96" i="67" s="1"/>
  <c r="I124" i="67"/>
  <c r="I123" i="67"/>
  <c r="I122" i="67"/>
  <c r="I121" i="67"/>
  <c r="I120" i="67"/>
  <c r="I119" i="67"/>
  <c r="I118" i="67"/>
  <c r="I117" i="67"/>
  <c r="J119" i="67" s="1"/>
  <c r="I116" i="67"/>
  <c r="J92" i="67" s="1"/>
  <c r="I115" i="67"/>
  <c r="I114" i="67"/>
  <c r="I113" i="67"/>
  <c r="I112" i="67"/>
  <c r="I111" i="67"/>
  <c r="I110" i="67"/>
  <c r="I107" i="67"/>
  <c r="I106" i="67"/>
  <c r="I105" i="67"/>
  <c r="I104" i="67"/>
  <c r="I103" i="67"/>
  <c r="I102" i="67"/>
  <c r="I101" i="67"/>
  <c r="I100" i="67"/>
  <c r="J95" i="67" s="1"/>
  <c r="I99" i="67"/>
  <c r="J128" i="67" s="1"/>
  <c r="I98" i="67"/>
  <c r="I97" i="67"/>
  <c r="I96" i="67"/>
  <c r="J109" i="67" s="1"/>
  <c r="I95" i="67"/>
  <c r="I94" i="67"/>
  <c r="I93" i="67"/>
  <c r="I92" i="67"/>
  <c r="I91" i="67"/>
  <c r="I90" i="67"/>
  <c r="I89" i="67"/>
  <c r="I88" i="67"/>
  <c r="I87" i="67"/>
  <c r="I86" i="67"/>
  <c r="I85" i="67"/>
  <c r="I84" i="67"/>
  <c r="J98" i="67" s="1"/>
  <c r="I83" i="67"/>
  <c r="I82" i="67"/>
  <c r="I81" i="67"/>
  <c r="I80" i="67"/>
  <c r="I79" i="67"/>
  <c r="I78" i="67"/>
  <c r="I77" i="67"/>
  <c r="I76" i="67"/>
  <c r="I74" i="67"/>
  <c r="I73" i="67"/>
  <c r="I72" i="67"/>
  <c r="I71" i="67"/>
  <c r="I70" i="67"/>
  <c r="I69" i="67"/>
  <c r="I68" i="67"/>
  <c r="I67" i="67"/>
  <c r="I66" i="67"/>
  <c r="I65" i="67"/>
  <c r="I64" i="67"/>
  <c r="I63" i="67"/>
  <c r="I62" i="67"/>
  <c r="I61" i="67"/>
  <c r="I60" i="67"/>
  <c r="I59" i="67"/>
  <c r="I58" i="67"/>
  <c r="I57" i="67"/>
  <c r="I56" i="67"/>
  <c r="I55" i="67"/>
  <c r="I54" i="67"/>
  <c r="I53" i="67"/>
  <c r="I52" i="67"/>
  <c r="I51" i="67"/>
  <c r="I50" i="67"/>
  <c r="I49" i="67"/>
  <c r="I48" i="67"/>
  <c r="I47" i="67"/>
  <c r="I46" i="67"/>
  <c r="I45" i="67"/>
  <c r="I44" i="67"/>
  <c r="I43" i="67"/>
  <c r="I42" i="67"/>
  <c r="I41" i="67"/>
  <c r="I40" i="67"/>
  <c r="I39" i="67"/>
  <c r="I38" i="67"/>
  <c r="I37" i="67"/>
  <c r="I36" i="67"/>
  <c r="I35" i="67"/>
  <c r="I34" i="67"/>
  <c r="I33" i="67"/>
  <c r="I32" i="67"/>
  <c r="J127" i="67" s="1"/>
  <c r="I31" i="67"/>
  <c r="I30" i="67"/>
  <c r="I29" i="67"/>
  <c r="I28" i="67"/>
  <c r="J125" i="67" s="1"/>
  <c r="I27" i="67"/>
  <c r="I26" i="67"/>
  <c r="I25" i="67"/>
  <c r="J100" i="67" s="1"/>
  <c r="I24" i="67"/>
  <c r="I23" i="67"/>
  <c r="I22" i="67"/>
  <c r="J91" i="67" s="1"/>
  <c r="I21" i="67"/>
  <c r="I20" i="67"/>
  <c r="I19" i="67"/>
  <c r="I18" i="67"/>
  <c r="I17" i="67"/>
  <c r="J99" i="67" s="1"/>
  <c r="I16" i="67"/>
  <c r="J94" i="67" s="1"/>
  <c r="I15" i="67"/>
  <c r="I14" i="67"/>
  <c r="I13" i="67"/>
  <c r="I12" i="67"/>
  <c r="I11" i="67"/>
  <c r="F179" i="67"/>
  <c r="F178" i="67"/>
  <c r="F177" i="67"/>
  <c r="E176" i="67"/>
  <c r="F176" i="67" s="1"/>
  <c r="F139" i="67"/>
  <c r="G134" i="67"/>
  <c r="G139" i="67" s="1"/>
  <c r="F119" i="67"/>
  <c r="E110" i="67"/>
  <c r="G109" i="67"/>
  <c r="I109" i="67" s="1"/>
  <c r="G108" i="67"/>
  <c r="I108" i="67" s="1"/>
  <c r="E62" i="67"/>
  <c r="F58" i="67"/>
  <c r="E57" i="67"/>
  <c r="E37" i="67"/>
  <c r="E19" i="67"/>
  <c r="I134" i="67" l="1"/>
  <c r="I139" i="67" s="1"/>
  <c r="I130" i="67"/>
  <c r="J121" i="67"/>
  <c r="J141" i="67" s="1"/>
  <c r="H130" i="67"/>
  <c r="F180" i="67"/>
  <c r="G130" i="67"/>
  <c r="G141" i="67" s="1"/>
  <c r="F130" i="67"/>
  <c r="F141" i="67" s="1"/>
  <c r="H141" i="67" l="1"/>
  <c r="I141" i="67"/>
  <c r="D29" i="66" l="1"/>
  <c r="D45" i="66" l="1"/>
  <c r="D47" i="66" s="1"/>
  <c r="D33" i="66"/>
  <c r="D39" i="66" s="1"/>
  <c r="D24" i="66"/>
  <c r="D52" i="66" l="1"/>
  <c r="D55" i="66" s="1"/>
  <c r="C19" i="65" l="1"/>
  <c r="J189" i="60" l="1"/>
  <c r="K188" i="60"/>
  <c r="K189" i="60" l="1"/>
  <c r="F277" i="73"/>
  <c r="G277" i="73" s="1"/>
  <c r="J155" i="60"/>
  <c r="F224" i="73" s="1"/>
  <c r="G224" i="73" s="1"/>
  <c r="F40" i="63" l="1"/>
  <c r="E40" i="63"/>
  <c r="F32" i="63"/>
  <c r="E32" i="63"/>
  <c r="F23" i="63"/>
  <c r="F17" i="63"/>
  <c r="E17" i="63"/>
  <c r="E19" i="65"/>
  <c r="D19" i="65"/>
  <c r="G18" i="65"/>
  <c r="G16" i="65"/>
  <c r="G10" i="65"/>
  <c r="G12" i="65" s="1"/>
  <c r="F24" i="63" l="1"/>
  <c r="F178" i="64" l="1"/>
  <c r="F177" i="64"/>
  <c r="F176" i="64"/>
  <c r="E175" i="64"/>
  <c r="F175" i="64" s="1"/>
  <c r="F138" i="64"/>
  <c r="H137" i="64"/>
  <c r="H136" i="64"/>
  <c r="H135" i="64"/>
  <c r="H134" i="64"/>
  <c r="G133" i="64"/>
  <c r="G138" i="64" s="1"/>
  <c r="H127" i="64"/>
  <c r="H126" i="64"/>
  <c r="H125" i="64"/>
  <c r="H124" i="64"/>
  <c r="I95" i="64" s="1"/>
  <c r="H123" i="64"/>
  <c r="H122" i="64"/>
  <c r="H121" i="64"/>
  <c r="H120" i="64"/>
  <c r="F118" i="64"/>
  <c r="H118" i="64" s="1"/>
  <c r="H117" i="64"/>
  <c r="H116" i="64"/>
  <c r="I118" i="64" s="1"/>
  <c r="H115" i="64"/>
  <c r="I91" i="64" s="1"/>
  <c r="H114" i="64"/>
  <c r="H113" i="64"/>
  <c r="H112" i="64"/>
  <c r="H111" i="64"/>
  <c r="H110" i="64"/>
  <c r="E109" i="64"/>
  <c r="G108" i="64"/>
  <c r="H108" i="64" s="1"/>
  <c r="G107" i="64"/>
  <c r="H107" i="64" s="1"/>
  <c r="I120" i="64" s="1"/>
  <c r="H106" i="64"/>
  <c r="H105" i="64"/>
  <c r="H104" i="64"/>
  <c r="H103" i="64"/>
  <c r="H102" i="64"/>
  <c r="H101" i="64"/>
  <c r="H100" i="64"/>
  <c r="H99" i="64"/>
  <c r="I94" i="64" s="1"/>
  <c r="H98" i="64"/>
  <c r="I127" i="64" s="1"/>
  <c r="H97" i="64"/>
  <c r="H96" i="64"/>
  <c r="H95" i="64"/>
  <c r="I108" i="64" s="1"/>
  <c r="H94" i="64"/>
  <c r="H93" i="64"/>
  <c r="H92" i="64"/>
  <c r="H91" i="64"/>
  <c r="H90" i="64"/>
  <c r="H89" i="64"/>
  <c r="H88" i="64"/>
  <c r="H87" i="64"/>
  <c r="H86" i="64"/>
  <c r="H85" i="64"/>
  <c r="H84" i="64"/>
  <c r="H83" i="64"/>
  <c r="I97" i="64" s="1"/>
  <c r="H82" i="64"/>
  <c r="H81" i="64"/>
  <c r="H79" i="64"/>
  <c r="H78" i="64"/>
  <c r="H77" i="64"/>
  <c r="H75" i="64"/>
  <c r="G73" i="64"/>
  <c r="H73" i="64" s="1"/>
  <c r="H72" i="64"/>
  <c r="H71" i="64"/>
  <c r="H70" i="64"/>
  <c r="H69" i="64"/>
  <c r="H68" i="64"/>
  <c r="H67" i="64"/>
  <c r="H66" i="64"/>
  <c r="H65" i="64"/>
  <c r="H64" i="64"/>
  <c r="H63" i="64"/>
  <c r="E62" i="64"/>
  <c r="G58" i="64"/>
  <c r="F58" i="64"/>
  <c r="H57" i="64"/>
  <c r="E57" i="64"/>
  <c r="H56" i="64"/>
  <c r="H55" i="64"/>
  <c r="H54" i="64"/>
  <c r="H53" i="64"/>
  <c r="H52" i="64"/>
  <c r="H47" i="64"/>
  <c r="H46" i="64"/>
  <c r="H45" i="64"/>
  <c r="H44" i="64"/>
  <c r="H43" i="64"/>
  <c r="H42" i="64"/>
  <c r="H41" i="64"/>
  <c r="H40" i="64"/>
  <c r="E37" i="64"/>
  <c r="H35" i="64"/>
  <c r="H32" i="64"/>
  <c r="I126" i="64" s="1"/>
  <c r="H29" i="64"/>
  <c r="H28" i="64"/>
  <c r="I124" i="64" s="1"/>
  <c r="H25" i="64"/>
  <c r="I99" i="64" s="1"/>
  <c r="H22" i="64"/>
  <c r="I90" i="64" s="1"/>
  <c r="H19" i="64"/>
  <c r="E19" i="64"/>
  <c r="H18" i="64"/>
  <c r="H17" i="64"/>
  <c r="I98" i="64" s="1"/>
  <c r="H16" i="64"/>
  <c r="I93" i="64" s="1"/>
  <c r="H13" i="64"/>
  <c r="H12" i="64"/>
  <c r="H11" i="64"/>
  <c r="F41" i="63"/>
  <c r="E41" i="63"/>
  <c r="F33" i="63"/>
  <c r="E33" i="63"/>
  <c r="E21" i="63"/>
  <c r="E23" i="63" s="1"/>
  <c r="E24" i="63" s="1"/>
  <c r="I60" i="61"/>
  <c r="I51" i="61"/>
  <c r="I32" i="61"/>
  <c r="I19" i="61"/>
  <c r="F179" i="64" l="1"/>
  <c r="I34" i="61"/>
  <c r="H133" i="64"/>
  <c r="H138" i="64" s="1"/>
  <c r="F129" i="64"/>
  <c r="F140" i="64" s="1"/>
  <c r="G129" i="64"/>
  <c r="G140" i="64" s="1"/>
  <c r="E44" i="63"/>
  <c r="E46" i="63" s="1"/>
  <c r="F44" i="63"/>
  <c r="F46" i="63" s="1"/>
  <c r="I66" i="61"/>
  <c r="I140" i="64"/>
  <c r="H58" i="64"/>
  <c r="H129" i="64" s="1"/>
  <c r="H140" i="64" l="1"/>
  <c r="F6" i="73" l="1"/>
  <c r="F9" i="73" s="1"/>
  <c r="G9" i="73" s="1"/>
  <c r="I305" i="60"/>
  <c r="K305" i="60" s="1"/>
  <c r="N202" i="60" s="1"/>
  <c r="I301" i="60"/>
  <c r="I299" i="60"/>
  <c r="F460" i="73" s="1"/>
  <c r="I298" i="60"/>
  <c r="F459" i="73" s="1"/>
  <c r="I297" i="60"/>
  <c r="F458" i="73" s="1"/>
  <c r="I296" i="60"/>
  <c r="F457" i="73" s="1"/>
  <c r="I295" i="60"/>
  <c r="F456" i="73" s="1"/>
  <c r="I294" i="60"/>
  <c r="F455" i="73" s="1"/>
  <c r="I291" i="60"/>
  <c r="F447" i="73" s="1"/>
  <c r="I290" i="60"/>
  <c r="F446" i="73" s="1"/>
  <c r="I288" i="60"/>
  <c r="F438" i="73" s="1"/>
  <c r="I287" i="60"/>
  <c r="F437" i="73" s="1"/>
  <c r="I286" i="60"/>
  <c r="F436" i="73" s="1"/>
  <c r="I285" i="60"/>
  <c r="F435" i="73" s="1"/>
  <c r="I284" i="60"/>
  <c r="F434" i="73" s="1"/>
  <c r="F433" i="73"/>
  <c r="F432" i="73"/>
  <c r="F431" i="73"/>
  <c r="I280" i="60"/>
  <c r="F430" i="73" s="1"/>
  <c r="I279" i="60"/>
  <c r="F429" i="73" s="1"/>
  <c r="I278" i="60"/>
  <c r="F428" i="73" s="1"/>
  <c r="I275" i="60"/>
  <c r="I274" i="60"/>
  <c r="F420" i="73" s="1"/>
  <c r="I273" i="60"/>
  <c r="F419" i="73" s="1"/>
  <c r="I272" i="60"/>
  <c r="F418" i="73" s="1"/>
  <c r="I271" i="60"/>
  <c r="F417" i="73" s="1"/>
  <c r="I270" i="60"/>
  <c r="F416" i="73" s="1"/>
  <c r="I269" i="60"/>
  <c r="F415" i="73" s="1"/>
  <c r="I268" i="60"/>
  <c r="F414" i="73" s="1"/>
  <c r="I267" i="60"/>
  <c r="F487" i="73" s="1"/>
  <c r="I266" i="60"/>
  <c r="F486" i="73" s="1"/>
  <c r="I265" i="60"/>
  <c r="F413" i="73" s="1"/>
  <c r="I263" i="60"/>
  <c r="F407" i="73" s="1"/>
  <c r="I262" i="60"/>
  <c r="F406" i="73" s="1"/>
  <c r="I261" i="60"/>
  <c r="F405" i="73" s="1"/>
  <c r="I259" i="60"/>
  <c r="F403" i="73" s="1"/>
  <c r="I258" i="60"/>
  <c r="F402" i="73" s="1"/>
  <c r="I253" i="60"/>
  <c r="F393" i="73" s="1"/>
  <c r="I251" i="60"/>
  <c r="F391" i="73" s="1"/>
  <c r="I249" i="60"/>
  <c r="F386" i="73" s="1"/>
  <c r="I248" i="60"/>
  <c r="F385" i="73" s="1"/>
  <c r="I246" i="60"/>
  <c r="F383" i="73" s="1"/>
  <c r="I244" i="60"/>
  <c r="F378" i="73" s="1"/>
  <c r="I243" i="60"/>
  <c r="I242" i="60"/>
  <c r="F376" i="73" s="1"/>
  <c r="I241" i="60"/>
  <c r="F375" i="73" s="1"/>
  <c r="F369" i="73"/>
  <c r="I238" i="60"/>
  <c r="F368" i="73" s="1"/>
  <c r="I237" i="60"/>
  <c r="F367" i="73" s="1"/>
  <c r="I235" i="60"/>
  <c r="F362" i="73" s="1"/>
  <c r="F363" i="73" s="1"/>
  <c r="G363" i="73" s="1"/>
  <c r="I232" i="60"/>
  <c r="F356" i="73" s="1"/>
  <c r="I230" i="60"/>
  <c r="F354" i="73" s="1"/>
  <c r="I227" i="60"/>
  <c r="I225" i="60"/>
  <c r="F342" i="73" s="1"/>
  <c r="I224" i="60"/>
  <c r="F341" i="73" s="1"/>
  <c r="I222" i="60"/>
  <c r="F325" i="73" s="1"/>
  <c r="I221" i="60"/>
  <c r="I219" i="60"/>
  <c r="F310" i="73" s="1"/>
  <c r="I218" i="60"/>
  <c r="F309" i="73" s="1"/>
  <c r="I217" i="60"/>
  <c r="F308" i="73" s="1"/>
  <c r="I216" i="60"/>
  <c r="F307" i="73" s="1"/>
  <c r="I213" i="60"/>
  <c r="F323" i="73" s="1"/>
  <c r="I212" i="60"/>
  <c r="F322" i="73" s="1"/>
  <c r="I210" i="60"/>
  <c r="F320" i="73" s="1"/>
  <c r="I209" i="60"/>
  <c r="F319" i="73" s="1"/>
  <c r="I208" i="60"/>
  <c r="F318" i="73" s="1"/>
  <c r="I207" i="60"/>
  <c r="F317" i="73" s="1"/>
  <c r="I206" i="60"/>
  <c r="F316" i="73" s="1"/>
  <c r="I205" i="60"/>
  <c r="F315" i="73" s="1"/>
  <c r="I204" i="60"/>
  <c r="I202" i="60"/>
  <c r="J199" i="60"/>
  <c r="K199" i="60" s="1"/>
  <c r="N176" i="60" s="1"/>
  <c r="J198" i="60"/>
  <c r="K198" i="60" s="1"/>
  <c r="J196" i="60"/>
  <c r="J194" i="60"/>
  <c r="J193" i="60"/>
  <c r="J192" i="60"/>
  <c r="J190" i="60"/>
  <c r="I189" i="60"/>
  <c r="F477" i="73" s="1"/>
  <c r="G477" i="73" s="1"/>
  <c r="I188" i="60"/>
  <c r="J187" i="60"/>
  <c r="F275" i="73" s="1"/>
  <c r="G275" i="73" s="1"/>
  <c r="J186" i="60"/>
  <c r="F274" i="73" s="1"/>
  <c r="G274" i="73" s="1"/>
  <c r="J185" i="60"/>
  <c r="F273" i="73" s="1"/>
  <c r="G273" i="73" s="1"/>
  <c r="J184" i="60"/>
  <c r="J183" i="60"/>
  <c r="J181" i="60"/>
  <c r="F270" i="73" s="1"/>
  <c r="J177" i="60"/>
  <c r="F264" i="73" s="1"/>
  <c r="J176" i="60"/>
  <c r="F263" i="73" s="1"/>
  <c r="J175" i="60"/>
  <c r="F262" i="73" s="1"/>
  <c r="J172" i="60"/>
  <c r="J170" i="60"/>
  <c r="F245" i="73" s="1"/>
  <c r="J169" i="60"/>
  <c r="F244" i="73" s="1"/>
  <c r="J167" i="60"/>
  <c r="J165" i="60"/>
  <c r="F233" i="73" s="1"/>
  <c r="J164" i="60"/>
  <c r="F251" i="73" s="1"/>
  <c r="J163" i="60"/>
  <c r="F250" i="73" s="1"/>
  <c r="J162" i="60"/>
  <c r="F232" i="73" s="1"/>
  <c r="J159" i="60"/>
  <c r="F227" i="73" s="1"/>
  <c r="G227" i="73" s="1"/>
  <c r="J154" i="60"/>
  <c r="F223" i="73" s="1"/>
  <c r="G223" i="73" s="1"/>
  <c r="J153" i="60"/>
  <c r="F222" i="73" s="1"/>
  <c r="J152" i="60"/>
  <c r="F221" i="73" s="1"/>
  <c r="G221" i="73" s="1"/>
  <c r="J150" i="60"/>
  <c r="F218" i="73"/>
  <c r="G218" i="73" s="1"/>
  <c r="J147" i="60"/>
  <c r="F213" i="73" s="1"/>
  <c r="G213" i="73" s="1"/>
  <c r="J145" i="60"/>
  <c r="F212" i="73" s="1"/>
  <c r="G212" i="73" s="1"/>
  <c r="F208" i="73"/>
  <c r="F201" i="73"/>
  <c r="I135" i="60"/>
  <c r="F200" i="73" s="1"/>
  <c r="I134" i="60"/>
  <c r="I130" i="60"/>
  <c r="F77" i="73" s="1"/>
  <c r="I129" i="60"/>
  <c r="F76" i="73" s="1"/>
  <c r="G76" i="73" s="1"/>
  <c r="I127" i="60"/>
  <c r="N37" i="60" s="1"/>
  <c r="I126" i="60"/>
  <c r="F196" i="73" s="1"/>
  <c r="I124" i="60"/>
  <c r="F75" i="73" s="1"/>
  <c r="G75" i="73" s="1"/>
  <c r="I123" i="60"/>
  <c r="F74" i="73" s="1"/>
  <c r="G74" i="73" s="1"/>
  <c r="I122" i="60"/>
  <c r="F73" i="73" s="1"/>
  <c r="I121" i="60"/>
  <c r="F72" i="73" s="1"/>
  <c r="G72" i="73" s="1"/>
  <c r="I120" i="60"/>
  <c r="F71" i="73" s="1"/>
  <c r="G71" i="73" s="1"/>
  <c r="I118" i="60"/>
  <c r="F70" i="73" s="1"/>
  <c r="I115" i="60"/>
  <c r="I111" i="60"/>
  <c r="F176" i="73" s="1"/>
  <c r="J106" i="60"/>
  <c r="F186" i="73" s="1"/>
  <c r="G186" i="73" s="1"/>
  <c r="I105" i="60"/>
  <c r="F172" i="73" s="1"/>
  <c r="G172" i="73" s="1"/>
  <c r="J103" i="60"/>
  <c r="I102" i="60"/>
  <c r="J101" i="60"/>
  <c r="I100" i="60"/>
  <c r="J98" i="60"/>
  <c r="F185" i="73" s="1"/>
  <c r="G185" i="73" s="1"/>
  <c r="I97" i="60"/>
  <c r="F171" i="73" s="1"/>
  <c r="G171" i="73" s="1"/>
  <c r="J95" i="60"/>
  <c r="F184" i="73" s="1"/>
  <c r="G184" i="73" s="1"/>
  <c r="J92" i="60"/>
  <c r="F183" i="73" s="1"/>
  <c r="G183" i="73" s="1"/>
  <c r="I91" i="60"/>
  <c r="F169" i="73" s="1"/>
  <c r="G169" i="73" s="1"/>
  <c r="J90" i="60"/>
  <c r="I89" i="60"/>
  <c r="F168" i="73" s="1"/>
  <c r="G168" i="73" s="1"/>
  <c r="J88" i="60"/>
  <c r="F181" i="73" s="1"/>
  <c r="G181" i="73" s="1"/>
  <c r="I87" i="60"/>
  <c r="F167" i="73" s="1"/>
  <c r="G167" i="73" s="1"/>
  <c r="J85" i="60"/>
  <c r="F180" i="73" s="1"/>
  <c r="G180" i="73" s="1"/>
  <c r="I84" i="60"/>
  <c r="F166" i="73" s="1"/>
  <c r="G166" i="73" s="1"/>
  <c r="J83" i="60"/>
  <c r="F179" i="73" s="1"/>
  <c r="G179" i="73" s="1"/>
  <c r="I82" i="60"/>
  <c r="F165" i="73" s="1"/>
  <c r="G165" i="73" s="1"/>
  <c r="J81" i="60"/>
  <c r="F178" i="73" s="1"/>
  <c r="G178" i="73" s="1"/>
  <c r="I80" i="60"/>
  <c r="F164" i="73" s="1"/>
  <c r="G164" i="73" s="1"/>
  <c r="J78" i="60"/>
  <c r="I77" i="60"/>
  <c r="I74" i="60"/>
  <c r="I73" i="60"/>
  <c r="N32" i="60" s="1"/>
  <c r="N33" i="60" s="1"/>
  <c r="I70" i="60"/>
  <c r="J64" i="60"/>
  <c r="F149" i="73" s="1"/>
  <c r="I63" i="60"/>
  <c r="I62" i="60"/>
  <c r="J59" i="60"/>
  <c r="C51" i="73" s="1"/>
  <c r="J57" i="60"/>
  <c r="F148" i="73" s="1"/>
  <c r="I56" i="60"/>
  <c r="J55" i="60"/>
  <c r="F147" i="73" s="1"/>
  <c r="I54" i="60"/>
  <c r="I53" i="60"/>
  <c r="F138" i="73" s="1"/>
  <c r="G138" i="73" s="1"/>
  <c r="I52" i="60"/>
  <c r="F137" i="73" s="1"/>
  <c r="G137" i="73" s="1"/>
  <c r="I51" i="60"/>
  <c r="I50" i="60"/>
  <c r="J49" i="60"/>
  <c r="J48" i="60"/>
  <c r="C50" i="73" s="1"/>
  <c r="I47" i="60"/>
  <c r="M47" i="60" s="1"/>
  <c r="J43" i="60"/>
  <c r="C49" i="73" s="1"/>
  <c r="I42" i="60"/>
  <c r="I41" i="60"/>
  <c r="M43" i="60" s="1"/>
  <c r="J39" i="60"/>
  <c r="J33" i="60"/>
  <c r="F126" i="73" s="1"/>
  <c r="I32" i="60"/>
  <c r="F124" i="73" s="1"/>
  <c r="I27" i="60"/>
  <c r="J26" i="60"/>
  <c r="F113" i="73" s="1"/>
  <c r="I25" i="60"/>
  <c r="F112" i="73" s="1"/>
  <c r="J23" i="60"/>
  <c r="F125" i="73" s="1"/>
  <c r="I22" i="60"/>
  <c r="J20" i="60"/>
  <c r="F102" i="73" s="1"/>
  <c r="I19" i="60"/>
  <c r="D235" i="60"/>
  <c r="N19" i="60" l="1"/>
  <c r="N209" i="73"/>
  <c r="N149" i="60"/>
  <c r="F219" i="73"/>
  <c r="G219" i="73" s="1"/>
  <c r="C45" i="61"/>
  <c r="F197" i="73"/>
  <c r="C17" i="61"/>
  <c r="F177" i="73"/>
  <c r="G177" i="73" s="1"/>
  <c r="N36" i="60"/>
  <c r="C30" i="61" s="1"/>
  <c r="F60" i="73"/>
  <c r="G60" i="73" s="1"/>
  <c r="N16" i="60"/>
  <c r="C16" i="61" s="1"/>
  <c r="C36" i="73"/>
  <c r="I307" i="60"/>
  <c r="N15" i="60"/>
  <c r="F123" i="73"/>
  <c r="C48" i="73"/>
  <c r="M49" i="60"/>
  <c r="C35" i="73"/>
  <c r="M46" i="60"/>
  <c r="F448" i="73"/>
  <c r="G448" i="73" s="1"/>
  <c r="F252" i="73"/>
  <c r="G252" i="73" s="1"/>
  <c r="C31" i="61"/>
  <c r="F343" i="73"/>
  <c r="G343" i="73" s="1"/>
  <c r="F396" i="73"/>
  <c r="G396" i="73" s="1"/>
  <c r="F100" i="73"/>
  <c r="F103" i="73" s="1"/>
  <c r="G103" i="73" s="1"/>
  <c r="C25" i="61"/>
  <c r="H127" i="74" s="1"/>
  <c r="I127" i="74" s="1"/>
  <c r="F163" i="73"/>
  <c r="G163" i="73" s="1"/>
  <c r="F182" i="73"/>
  <c r="G182" i="73" s="1"/>
  <c r="F246" i="73"/>
  <c r="G246" i="73" s="1"/>
  <c r="F357" i="73"/>
  <c r="G357" i="73" s="1"/>
  <c r="F265" i="73"/>
  <c r="F370" i="73"/>
  <c r="G370" i="73" s="1"/>
  <c r="F114" i="73"/>
  <c r="G114" i="73" s="1"/>
  <c r="F311" i="73"/>
  <c r="G311" i="73" s="1"/>
  <c r="F408" i="73"/>
  <c r="G408" i="73" s="1"/>
  <c r="F387" i="73"/>
  <c r="G387" i="73" s="1"/>
  <c r="F136" i="73"/>
  <c r="C28" i="61"/>
  <c r="M57" i="60"/>
  <c r="F141" i="73"/>
  <c r="F198" i="73"/>
  <c r="F202" i="73" s="1"/>
  <c r="G202" i="73" s="1"/>
  <c r="K190" i="60"/>
  <c r="F278" i="73"/>
  <c r="G278" i="73" s="1"/>
  <c r="K205" i="60"/>
  <c r="F314" i="73"/>
  <c r="F326" i="73" s="1"/>
  <c r="G326" i="73" s="1"/>
  <c r="N152" i="60"/>
  <c r="C47" i="61" s="1"/>
  <c r="J47" i="61" s="1"/>
  <c r="F239" i="73"/>
  <c r="G239" i="73" s="1"/>
  <c r="K183" i="60"/>
  <c r="F271" i="73"/>
  <c r="G271" i="73" s="1"/>
  <c r="J46" i="70"/>
  <c r="K192" i="60"/>
  <c r="F284" i="73"/>
  <c r="J12" i="70"/>
  <c r="J27" i="70" s="1"/>
  <c r="K227" i="60"/>
  <c r="N187" i="60" s="1"/>
  <c r="F348" i="73"/>
  <c r="G348" i="73" s="1"/>
  <c r="J45" i="70"/>
  <c r="F272" i="73"/>
  <c r="G272" i="73" s="1"/>
  <c r="K193" i="60"/>
  <c r="F285" i="73"/>
  <c r="F87" i="73"/>
  <c r="F139" i="73"/>
  <c r="K194" i="60"/>
  <c r="E14" i="62" s="1"/>
  <c r="I14" i="62" s="1"/>
  <c r="F146" i="73"/>
  <c r="F150" i="73" s="1"/>
  <c r="M59" i="60"/>
  <c r="G176" i="73"/>
  <c r="N162" i="60"/>
  <c r="C56" i="61" s="1"/>
  <c r="F257" i="73"/>
  <c r="G257" i="73" s="1"/>
  <c r="N209" i="60"/>
  <c r="E37" i="62" s="1"/>
  <c r="I37" i="62" s="1"/>
  <c r="F299" i="73"/>
  <c r="G299" i="73" s="1"/>
  <c r="K301" i="60"/>
  <c r="N199" i="60" s="1"/>
  <c r="F466" i="73"/>
  <c r="F469" i="73" s="1"/>
  <c r="G469" i="73" s="1"/>
  <c r="F69" i="73"/>
  <c r="F234" i="73"/>
  <c r="G234" i="73" s="1"/>
  <c r="K206" i="60"/>
  <c r="F329" i="73"/>
  <c r="G329" i="73" s="1"/>
  <c r="F474" i="73"/>
  <c r="G474" i="73" s="1"/>
  <c r="F35" i="73"/>
  <c r="G35" i="73" s="1"/>
  <c r="F480" i="73"/>
  <c r="G480" i="73" s="1"/>
  <c r="N204" i="60"/>
  <c r="F293" i="73"/>
  <c r="F294" i="73" s="1"/>
  <c r="G294" i="73" s="1"/>
  <c r="F422" i="73"/>
  <c r="G422" i="73" s="1"/>
  <c r="F440" i="73"/>
  <c r="G440" i="73" s="1"/>
  <c r="F461" i="73"/>
  <c r="F48" i="73"/>
  <c r="G48" i="73" s="1"/>
  <c r="J11" i="70"/>
  <c r="J26" i="70" s="1"/>
  <c r="F127" i="73"/>
  <c r="G127" i="73" s="1"/>
  <c r="F24" i="73"/>
  <c r="G24" i="73" s="1"/>
  <c r="J8" i="70"/>
  <c r="J22" i="70" s="1"/>
  <c r="M55" i="60"/>
  <c r="F140" i="73"/>
  <c r="K202" i="60"/>
  <c r="F304" i="73"/>
  <c r="F488" i="73"/>
  <c r="G488" i="73" s="1"/>
  <c r="G222" i="73"/>
  <c r="F228" i="73"/>
  <c r="F214" i="73"/>
  <c r="G214" i="73" s="1"/>
  <c r="G208" i="73"/>
  <c r="G270" i="73"/>
  <c r="F33" i="73"/>
  <c r="J7" i="70"/>
  <c r="J21" i="70" s="1"/>
  <c r="F156" i="73"/>
  <c r="F157" i="73"/>
  <c r="K241" i="60"/>
  <c r="N195" i="60" s="1"/>
  <c r="F377" i="73"/>
  <c r="F379" i="73" s="1"/>
  <c r="N206" i="60"/>
  <c r="E35" i="62"/>
  <c r="M54" i="60"/>
  <c r="K291" i="60"/>
  <c r="N196" i="60" s="1"/>
  <c r="K246" i="60"/>
  <c r="N184" i="60" s="1"/>
  <c r="K195" i="60"/>
  <c r="N175" i="60" s="1"/>
  <c r="K273" i="60"/>
  <c r="N194" i="60" s="1"/>
  <c r="K251" i="60"/>
  <c r="N188" i="60" s="1"/>
  <c r="M56" i="60"/>
  <c r="K265" i="60"/>
  <c r="N189" i="60" s="1"/>
  <c r="M44" i="60"/>
  <c r="K181" i="60"/>
  <c r="N153" i="60"/>
  <c r="C48" i="61" s="1"/>
  <c r="K229" i="60"/>
  <c r="N192" i="60" s="1"/>
  <c r="K237" i="60"/>
  <c r="N190" i="60" s="1"/>
  <c r="K187" i="60"/>
  <c r="N170" i="60"/>
  <c r="K224" i="60"/>
  <c r="N193" i="60" s="1"/>
  <c r="K294" i="60"/>
  <c r="N198" i="60" s="1"/>
  <c r="K204" i="60"/>
  <c r="N163" i="60"/>
  <c r="C57" i="61" s="1"/>
  <c r="C27" i="61"/>
  <c r="H227" i="74" s="1"/>
  <c r="K257" i="60"/>
  <c r="N186" i="60" s="1"/>
  <c r="K267" i="60"/>
  <c r="N205" i="60"/>
  <c r="E34" i="62" s="1"/>
  <c r="N151" i="60"/>
  <c r="C46" i="61" s="1"/>
  <c r="E23" i="62"/>
  <c r="K234" i="60"/>
  <c r="N185" i="60" s="1"/>
  <c r="C26" i="61"/>
  <c r="D38" i="73" l="1"/>
  <c r="N39" i="60"/>
  <c r="C15" i="61"/>
  <c r="D47" i="73"/>
  <c r="H47" i="73" s="1"/>
  <c r="H38" i="73"/>
  <c r="F78" i="73"/>
  <c r="G78" i="73" s="1"/>
  <c r="F173" i="73"/>
  <c r="G265" i="73"/>
  <c r="F187" i="73"/>
  <c r="G187" i="73" s="1"/>
  <c r="E24" i="62"/>
  <c r="I24" i="62" s="1"/>
  <c r="I35" i="62"/>
  <c r="J28" i="70"/>
  <c r="J34" i="70" s="1"/>
  <c r="F279" i="73"/>
  <c r="G279" i="73" s="1"/>
  <c r="G461" i="73"/>
  <c r="F482" i="73"/>
  <c r="G482" i="73" s="1"/>
  <c r="G173" i="73"/>
  <c r="N164" i="60"/>
  <c r="J25" i="61"/>
  <c r="G87" i="73"/>
  <c r="G89" i="73" s="1"/>
  <c r="F89" i="73"/>
  <c r="F331" i="73"/>
  <c r="G304" i="73"/>
  <c r="F333" i="73"/>
  <c r="G333" i="73" s="1"/>
  <c r="F288" i="73"/>
  <c r="F142" i="73"/>
  <c r="H168" i="74"/>
  <c r="I168" i="74" s="1"/>
  <c r="J26" i="61"/>
  <c r="J16" i="61"/>
  <c r="I23" i="62"/>
  <c r="I227" i="74"/>
  <c r="J27" i="61"/>
  <c r="J28" i="61"/>
  <c r="J56" i="61"/>
  <c r="J57" i="61"/>
  <c r="J48" i="61"/>
  <c r="J24" i="61"/>
  <c r="J46" i="61"/>
  <c r="J13" i="61"/>
  <c r="I34" i="62"/>
  <c r="J33" i="70"/>
  <c r="J31" i="61"/>
  <c r="J17" i="61"/>
  <c r="J30" i="61"/>
  <c r="G228" i="73"/>
  <c r="J45" i="61"/>
  <c r="C29" i="61"/>
  <c r="F47" i="73"/>
  <c r="G33" i="73"/>
  <c r="F442" i="73"/>
  <c r="G442" i="73" s="1"/>
  <c r="G379" i="73"/>
  <c r="F158" i="73"/>
  <c r="M58" i="60"/>
  <c r="M61" i="60" s="1"/>
  <c r="J308" i="60"/>
  <c r="E22" i="62"/>
  <c r="E13" i="62"/>
  <c r="N173" i="60"/>
  <c r="M48" i="60"/>
  <c r="M51" i="60" s="1"/>
  <c r="K207" i="60"/>
  <c r="N183" i="60" s="1"/>
  <c r="C60" i="61"/>
  <c r="J60" i="61" s="1"/>
  <c r="N166" i="60"/>
  <c r="N154" i="60"/>
  <c r="N167" i="60" s="1"/>
  <c r="C42" i="61"/>
  <c r="J42" i="61" s="1"/>
  <c r="F189" i="73" l="1"/>
  <c r="G189" i="73" s="1"/>
  <c r="G288" i="73"/>
  <c r="C32" i="61"/>
  <c r="J32" i="61" s="1"/>
  <c r="F297" i="73"/>
  <c r="G297" i="73" s="1"/>
  <c r="J29" i="70"/>
  <c r="G142" i="73"/>
  <c r="F151" i="73"/>
  <c r="G151" i="73" s="1"/>
  <c r="J15" i="61"/>
  <c r="I13" i="62"/>
  <c r="J29" i="61"/>
  <c r="I22" i="62"/>
  <c r="G158" i="73"/>
  <c r="F52" i="73"/>
  <c r="G52" i="73" s="1"/>
  <c r="G47" i="73"/>
  <c r="O32" i="70"/>
  <c r="P34" i="70" s="1"/>
  <c r="J35" i="70"/>
  <c r="C51" i="61"/>
  <c r="N177" i="60"/>
  <c r="E12" i="62"/>
  <c r="I12" i="62" s="1"/>
  <c r="N207" i="60"/>
  <c r="E21" i="62"/>
  <c r="I21" i="62" s="1"/>
  <c r="J51" i="61" l="1"/>
  <c r="E18" i="62"/>
  <c r="E25" i="62"/>
  <c r="N208" i="60"/>
  <c r="N210" i="60" s="1"/>
  <c r="N212" i="60" s="1"/>
  <c r="C63" i="61" s="1"/>
  <c r="D237" i="57"/>
  <c r="N213" i="60" l="1"/>
  <c r="E27" i="62"/>
  <c r="I27" i="62" s="1"/>
  <c r="C66" i="61" l="1"/>
  <c r="J63" i="61"/>
  <c r="J41" i="70"/>
  <c r="J50" i="70" s="1"/>
  <c r="J51" i="70" s="1"/>
  <c r="E36" i="62"/>
  <c r="E38" i="62" s="1"/>
  <c r="J66" i="61" l="1"/>
  <c r="I38" i="62"/>
  <c r="F15" i="65"/>
  <c r="I36" i="62"/>
  <c r="C19" i="61"/>
  <c r="C34" i="61" s="1"/>
  <c r="J14" i="61"/>
  <c r="J34" i="61" l="1"/>
  <c r="C81" i="61"/>
  <c r="F19" i="65"/>
  <c r="G15" i="65"/>
  <c r="G19" i="65" s="1"/>
  <c r="J19" i="61"/>
  <c r="C70" i="61"/>
  <c r="C72" i="61" s="1"/>
  <c r="F33" i="70"/>
  <c r="F35" i="70" s="1"/>
  <c r="F51" i="7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DENISE</author>
    <author>USER</author>
  </authors>
  <commentList>
    <comment ref="I44" authorId="0" shapeId="0" xr:uid="{EB6A7C78-D707-4CB3-9CB2-4E7987C26FDB}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metro hospital,refractories, fidmi</t>
        </r>
      </text>
    </comment>
    <comment ref="I241" authorId="1" shapeId="0" xr:uid="{ADF6E116-F2C4-44DF-BA5B-4401A05786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5-020-5040 
CABLE, SATELLITE , TELEGRAPH AND      RADIO EXPENSES- 330,452.22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DENISE</author>
  </authors>
  <commentList>
    <comment ref="N11" authorId="0" shapeId="0" xr:uid="{4DCCCDB7-FFDA-40DF-A160-6E476D701296}">
      <text>
        <r>
          <rPr>
            <b/>
            <sz val="9"/>
            <color indexed="81"/>
            <rFont val="Tahoma"/>
            <family val="2"/>
          </rPr>
          <t>DENISE
Dollar time deposit plus 6,243,559.64 (90 days to less than 1 year)</t>
        </r>
      </text>
    </comment>
    <comment ref="I16" authorId="0" shapeId="0" xr:uid="{B0D0D8B5-3415-4A5C-B2BF-E5A3EA92C8D9}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DOLLAR TIME DEPOSIT
SPLIT INTO 2  - OTHER INVESTMENT AND FINANCIAL ASSETS </t>
        </r>
      </text>
    </comment>
    <comment ref="N22" authorId="0" shapeId="0" xr:uid="{CC1BB5D7-46BA-4CD7-8FAC-156287518F6E}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less dollar foreign TD P6,474,300.00</t>
        </r>
      </text>
    </comment>
    <comment ref="J43" authorId="0" shapeId="0" xr:uid="{F6029BA6-F857-47A3-BD08-B5BA38EFEE7D}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current - pitc pharma P11,380,295.96
and usiphil  P1,789,912.16 =
P13,170,208.12</t>
        </r>
      </text>
    </comment>
    <comment ref="J48" authorId="0" shapeId="0" xr:uid="{E6B40848-D5CD-4E32-9DA5-F995566153E5}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LONG-TERM  - 5138 FCCC P1,248,360
5215 LUZON P118,082,509.95
5471 TRANSPORT - 2,313,030.59
5682 PICOP -RATTAN - P300,000 = P121,943,900.54
</t>
        </r>
      </text>
    </comment>
    <comment ref="I118" authorId="0" shapeId="0" xr:uid="{8878924C-5906-4A4B-A4BD-955EDB98768D}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current RM mangubat -613,763.05 and thaumaturgy - 642,600.00</t>
        </r>
      </text>
    </comment>
    <comment ref="I119" authorId="0" shapeId="0" xr:uid="{2BD6AAD7-1A7E-4A08-A0DE-9C4BA3350607}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current RM mangubat -613,763.05 and thaumaturgy - 642,600.00</t>
        </r>
      </text>
    </comment>
    <comment ref="J136" authorId="0" shapeId="0" xr:uid="{C468DF4E-275B-4A77-B662-C66EA3115710}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includes allowance for impairment for advances to contractors - integrated learning 8135 and p.j construction 8925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tc={3A780B21-EA76-4132-B8CD-C2BDE3C081B3}</author>
    <author>tc={9A6F497E-3E18-4CA4-8F6E-3473A74EDD63}</author>
  </authors>
  <commentList>
    <comment ref="C106" authorId="0" shapeId="0" xr:uid="{3A780B21-EA76-4132-B8CD-C2BDE3C081B3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ALLOWANCE IS RECORDED UNDER SAN CARLOS ENERGY ACCOUNT</t>
      </text>
    </comment>
    <comment ref="C111" authorId="1" shapeId="0" xr:uid="{9A6F497E-3E18-4CA4-8F6E-3473A74EDD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ALLOWANCE YET - HIGH CHANCE OF COLLECTION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tc={ECCAE771-B2D1-437C-9E99-615E09AF0E49}</author>
    <author>tc={BA33E7F6-F02F-4BCE-88A5-03266F59D0BB}</author>
    <author>tc={9D755BC9-26DA-4626-80EE-71E53A9E6AB5}</author>
    <author>tc={3E8858A0-3DCF-4F21-97D0-53177011D183}</author>
    <author>tc={F642B97E-4587-48A5-8B70-0AD5ABC37AC2}</author>
    <author>tc={AFF2286B-269E-4F64-8241-9F20F3BD60E0}</author>
    <author>tc={ABC04AFA-FF40-4A83-ADF7-288F2C2884AD}</author>
    <author>tc={2169AFD3-386F-4C00-9B7F-96E445038D35}</author>
    <author>tc={95D37773-31CF-4E8D-BA3D-01422A5C54EA}</author>
    <author>tc={C35BAF00-C9FC-46E7-94B0-BA9D4C0DF529}</author>
    <author>tc={9CB614DB-2476-46F3-A919-1E9B6F0F2529}</author>
    <author>tc={2D385DC7-1AE4-43F1-AE75-02D27151750A}</author>
    <author>tc={94D79A64-A322-47BD-8032-654DB96528AD}</author>
  </authors>
  <commentList>
    <comment ref="E103" authorId="0" shapeId="0" xr:uid="{ECCAE771-B2D1-437C-9E99-615E09AF0E49}">
      <text>
        <t>[Threaded comment]
Your version of Excel allows you to read this threaded comment; however, any edits to it will get removed if the file is opened in a newer version of Excel. Learn more: https://go.microsoft.com/fwlink/?linkid=870924
Comment:
    10301011A - ALLOWANCE-OTHER NON-INCOME</t>
      </text>
    </comment>
    <comment ref="E104" authorId="1" shapeId="0" xr:uid="{BA33E7F6-F02F-4BCE-88A5-03266F59D0BB}">
      <text>
        <t>[Threaded comment]
Your version of Excel allows you to read this threaded comment; however, any edits to it will get removed if the file is opened in a newer version of Excel. Learn more: https://go.microsoft.com/fwlink/?linkid=870924
Comment:
    10301011A - ALLOWANCE - OTHER NON INCOME</t>
      </text>
    </comment>
    <comment ref="E105" authorId="2" shapeId="0" xr:uid="{9D755BC9-26DA-4626-80EE-71E53A9E6AB5}">
      <text>
        <t>[Threaded comment]
Your version of Excel allows you to read this threaded comment; however, any edits to it will get removed if the file is opened in a newer version of Excel. Learn more: https://go.microsoft.com/fwlink/?linkid=870924
Comment:
    10301011A - ALLOWANCE OTHER NON INCOME</t>
      </text>
    </comment>
    <comment ref="E106" authorId="3" shapeId="0" xr:uid="{3E8858A0-3DCF-4F21-97D0-53177011D183}">
      <text>
        <t>[Threaded comment]
Your version of Excel allows you to read this threaded comment; however, any edits to it will get removed if the file is opened in a newer version of Excel. Learn more: https://go.microsoft.com/fwlink/?linkid=870924
Comment:
    10301011A - ALLOWANCE - OTHER NON INCOME</t>
      </text>
    </comment>
    <comment ref="E107" authorId="4" shapeId="0" xr:uid="{F642B97E-4587-48A5-8B70-0AD5ABC37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10301011A - ALLOWANCE - OTHER NON INCOME
</t>
      </text>
    </comment>
    <comment ref="E108" authorId="5" shapeId="0" xr:uid="{AFF2286B-269E-4F64-8241-9F20F3BD60E0}">
      <text>
        <t>[Threaded comment]
Your version of Excel allows you to read this threaded comment; however, any edits to it will get removed if the file is opened in a newer version of Excel. Learn more: https://go.microsoft.com/fwlink/?linkid=870924
Comment:
    10301011A - ALLOWANCE OTHER NON-INCOME
10301011A - ALLOWANCE - OTHER NON-INCOME</t>
      </text>
    </comment>
    <comment ref="E109" authorId="6" shapeId="0" xr:uid="{ABC04AFA-FF40-4A83-ADF7-288F2C2884AD}">
      <text>
        <t>[Threaded comment]
Your version of Excel allows you to read this threaded comment; however, any edits to it will get removed if the file is opened in a newer version of Excel. Learn more: https://go.microsoft.com/fwlink/?linkid=870924
Comment:
    10301011A - ALLOWANCE - OTHER NON-INCOME</t>
      </text>
    </comment>
    <comment ref="E112" authorId="7" shapeId="0" xr:uid="{2169AFD3-386F-4C00-9B7F-96E445038D35}">
      <text>
        <t>[Threaded comment]
Your version of Excel allows you to read this threaded comment; however, any edits to it will get removed if the file is opened in a newer version of Excel. Learn more: https://go.microsoft.com/fwlink/?linkid=870924
Comment:
    10301011A - ALLOWANCE - OTHER NON-INCOME</t>
      </text>
    </comment>
    <comment ref="E113" authorId="8" shapeId="0" xr:uid="{95D37773-31CF-4E8D-BA3D-01422A5C54EA}">
      <text>
        <t>[Threaded comment]
Your version of Excel allows you to read this threaded comment; however, any edits to it will get removed if the file is opened in a newer version of Excel. Learn more: https://go.microsoft.com/fwlink/?linkid=870924
Comment:
    10301011A - ALLOWANCE -OTHER NON INCOME</t>
      </text>
    </comment>
    <comment ref="E347" authorId="9" shapeId="0" xr:uid="{C35BAF00-C9FC-46E7-94B0-BA9D4C0DF5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ALLOWANCE FOR BAD DEBTS - CURRENT -10303060 P1,248,360
</t>
      </text>
    </comment>
    <comment ref="E348" authorId="10" shapeId="0" xr:uid="{9CB614DB-2476-46F3-A919-1E9B6F0F25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ALLOWANCE FOR BAD DEBTS - CURRENT 10303060C
</t>
      </text>
    </comment>
    <comment ref="E349" authorId="11" shapeId="0" xr:uid="{2D385DC7-1AE4-43F1-AE75-02D2715175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ALLOWANCE FOR BAD DEBTS 10303060C - P2,313,030.59
</t>
      </text>
    </comment>
    <comment ref="E360" authorId="12" shapeId="0" xr:uid="{94D79A64-A322-47BD-8032-654DB96528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ALLOWANCE FOR BAD DEBTS -10303060C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DENISE</author>
  </authors>
  <commentList>
    <comment ref="F13" authorId="0" shapeId="0" xr:uid="{5234A877-1107-43D8-A8AA-0E50157AA685}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estimated increased of 5billion</t>
        </r>
      </text>
    </comment>
    <comment ref="G13" authorId="0" shapeId="0" xr:uid="{15AB99B8-660E-4ABA-A51E-8AFC2F84EC86}">
      <text>
        <r>
          <rPr>
            <b/>
            <sz val="9"/>
            <color indexed="81"/>
            <rFont val="Tahoma"/>
            <family val="2"/>
          </rPr>
          <t>DENISE:</t>
        </r>
        <r>
          <rPr>
            <sz val="9"/>
            <color indexed="81"/>
            <rFont val="Tahoma"/>
            <family val="2"/>
          </rPr>
          <t xml:space="preserve">
estimated increased of 5billion</t>
        </r>
      </text>
    </comment>
  </commentList>
</comments>
</file>

<file path=xl/sharedStrings.xml><?xml version="1.0" encoding="utf-8"?>
<sst xmlns="http://schemas.openxmlformats.org/spreadsheetml/2006/main" count="9563" uniqueCount="2807">
  <si>
    <t>Current Assets</t>
  </si>
  <si>
    <t>Non-Current Assets</t>
  </si>
  <si>
    <t>Current Liabilities</t>
  </si>
  <si>
    <t>Non-Current Liabilities</t>
  </si>
  <si>
    <t xml:space="preserve"> </t>
  </si>
  <si>
    <t>Difference</t>
  </si>
  <si>
    <t>ASSETS</t>
  </si>
  <si>
    <t xml:space="preserve">Cash and cash equivalents </t>
  </si>
  <si>
    <t>Other current assets</t>
  </si>
  <si>
    <t>LIABILITIES AND EQUITY</t>
  </si>
  <si>
    <t>Equity</t>
  </si>
  <si>
    <t>TOTAL LIABILITIES AND EQUITY</t>
  </si>
  <si>
    <t>(With Comparative Figures for May 31, 2010 and December 31, 2010)</t>
  </si>
  <si>
    <t>INCOME TAX EXPENSE</t>
  </si>
  <si>
    <t>CASH FLOWS FROM OPERATING ACTIVITIES</t>
  </si>
  <si>
    <t xml:space="preserve">Collection of receivables </t>
  </si>
  <si>
    <t xml:space="preserve">Dividends received </t>
  </si>
  <si>
    <t>CASH FLOWS FROM INVESTING ACTIVITIES</t>
  </si>
  <si>
    <t>CASH FLOWS FROM FINANCING ACTIVITIES</t>
  </si>
  <si>
    <t>NET INCREASE IN CASH AND CASH EQUIVALENTS</t>
  </si>
  <si>
    <t>CASH AND CASH EQUIVALENTS AT BEGINNING OF YEAR</t>
  </si>
  <si>
    <t>CASH AND CASH EQUIVALENTS AT END OF YEAR</t>
  </si>
  <si>
    <t>NATIONAL DEVELOPMENT COMPANY</t>
  </si>
  <si>
    <t>TOTAL ASSETS</t>
  </si>
  <si>
    <t xml:space="preserve">    </t>
  </si>
  <si>
    <t>Dividends</t>
  </si>
  <si>
    <t>Collection of rentals</t>
  </si>
  <si>
    <t>Miscellaneous collections</t>
  </si>
  <si>
    <t>Payment of salaries and benefits to officers and employees</t>
  </si>
  <si>
    <t>Payment of taxes and licenses</t>
  </si>
  <si>
    <t>Payment to suppliers and service providers</t>
  </si>
  <si>
    <t>Proceeds from disposal of assets</t>
  </si>
  <si>
    <t>Payment of dividends</t>
  </si>
  <si>
    <t>Receivables, net</t>
  </si>
  <si>
    <t xml:space="preserve">Share in Revaluation Increments of Associates </t>
  </si>
  <si>
    <t>Total</t>
  </si>
  <si>
    <t>Collection of loans</t>
  </si>
  <si>
    <t>Collection of interest</t>
  </si>
  <si>
    <t>STATEMENTS OF CASH FLOWS</t>
  </si>
  <si>
    <t>Property and equipment, net</t>
  </si>
  <si>
    <t>Net cash used in financing activities</t>
  </si>
  <si>
    <t xml:space="preserve">       CASH EQUIVALENTS</t>
  </si>
  <si>
    <t>EFFECT OF EXCHANGE RATE CHANGES ON CASH AND</t>
  </si>
  <si>
    <t>Deferred tax liability</t>
  </si>
  <si>
    <t>Inter-agency payables</t>
  </si>
  <si>
    <t>Trust liabilities</t>
  </si>
  <si>
    <t>Deferred credits/unearned income</t>
  </si>
  <si>
    <t>Provisions</t>
  </si>
  <si>
    <t>Current tax</t>
  </si>
  <si>
    <t>Correction of prior years' errors</t>
  </si>
  <si>
    <t>INVESTMENT IN SUBSIDIARIES</t>
  </si>
  <si>
    <t>OTHER INVESTMENT</t>
  </si>
  <si>
    <t>Payment of loans</t>
  </si>
  <si>
    <t>ACCOUNT TITLE</t>
  </si>
  <si>
    <t>ACCOUNT CODE</t>
  </si>
  <si>
    <t>DEBIT</t>
  </si>
  <si>
    <t>CREDIT</t>
  </si>
  <si>
    <t>CASH IN BANK - LBP SAVINGS</t>
  </si>
  <si>
    <t>1-11-2020</t>
  </si>
  <si>
    <t>CASH IN BANK- LOCAL CURRENCY, CURRENT ACCOUNT</t>
  </si>
  <si>
    <t>CASH IN BANK - LBP COMBO</t>
  </si>
  <si>
    <t>1-11-2030</t>
  </si>
  <si>
    <t>CASH IN BANK-FOREIGN CURRENCY ,SAVINGS ACCOUNT</t>
  </si>
  <si>
    <t>TIME DEPOSITS- LOCAL CURRENCY</t>
  </si>
  <si>
    <t>1-010-2020</t>
  </si>
  <si>
    <t>CASH ON BANK - DBP COMBO</t>
  </si>
  <si>
    <t>1-11-4030</t>
  </si>
  <si>
    <t>TIME DEPOSITS- FOREIGN CURRENCY</t>
  </si>
  <si>
    <t>1-010-1010</t>
  </si>
  <si>
    <t>CASH-COLLECTING OFFICERS</t>
  </si>
  <si>
    <t>1-010-1020</t>
  </si>
  <si>
    <t>PETTY CASH</t>
  </si>
  <si>
    <t>cash and cash equivalents</t>
  </si>
  <si>
    <t>1-030-1070A</t>
  </si>
  <si>
    <t>LOANS RECEIVABLE- OTHER GOVERNMENT CORPORATIONS - CURRENT</t>
  </si>
  <si>
    <t>1-030-1071A</t>
  </si>
  <si>
    <t>ALLOWANCE IMPAIRMENT- LOANS RECEIVABLE- OTHER GOVERNMENT CORPORATIONS - CURRENT</t>
  </si>
  <si>
    <t>1-030-1990A</t>
  </si>
  <si>
    <t>other current assets</t>
  </si>
  <si>
    <t>1-030-1011D</t>
  </si>
  <si>
    <t>ALLOWANCE FOR IMPAIRMENT- RENTAL RECEIVABLE</t>
  </si>
  <si>
    <t>LOANS RECEIVABLE W/ BACK-TO-BACK AGREEMENT-LT</t>
  </si>
  <si>
    <t>1-22-1610</t>
  </si>
  <si>
    <t>1-030-1070B</t>
  </si>
  <si>
    <t>LOANS RECEIVABLE- OTHER GOVERNMENT CORPORATIONS - LONG TERM</t>
  </si>
  <si>
    <t>1-030-1071B</t>
  </si>
  <si>
    <t>ACCRUED INTEREST - MONEY MARKET PLACEMENTS</t>
  </si>
  <si>
    <t>1-23-1010</t>
  </si>
  <si>
    <t>1-030-1050A</t>
  </si>
  <si>
    <t>ACCRUED INTEREST-MONEY MARKET PLACEMENTS</t>
  </si>
  <si>
    <t>receivables-LT</t>
  </si>
  <si>
    <t>1-030-1050B</t>
  </si>
  <si>
    <t>ACCRUED INTEREST-LOANS/NOTES RECEIVABLE</t>
  </si>
  <si>
    <t>1-030-1051</t>
  </si>
  <si>
    <t>ALLOWANCE FOR IMPAIRMENT- INTERESTS RECEIVABLE</t>
  </si>
  <si>
    <t>investment property</t>
  </si>
  <si>
    <t>RENTAL RECEIVABLE</t>
  </si>
  <si>
    <t>1-23-2010</t>
  </si>
  <si>
    <t>1-030-1010B</t>
  </si>
  <si>
    <t>MANAGEMENT FEES</t>
  </si>
  <si>
    <t>1-23-2020</t>
  </si>
  <si>
    <t>1-030-1010C</t>
  </si>
  <si>
    <t>MANAGEMENT FEE RECEIVABLE</t>
  </si>
  <si>
    <t>OTHER INCOME RECEIVABLE</t>
  </si>
  <si>
    <t>1-23-2060</t>
  </si>
  <si>
    <t>1-030-1010D</t>
  </si>
  <si>
    <t>OTHER NON-INCOME RECEIVABLE - CURRENT</t>
  </si>
  <si>
    <t>1-23-2070</t>
  </si>
  <si>
    <t>1-030-1010E</t>
  </si>
  <si>
    <t>OTHER NON-INCOME REC.-CURRENT</t>
  </si>
  <si>
    <t>other non current</t>
  </si>
  <si>
    <t>ALLOWANCE FOR DOUBTFUL ACCOUNTS- OTHER NON-INCOME</t>
  </si>
  <si>
    <t>1-23-2079</t>
  </si>
  <si>
    <t>1-030-1011A</t>
  </si>
  <si>
    <t>ALLOWANCE FOR DOUBTFUL ACCOUNTS - OTHER NON-INCOME</t>
  </si>
  <si>
    <t>ALLOWANCE FOR DOUBTFUL ACCOUNTS</t>
  </si>
  <si>
    <t>HOUSING LOAN- CURRENT</t>
  </si>
  <si>
    <t>1-23-3010</t>
  </si>
  <si>
    <t>1-030-1990C</t>
  </si>
  <si>
    <t>HOUSING LOANS RECEIVABLE - CURRENT</t>
  </si>
  <si>
    <t>EMPLOYEE CAR LOAN - CURRENT</t>
  </si>
  <si>
    <t>1-23-3030</t>
  </si>
  <si>
    <t>1-030-1990B</t>
  </si>
  <si>
    <t>CAR LOANS RECEIVABLE - CURRENT</t>
  </si>
  <si>
    <t>1-99-01040A</t>
  </si>
  <si>
    <t>CASH ADVANCE RECEIVABLES - EMPLOYEES AND OFFICERS</t>
  </si>
  <si>
    <t>HOUSING LOAN - LONG TERM</t>
  </si>
  <si>
    <t>1-23-3610</t>
  </si>
  <si>
    <t>1-030-1990E</t>
  </si>
  <si>
    <t>HOUSING LOAN RECEIVABLE - LONG TERM</t>
  </si>
  <si>
    <t>EMPLOYEE CAR LOAN - LONG-TERM</t>
  </si>
  <si>
    <t>1-23-3630</t>
  </si>
  <si>
    <t>1-030-1990F</t>
  </si>
  <si>
    <t>CAR LOANS RECEIVABLE - LONG TERM</t>
  </si>
  <si>
    <t>OTHER EMPLOYEE RECEIVABLES - LONG-TERM</t>
  </si>
  <si>
    <t>1-23-3650</t>
  </si>
  <si>
    <t>1-030-1990D</t>
  </si>
  <si>
    <t>LOANS RECEIVABLE- OTHERS - LONG TERM</t>
  </si>
  <si>
    <t>ADVANCES TO SUBSIDIARIES/AFFILIATES - CURRENT</t>
  </si>
  <si>
    <t>1-23-4000</t>
  </si>
  <si>
    <t>1-030-3060A</t>
  </si>
  <si>
    <t>DUE FROM SUBSIDIARIES/ JOINT VENTURES/ ASSOCIATES/ AFFILIATES - CURRENT</t>
  </si>
  <si>
    <t>ALLOWANCE FOR DOUBTFUL ADVANCES</t>
  </si>
  <si>
    <t>1-23-4099</t>
  </si>
  <si>
    <t>ADVANCES TO SUBSIDIARIES/AFFILIATES - NON-CURRENT</t>
  </si>
  <si>
    <t>1-23-4600</t>
  </si>
  <si>
    <t>1-030-3060B</t>
  </si>
  <si>
    <t>DUE FROM SUBSIDIARIES/ JOINT VENTURES/ ASSOCIATES/ AFFILIATES - LONG TERM</t>
  </si>
  <si>
    <t>1-23-4699</t>
  </si>
  <si>
    <t xml:space="preserve">DUE FROM OFFICERS AND EMPLOYEES </t>
  </si>
  <si>
    <t>DUE FROM NATIONAL GOVERNMENT AGENCIES</t>
  </si>
  <si>
    <t>1-030-1011B</t>
  </si>
  <si>
    <t>ALLOWANCE FOR DOUBTFUL LONG TERM RECEIVABLES</t>
  </si>
  <si>
    <t>INVENTORY-SUPPLIES AND MATERIALS</t>
  </si>
  <si>
    <t>1-24-1000</t>
  </si>
  <si>
    <t>1-040-4010</t>
  </si>
  <si>
    <t xml:space="preserve">OFFICE SUPPLIES INVENTORY </t>
  </si>
  <si>
    <t>CONTROLLED PRIVATE - COST</t>
  </si>
  <si>
    <t>1-31-1010</t>
  </si>
  <si>
    <t>GOV'T OWNED/CONTROLLED CORPORATION - COST</t>
  </si>
  <si>
    <t>CONTROLLED PRIVATE - EQUITY INC/DEC</t>
  </si>
  <si>
    <t>1-31-5011</t>
  </si>
  <si>
    <t>1-021-0010</t>
  </si>
  <si>
    <t>INVESTMENTS IN SUBSIDIARIES</t>
  </si>
  <si>
    <t>1-31-5030</t>
  </si>
  <si>
    <t>1-020-6010C</t>
  </si>
  <si>
    <t>GOVERNMENT OWNED/CONTROLLED CORPORATION - COST</t>
  </si>
  <si>
    <t>INVESTMENT COST</t>
  </si>
  <si>
    <t>1-34-2010</t>
  </si>
  <si>
    <t>1-029-9990A</t>
  </si>
  <si>
    <t>1-029-9991</t>
  </si>
  <si>
    <t>ALLOWANCE FOR IMPAIRMENT- OTHER INVESTMENTS</t>
  </si>
  <si>
    <t>INDUSTRIAL COMPLEX - LEYTE</t>
  </si>
  <si>
    <t>1-51-0000</t>
  </si>
  <si>
    <t>1-050-1020</t>
  </si>
  <si>
    <t>INVESTMENT PROPERTY,BUILDINGS</t>
  </si>
  <si>
    <t>ACCUMULATED DEPRECIATION</t>
  </si>
  <si>
    <t>1-51-1088</t>
  </si>
  <si>
    <t>1-060-4011</t>
  </si>
  <si>
    <t>ACCUMULATED DEPRECIATION- BUILDINGS</t>
  </si>
  <si>
    <t>LAND</t>
  </si>
  <si>
    <t>1-050-1010</t>
  </si>
  <si>
    <t xml:space="preserve">INVESTMENT PROPERTY, LAND </t>
  </si>
  <si>
    <t>LAND IMPROVEMENTS</t>
  </si>
  <si>
    <t>1-52-1400</t>
  </si>
  <si>
    <t>1-060-2990</t>
  </si>
  <si>
    <t>OTHER LAND IMPROVEMENTS</t>
  </si>
  <si>
    <t>ACCUMULATED DEPRECIATION - LAND IMPROVEMENTS</t>
  </si>
  <si>
    <t>1-52-1488</t>
  </si>
  <si>
    <t>1-060-2991</t>
  </si>
  <si>
    <t>ACCUMULATED DEPRECIATION- OTHER LAND IMPROVEMENTS</t>
  </si>
  <si>
    <t>OFFICE BUILDING STRUCTURES FORECLOSED</t>
  </si>
  <si>
    <t>1-54-1000</t>
  </si>
  <si>
    <t>1-999-9020</t>
  </si>
  <si>
    <t>FORECLOSED PROPERTY/ASSETS</t>
  </si>
  <si>
    <t>ACCUMULATED DEPRECIATION - BUILDINGS FORECLOSED</t>
  </si>
  <si>
    <t>1-54-1088</t>
  </si>
  <si>
    <t>1-999-9021</t>
  </si>
  <si>
    <t>ACCUMULATED IMPAIRMENT LOSSES- FORECLOSED PROPERTY/ASSETS</t>
  </si>
  <si>
    <t>OFFICE BUILDING</t>
  </si>
  <si>
    <t>1-54-1100</t>
  </si>
  <si>
    <t>INFORMATION AND COMMUNICATION TECHNOLOGY EQUIPMENT</t>
  </si>
  <si>
    <t>ACCUMULATED DEPRECIATION - BUILDINGS</t>
  </si>
  <si>
    <t>1-54-1188</t>
  </si>
  <si>
    <t>WAREHOUSE</t>
  </si>
  <si>
    <t>1-54-1200</t>
  </si>
  <si>
    <t>1-060-4990</t>
  </si>
  <si>
    <t>OTHER STRUCTURES</t>
  </si>
  <si>
    <t>1-060-4991</t>
  </si>
  <si>
    <t>ACCUMULATED DEPRECIATION- OTHER STRUCTURES</t>
  </si>
  <si>
    <t>1-060-9021</t>
  </si>
  <si>
    <t>ACCUMULATED DEPRECIATION- LEASED ASSETS IMPROVEMENTS, BUILDINGS</t>
  </si>
  <si>
    <t>ACCUMULATED DEPRECIATION - ON APPRECIATION</t>
  </si>
  <si>
    <t>1-54-1588</t>
  </si>
  <si>
    <t>CONSTRUCTION IN PROGRESS INVESTMENT PROPERTY BUILDINGS</t>
  </si>
  <si>
    <t>1-060-4010</t>
  </si>
  <si>
    <t xml:space="preserve">BUILDINGS </t>
  </si>
  <si>
    <t>OTHER LEASED ASSETS IMPROVEMENTS</t>
  </si>
  <si>
    <t>ACCUMULATED DEPRECIATION - ON BLDG IMPROVEMENTS</t>
  </si>
  <si>
    <t>1-54-1688</t>
  </si>
  <si>
    <t>ACCUMULATED DEPRECIATION- OTHER LEASED ASSETS IMPROVEMENTS</t>
  </si>
  <si>
    <t>1-060-9020</t>
  </si>
  <si>
    <t>LEASED ASSETS IMPROVEMENTS, BUILDINGS</t>
  </si>
  <si>
    <t>OFFICE FURNITURE AND FIXTURES</t>
  </si>
  <si>
    <t>1-55-1000</t>
  </si>
  <si>
    <t>1-060-7010</t>
  </si>
  <si>
    <t>FURNITURE AND FIXTURES</t>
  </si>
  <si>
    <t>ACCUMULATED DEPRECIATION - FURNITURE &amp; FIXTURES</t>
  </si>
  <si>
    <t>1-55-1088</t>
  </si>
  <si>
    <t>1-060-7011</t>
  </si>
  <si>
    <t>ACCUMULATED DPRECIATION- FURNITURE AND FIXTURES</t>
  </si>
  <si>
    <t>OFFICE EQUIPMENT</t>
  </si>
  <si>
    <t>1-060-5020</t>
  </si>
  <si>
    <t>1-060-5021</t>
  </si>
  <si>
    <t>ACCUMULATED DEPRECIATION- OFFICE EQUIPMENT</t>
  </si>
  <si>
    <t>TRANSPORTATION EQUIPMENT</t>
  </si>
  <si>
    <t>1-060-6010</t>
  </si>
  <si>
    <t>MOTOR VEHICLES</t>
  </si>
  <si>
    <t>1-060-6011</t>
  </si>
  <si>
    <t>ACCUMULATED DEPRECIATION-MOTOR VEHICLES</t>
  </si>
  <si>
    <t>1-069-8990</t>
  </si>
  <si>
    <t>OTHER PROPERTY, PLANT AND EQUIPMENT</t>
  </si>
  <si>
    <t>1-069-8991</t>
  </si>
  <si>
    <t>ACCUMULATED DEPRECIATION- OTHER PROPERTY, PLANT AND EQUIPMENT</t>
  </si>
  <si>
    <t>COMPUTER SOFTWARE</t>
  </si>
  <si>
    <t>PREPAID INSURANCE</t>
  </si>
  <si>
    <t>1-71-0500</t>
  </si>
  <si>
    <t>1-990-2050</t>
  </si>
  <si>
    <t>INPUT TAX</t>
  </si>
  <si>
    <t>CREDITABLE INPUT TAX</t>
  </si>
  <si>
    <t>WITHOLDING TAX AT SOURCE</t>
  </si>
  <si>
    <t>OTHER PREPAYMENTS</t>
  </si>
  <si>
    <t>DEPOSITS TO CONTRACTORS, LESSORS, ETC.</t>
  </si>
  <si>
    <t>1-72-0000</t>
  </si>
  <si>
    <t>1-990-2010</t>
  </si>
  <si>
    <t>ADVANCES TO CONTRACTORS</t>
  </si>
  <si>
    <t>SHORT TERM INVESTMENTS HELD IN TRUST</t>
  </si>
  <si>
    <t>1-999-9990A</t>
  </si>
  <si>
    <t>1-999-9990B</t>
  </si>
  <si>
    <t>ACCRUED INTEREST - SHORT TERM INVESTMENTS HELD IN TRUST</t>
  </si>
  <si>
    <t>DEFERRED CHARGES</t>
  </si>
  <si>
    <t>1-999-9990C</t>
  </si>
  <si>
    <t>OTHER INVESTMENTS</t>
  </si>
  <si>
    <t>OTHER ASSETS</t>
  </si>
  <si>
    <t>1-74-1900</t>
  </si>
  <si>
    <t>1-999-9990D</t>
  </si>
  <si>
    <t>ACCUMULATED DEPRECIATION-OTHER ASSETS</t>
  </si>
  <si>
    <t>1-74-1988</t>
  </si>
  <si>
    <t>1-999-9991</t>
  </si>
  <si>
    <t>ACCUMULATED IMPAIRMENT LOSSES- OTHER ASSETS</t>
  </si>
  <si>
    <t>2-010-1050</t>
  </si>
  <si>
    <t>INTEREST PAYABLE</t>
  </si>
  <si>
    <t>MISCELLANEOUS PAYABLE - DEDUCTIBLE</t>
  </si>
  <si>
    <t>2-15-0000</t>
  </si>
  <si>
    <t>2-999-9990A</t>
  </si>
  <si>
    <t>MISCELLANEOUS PAYABLE - NON-DEDUCTIBLE</t>
  </si>
  <si>
    <t>2-999-9990B</t>
  </si>
  <si>
    <t>2-010-2040</t>
  </si>
  <si>
    <t>DEFERRED INCOME TAX</t>
  </si>
  <si>
    <t>2-40-1000</t>
  </si>
  <si>
    <t>DEFERREF INCOME TAX-CURRENT</t>
  </si>
  <si>
    <t>2-090-1010A</t>
  </si>
  <si>
    <t>DEFERRED TAX LIABILITIES - CURRENT</t>
  </si>
  <si>
    <t>interagency payables</t>
  </si>
  <si>
    <t>DEPOSITS FROM SUPPLIERS, BIDDERS, ETC.</t>
  </si>
  <si>
    <t>2-41-0000</t>
  </si>
  <si>
    <t>2-040-1040A</t>
  </si>
  <si>
    <t>trust liabilities</t>
  </si>
  <si>
    <t>UNEARNED RENT INCOME</t>
  </si>
  <si>
    <t>2-42-1000</t>
  </si>
  <si>
    <t>2-050-2010</t>
  </si>
  <si>
    <t>UNEARNED REVENUE/INCOME- INVESTMENT PROPERTY</t>
  </si>
  <si>
    <t>deferred credits/unearned income</t>
  </si>
  <si>
    <t>INCOME TAX WITHHELD FROM EMPLOYEES</t>
  </si>
  <si>
    <t>2-43-1010</t>
  </si>
  <si>
    <t>2-020-10101</t>
  </si>
  <si>
    <t>Withholding Tax on Compensation</t>
  </si>
  <si>
    <t>provisions</t>
  </si>
  <si>
    <t>VALUE ADDED TAX PAYABLE</t>
  </si>
  <si>
    <t>2-43-1020</t>
  </si>
  <si>
    <t>2-020-10104</t>
  </si>
  <si>
    <t>WITHHOLDING TAX ON GMP - VALUE ADDED TAXES (GVAT)</t>
  </si>
  <si>
    <t>EXPANDED WITHHOLDING TAX</t>
  </si>
  <si>
    <t>2-43-1030</t>
  </si>
  <si>
    <t>2-020-10102</t>
  </si>
  <si>
    <t>TAXES WITHHELD ON GOVT MONEY PAYMENT</t>
  </si>
  <si>
    <t>2-43-1040</t>
  </si>
  <si>
    <t>2-020-10103</t>
  </si>
  <si>
    <t>WITHHOLDING TAX ON GOVERNMENT MONEY PAYMENTS (GMP) - PERCENTAGE TAXES</t>
  </si>
  <si>
    <t>OUTPUT TAX</t>
  </si>
  <si>
    <t>GSIS - LIFE AND RETIREMENT PREMIUM</t>
  </si>
  <si>
    <t>2-43-2101</t>
  </si>
  <si>
    <t>2-020-1020</t>
  </si>
  <si>
    <t>DUE TO GSIS</t>
  </si>
  <si>
    <t>PHIC-MEDICAL CARE PREMIUM</t>
  </si>
  <si>
    <t>2-43-2106</t>
  </si>
  <si>
    <t>2-020-1040</t>
  </si>
  <si>
    <t>DUE TO PHILHEALTH</t>
  </si>
  <si>
    <t>GSIS - OTHERS</t>
  </si>
  <si>
    <t>2-43-2107</t>
  </si>
  <si>
    <t>GSIS - GENESIS PLANS</t>
  </si>
  <si>
    <t>2-43-2109</t>
  </si>
  <si>
    <t>2-020-1030</t>
  </si>
  <si>
    <t>DUE TO PAG-IBIG</t>
  </si>
  <si>
    <t>MISCELLANEOUS TRUST LIABILITIES-CURRENT</t>
  </si>
  <si>
    <t>2-44-0000</t>
  </si>
  <si>
    <t>2-040-1010A</t>
  </si>
  <si>
    <t>TRUST LIABILITIES - CURRENT</t>
  </si>
  <si>
    <t>MISCELLANEOUS LONG-TERM LIABILITIES</t>
  </si>
  <si>
    <t>2-45-0600</t>
  </si>
  <si>
    <t>2-040-1040B</t>
  </si>
  <si>
    <t>MISCELLANEOUS LONG TERM LIABILITIES</t>
  </si>
  <si>
    <t>deferred tax liability</t>
  </si>
  <si>
    <t>MISCELLANEOUS TRUST LIABILITIES-LONG-TERM</t>
  </si>
  <si>
    <t>2-46-0600</t>
  </si>
  <si>
    <t>2-46-1000</t>
  </si>
  <si>
    <t>2-040-1010B</t>
  </si>
  <si>
    <t>TRUST LIABILITIES - LONG TERM</t>
  </si>
  <si>
    <t>trust liabilities - non current</t>
  </si>
  <si>
    <t>INCOME TAX PAYABLE</t>
  </si>
  <si>
    <t>2-49-0000</t>
  </si>
  <si>
    <t>INCOME TAX PAYABLES</t>
  </si>
  <si>
    <t>DEFERRED INCOME TAX-LONG TERM</t>
  </si>
  <si>
    <t>2-090-1010B</t>
  </si>
  <si>
    <t>DEFERRED TAX LIABILITIES - LONG TERM</t>
  </si>
  <si>
    <t>PAID IN CAPITAL - COMMON STOCKS</t>
  </si>
  <si>
    <t>3-10-0000</t>
  </si>
  <si>
    <t>3-010-1020</t>
  </si>
  <si>
    <t>GOVERNMENT EQUITY</t>
  </si>
  <si>
    <t>TRUST FUND</t>
  </si>
  <si>
    <t>3-40-0000</t>
  </si>
  <si>
    <t>3-070-1010</t>
  </si>
  <si>
    <t>RETAINED EARNINGS/(DEFICIT)</t>
  </si>
  <si>
    <t>3-100-1010</t>
  </si>
  <si>
    <t>CUMULATIVE CHANGES IN FAIR VALUE OF INVESTMENTS</t>
  </si>
  <si>
    <t>INTEREST INCOME FROM SAVINGS ACCOUNT</t>
  </si>
  <si>
    <t>4-020-2210A</t>
  </si>
  <si>
    <t>4-020-2210B</t>
  </si>
  <si>
    <t>INTEREST INCOME ON LOANS (TAXABLE)</t>
  </si>
  <si>
    <t>INTEREST INCOME ON MONEY MARKET PLACEMENTS (STFT)</t>
  </si>
  <si>
    <t>4-020-2210C</t>
  </si>
  <si>
    <t>4-020-2210D</t>
  </si>
  <si>
    <t>INTEREST INCOME ON RECEIVABLES</t>
  </si>
  <si>
    <t>DIVIDEND INCOME SUBJECT TO CORPORATE TAX</t>
  </si>
  <si>
    <t>DIVIDEND INCOME NOT SUBJECT TO TAX</t>
  </si>
  <si>
    <t>4-34-0000</t>
  </si>
  <si>
    <t>4-020-2200A</t>
  </si>
  <si>
    <t>4-020-2200B</t>
  </si>
  <si>
    <t>GAIN ON SALE OF STOCKS/DISCONTINUED OPERATION</t>
  </si>
  <si>
    <t>GAIN ON SALE/REDEMPTION/TRANSFER OF INVESTMENTS</t>
  </si>
  <si>
    <t>RENTAL INCOME - REAL PROPERTIES</t>
  </si>
  <si>
    <t>4-51-1000</t>
  </si>
  <si>
    <t>4-020-2050</t>
  </si>
  <si>
    <t>RENT/LEASE INCOME</t>
  </si>
  <si>
    <t>rental</t>
  </si>
  <si>
    <t>4-52-0000</t>
  </si>
  <si>
    <t>4-020-2340</t>
  </si>
  <si>
    <t>4-050-1010</t>
  </si>
  <si>
    <t>GAIN ON FOREIGN EXCHANGE (FOREX)</t>
  </si>
  <si>
    <t>4-050-1040</t>
  </si>
  <si>
    <t>GAIN ON SALE OF PROPERTY, PLANT AND EQUIPMENT</t>
  </si>
  <si>
    <t>MISCELLANEOUS INCOME</t>
  </si>
  <si>
    <t>4-53-3000</t>
  </si>
  <si>
    <t>4-060-3990</t>
  </si>
  <si>
    <t>MICELLANEOUS INCOME</t>
  </si>
  <si>
    <t>4-53-5000</t>
  </si>
  <si>
    <t>SHARE IN NET EARNINGS(LOSSES) OF ASSOCIATES</t>
  </si>
  <si>
    <t>4-53-6000</t>
  </si>
  <si>
    <t>REVALUATION SURPLUS</t>
  </si>
  <si>
    <t>4-020-2280</t>
  </si>
  <si>
    <t>SHARE IN THE PROFIT/REVENUE OF ASSOCIATES/AFFILIATES</t>
  </si>
  <si>
    <t xml:space="preserve">SHARE IN PROFIT /REVENUE OF JOINT VENTURE </t>
  </si>
  <si>
    <t>5-030-1020</t>
  </si>
  <si>
    <t>INTEREST EXPENSES</t>
  </si>
  <si>
    <t>BANK CHARGES</t>
  </si>
  <si>
    <t>5-030-1040</t>
  </si>
  <si>
    <t>SALARIES AND WAGES - REGULAR PLANTILLA</t>
  </si>
  <si>
    <t>5-21-1010</t>
  </si>
  <si>
    <t>5-010-1010</t>
  </si>
  <si>
    <t>SALARIES AND WAGES-REGULAR</t>
  </si>
  <si>
    <t>TRANSPORTATION ALLOWANCE</t>
  </si>
  <si>
    <t>REPRESENTATION ALLOWANCE</t>
  </si>
  <si>
    <t>LIFE AND RETIREMENT INSURANCE PREMIUM</t>
  </si>
  <si>
    <t>5-24-1000</t>
  </si>
  <si>
    <t>5-010-3010</t>
  </si>
  <si>
    <t>RETIREMENT AND LIFE INSURANCE PREMIUMS</t>
  </si>
  <si>
    <t>MEDICARE PREMIUM</t>
  </si>
  <si>
    <t>5-24-2000</t>
  </si>
  <si>
    <t>5-010-3030</t>
  </si>
  <si>
    <t>PHILHEALTH CONTRIBUTIONS</t>
  </si>
  <si>
    <t>STATE INSURANCE FUND</t>
  </si>
  <si>
    <t>5-24-3000</t>
  </si>
  <si>
    <t>5-010-3040</t>
  </si>
  <si>
    <t>EMPLOYEES COMPENSATION INSURANCE PREMIUMS</t>
  </si>
  <si>
    <t>PAG-IBIG PREMIUM</t>
  </si>
  <si>
    <t>5-24-4000</t>
  </si>
  <si>
    <t>5-010-3020</t>
  </si>
  <si>
    <t>PAG-IBIG CONTRIBUTIONS</t>
  </si>
  <si>
    <t>OVERTIME PAY - REGULAR PLANTILLA</t>
  </si>
  <si>
    <t>5-25-1010</t>
  </si>
  <si>
    <t>5-010-2130</t>
  </si>
  <si>
    <t>OVERTIME AND NIGHT PAY</t>
  </si>
  <si>
    <t>YEAR-END GRATUITY - REGULAR PLANTILLA</t>
  </si>
  <si>
    <t>5-26-1010</t>
  </si>
  <si>
    <t>5-010-2140</t>
  </si>
  <si>
    <t>YEAR END BONUS</t>
  </si>
  <si>
    <t>PERFORMANCE AWARD</t>
  </si>
  <si>
    <t>5-26-3000</t>
  </si>
  <si>
    <t>CASH GIFT</t>
  </si>
  <si>
    <t>5-010-2080</t>
  </si>
  <si>
    <t>PRODUCTIVITY INCENTIVE ALLOWANCE</t>
  </si>
  <si>
    <t>PERSONNEL ECONOMIC RELIEF ALLOWANCE - REGULAR</t>
  </si>
  <si>
    <t>5-28-0510</t>
  </si>
  <si>
    <t>5-010-2010</t>
  </si>
  <si>
    <t>PERSONNEL ECONOMIC RELIEF ALLOWANCE (PERA)</t>
  </si>
  <si>
    <t>REPRESENTATION ALLOWANCE (RA)</t>
  </si>
  <si>
    <t>LONGEVITY ALLOWANCE</t>
  </si>
  <si>
    <t>5-28-1100</t>
  </si>
  <si>
    <t>5-010-2120</t>
  </si>
  <si>
    <t>LONGEVITY PAY</t>
  </si>
  <si>
    <t>CHILDREN ALLOWANCE - REGULAR PLANTILLA</t>
  </si>
  <si>
    <t>5-28-1210</t>
  </si>
  <si>
    <t>UNIFORM ALLOWANCE</t>
  </si>
  <si>
    <t>5-28-1400</t>
  </si>
  <si>
    <t>5-010-2040</t>
  </si>
  <si>
    <t>CLOTHING/UNIFORM ALLOWANCE</t>
  </si>
  <si>
    <t>FOOD SUBSIDY - REGULAR PLANTILLA</t>
  </si>
  <si>
    <t>5-28-1510</t>
  </si>
  <si>
    <t>5-010-2990</t>
  </si>
  <si>
    <t>OTHER BONUSES AND ALLOWANCES</t>
  </si>
  <si>
    <t xml:space="preserve">TERMINAL LEAVE BENEFITS </t>
  </si>
  <si>
    <t>OTHER BENEFITS (FINANCIAL ASSISTANCE)</t>
  </si>
  <si>
    <t>5-28-2200</t>
  </si>
  <si>
    <t>5-010-4990</t>
  </si>
  <si>
    <t>OTHER PERSONNEL BENEFITS</t>
  </si>
  <si>
    <t>LEGAL FEES</t>
  </si>
  <si>
    <t>5-31-0000</t>
  </si>
  <si>
    <t>5-021-1010</t>
  </si>
  <si>
    <t>LEGAL SERVICES</t>
  </si>
  <si>
    <t>CONSULTANCY FEES AND ALLOWANCES</t>
  </si>
  <si>
    <t>5-32-0000</t>
  </si>
  <si>
    <t>5-021-1030</t>
  </si>
  <si>
    <t>CONSULTANCY SERVICES</t>
  </si>
  <si>
    <t>AUDIT FEES - BASIC SALARY</t>
  </si>
  <si>
    <t>5-33-0010</t>
  </si>
  <si>
    <t>5-021-1020</t>
  </si>
  <si>
    <t>AUDITING SERVICES</t>
  </si>
  <si>
    <t>AUDIT FEES - PERA &amp; ADD'L. COMPENSATION</t>
  </si>
  <si>
    <t>5-33-0030</t>
  </si>
  <si>
    <t>OTHER PROFESIONAL SERVICES</t>
  </si>
  <si>
    <t>AUDIT FEES - REP. &amp; TRANSPO. ALLOWANCE</t>
  </si>
  <si>
    <t>5-33-0060</t>
  </si>
  <si>
    <t>ENVIRONMENT/SANITARY SERVICES</t>
  </si>
  <si>
    <t>professional services</t>
  </si>
  <si>
    <t>DEP. - WAREHOUSE, STEEL TANKS AND OTHER STRUCTURES</t>
  </si>
  <si>
    <t>5-41-1300</t>
  </si>
  <si>
    <t>5-050-1990</t>
  </si>
  <si>
    <t>DEPRECIATION-OTHER PROPERTY, PLANT AND EQUIPMENT</t>
  </si>
  <si>
    <t>DEPRECIATION - OFFICE FURNITURE AND FIXTURES</t>
  </si>
  <si>
    <t>5-41-1400</t>
  </si>
  <si>
    <t>5-050-1070</t>
  </si>
  <si>
    <t>DEPRECIATION-FURNITURE,FIXTURES AND BOOKS</t>
  </si>
  <si>
    <t>DEPRECIATION - OFFICE EQUIPMENT</t>
  </si>
  <si>
    <t>5-41-1500</t>
  </si>
  <si>
    <t>5-050-1050</t>
  </si>
  <si>
    <t>DEPRECIATION-MACHINERY AND EQUIPMENT</t>
  </si>
  <si>
    <t>DEPRECIATION - TRANSPORTATION EQUIPMENT</t>
  </si>
  <si>
    <t>5-41-2100</t>
  </si>
  <si>
    <t>5-050-1060</t>
  </si>
  <si>
    <t>DEPRECIATION-TRANSPORTATION EQUIPMENT</t>
  </si>
  <si>
    <t>DEPRECIATION - LAND IMPROVEMENT</t>
  </si>
  <si>
    <t>5-41-2500</t>
  </si>
  <si>
    <t>5-050-1020</t>
  </si>
  <si>
    <t>DEPRECIATION-LAND IMPROVEMENTS</t>
  </si>
  <si>
    <t>DEPRECIATION - BUILDING IMPROVEMENTS</t>
  </si>
  <si>
    <t>5-41-2600</t>
  </si>
  <si>
    <t>5-050-1040</t>
  </si>
  <si>
    <t>DEPRECIATION-BUILDINGS AND OTHER STRUCTURES</t>
  </si>
  <si>
    <t>depreciation</t>
  </si>
  <si>
    <t>RENTALS - OFFICE BUILDING</t>
  </si>
  <si>
    <t>5-42-1000</t>
  </si>
  <si>
    <t>5-029-9050A</t>
  </si>
  <si>
    <t>RENTALS - OTHERS</t>
  </si>
  <si>
    <t>5-42-3000</t>
  </si>
  <si>
    <t>5-029-9050B</t>
  </si>
  <si>
    <t>WATER</t>
  </si>
  <si>
    <t>5-43-1000</t>
  </si>
  <si>
    <t>5-020-4010</t>
  </si>
  <si>
    <t>WATER EXPENSES</t>
  </si>
  <si>
    <t>ELECTRICITY</t>
  </si>
  <si>
    <t>5-43-2000</t>
  </si>
  <si>
    <t>ELECTRICITY EXPENSES</t>
  </si>
  <si>
    <t>utility expense</t>
  </si>
  <si>
    <t>R &amp; M - BUILDING AND STRUCTURE (PERFORMING)</t>
  </si>
  <si>
    <t>5-44-1010</t>
  </si>
  <si>
    <t>5-021-3040</t>
  </si>
  <si>
    <t>REPAIRS AND MAINTENANCE-BUILDINGS AND OTHER STRUCTURES</t>
  </si>
  <si>
    <t>R &amp; M - FURNITURE &amp; FIXTURE/OFFICE EQUIPMENT(PERF)</t>
  </si>
  <si>
    <t>5-44-2010</t>
  </si>
  <si>
    <t>5-021-3070</t>
  </si>
  <si>
    <t>REPAIRS AND MAINTENANCE-FURNITURE AND FIXTURES</t>
  </si>
  <si>
    <t>REPAIR AND MAINTENANCE - OTHERS - PERFORMING</t>
  </si>
  <si>
    <t>5-44-3010</t>
  </si>
  <si>
    <t>5-021-3990</t>
  </si>
  <si>
    <t>REPAIRS AND MAINTENANCE-OTHER PROPERTY, PLANT AND EQUIPMENT</t>
  </si>
  <si>
    <t>REPAIRS AND MAINTENANCE - INVESTMENT PROPERTY</t>
  </si>
  <si>
    <t>REPAIRS AND MAINTENANCE MACHINERY EQUIPMENT</t>
  </si>
  <si>
    <t>R &amp; M - MOTOR VEHICLES - REPAIR AND SERVICE</t>
  </si>
  <si>
    <t>5-45-1000</t>
  </si>
  <si>
    <t>5-021-3060A</t>
  </si>
  <si>
    <t>R &amp; M - MOTOR VEHICLES - SPARE PARTS</t>
  </si>
  <si>
    <t>5-45-2000</t>
  </si>
  <si>
    <t>5-021-3060B</t>
  </si>
  <si>
    <t>repairs and maintenance</t>
  </si>
  <si>
    <t>PROVISION FOR DECLINE IN VALUE OF INVESTMENTS</t>
  </si>
  <si>
    <t>5-51-0000</t>
  </si>
  <si>
    <t>PROVISION FOR DOUBTFUL ACCOUNTS</t>
  </si>
  <si>
    <t>5-52-0000</t>
  </si>
  <si>
    <t>FOREIGN EXCHANGE LOSS</t>
  </si>
  <si>
    <t>5-60-0000</t>
  </si>
  <si>
    <t>FUEL , OIL &amp; LUBRICANTS EXPENSES</t>
  </si>
  <si>
    <t>5-050-3020</t>
  </si>
  <si>
    <t>IMPAIRMENT LOSS-LOANS AND RECEIVABLES</t>
  </si>
  <si>
    <t>impairment loss</t>
  </si>
  <si>
    <t>5-050-4010</t>
  </si>
  <si>
    <t>LOSS ON FOREIGN EXCHANGE (FOREX)</t>
  </si>
  <si>
    <t>TRAINING AND PERSONNEL DEVELOPMENT</t>
  </si>
  <si>
    <t>5-71-0100</t>
  </si>
  <si>
    <t>5-020-2010</t>
  </si>
  <si>
    <t>TRAINING EXPENSES</t>
  </si>
  <si>
    <t>MEMBERSHIP IN PROFESSIONAL &amp; SOCIAL ORGANIZATIONS</t>
  </si>
  <si>
    <t>5-71-0500</t>
  </si>
  <si>
    <t>5-029-9060</t>
  </si>
  <si>
    <t>MEMBERSHIP DUES AND CONTRIBUTIONS TO ORGANIZATIONS</t>
  </si>
  <si>
    <t>Training  expense</t>
  </si>
  <si>
    <t>SECURITY SERVICES</t>
  </si>
  <si>
    <t>5-71-1000</t>
  </si>
  <si>
    <t>5-021-2030</t>
  </si>
  <si>
    <t>MESSENGERIAL SERVICES</t>
  </si>
  <si>
    <t>5-71-1100</t>
  </si>
  <si>
    <t>5-021-2990A</t>
  </si>
  <si>
    <t>JANITORIAL SERVICES</t>
  </si>
  <si>
    <t>5-71-1200</t>
  </si>
  <si>
    <t>5-021-2020</t>
  </si>
  <si>
    <t>INSURANCE OF PROPERTIES</t>
  </si>
  <si>
    <t>5-71-1300</t>
  </si>
  <si>
    <t>5-021-5030A</t>
  </si>
  <si>
    <t>INSURANCE OF EMPLOYEE BENEFITS</t>
  </si>
  <si>
    <t>5-71-1400</t>
  </si>
  <si>
    <t>5-021-5030B</t>
  </si>
  <si>
    <t>ADVERTISING</t>
  </si>
  <si>
    <t>5-71-2100</t>
  </si>
  <si>
    <t>ADVERTISING, PROMOTIONAL AND MARKETING EXPENSES</t>
  </si>
  <si>
    <t>PRINTING AND PUBLICATION EXPENSES</t>
  </si>
  <si>
    <t>SUBSCRIPTIONS</t>
  </si>
  <si>
    <t>5-71-2200</t>
  </si>
  <si>
    <t>5-029-9070</t>
  </si>
  <si>
    <t>SUBSCRIPTION EXPENSES</t>
  </si>
  <si>
    <t>FIDELITY BOND PREMIUM</t>
  </si>
  <si>
    <t>5-71-2300</t>
  </si>
  <si>
    <t>5-021-5020</t>
  </si>
  <si>
    <t>FIDELITY BOND PREMIUMS</t>
  </si>
  <si>
    <t>MISCELLANEOUS OTHER SERVICES</t>
  </si>
  <si>
    <t>5-71-2400</t>
  </si>
  <si>
    <t>5-021-2990B</t>
  </si>
  <si>
    <t>General services</t>
  </si>
  <si>
    <t>BOARD EXPENSES</t>
  </si>
  <si>
    <t>5-72-3000</t>
  </si>
  <si>
    <t>5-021-0030A</t>
  </si>
  <si>
    <t>BOARD MEETING EXPENSES</t>
  </si>
  <si>
    <t>MISCELLANEOUS &amp; OTHER EXPENSES</t>
  </si>
  <si>
    <t>5-72-5000</t>
  </si>
  <si>
    <t>5-021-0030C</t>
  </si>
  <si>
    <t>OTHER MISCELLANEOUS EXPENSES</t>
  </si>
  <si>
    <t>5-72-6000</t>
  </si>
  <si>
    <t>5-029-9040</t>
  </si>
  <si>
    <t>TRANSPORTATION AND DELIVERY EXPENSES</t>
  </si>
  <si>
    <t>5-72-7000</t>
  </si>
  <si>
    <t>5-029-9030</t>
  </si>
  <si>
    <t>REAL ESTATE TAX</t>
  </si>
  <si>
    <t>5-73-1000</t>
  </si>
  <si>
    <t>5-021-5010A</t>
  </si>
  <si>
    <t>MOTOR VEHICLE REGISTRATION</t>
  </si>
  <si>
    <t>5-73-3000</t>
  </si>
  <si>
    <t>5-021-5010B</t>
  </si>
  <si>
    <t>MISCELLANEOUS TAXES AND LICENCES</t>
  </si>
  <si>
    <t>5-73-5000</t>
  </si>
  <si>
    <t>5-021-5010C</t>
  </si>
  <si>
    <t>MISCELLANEOUS TAXES AND LICENSES</t>
  </si>
  <si>
    <t>DOCUMENTARY STAMPS EXPENSES</t>
  </si>
  <si>
    <t>FRINGE BENEFIT TAX</t>
  </si>
  <si>
    <t>5-73-6000</t>
  </si>
  <si>
    <t>5-021-5010D</t>
  </si>
  <si>
    <t>taxes, insurance premiums</t>
  </si>
  <si>
    <t>TELEPHONE</t>
  </si>
  <si>
    <t>5-74-1000</t>
  </si>
  <si>
    <t>5-020-5020</t>
  </si>
  <si>
    <t>TELEPHONE EXPENSES</t>
  </si>
  <si>
    <t>MAILING/POSTAGE</t>
  </si>
  <si>
    <t>5-74-3000</t>
  </si>
  <si>
    <t>5-020-5010</t>
  </si>
  <si>
    <t>POSTAGE AND COURIER SERVICES</t>
  </si>
  <si>
    <t>COMMUNICATION SERVICES - OTHERS</t>
  </si>
  <si>
    <t>5-74-4000</t>
  </si>
  <si>
    <t>5-020-5030</t>
  </si>
  <si>
    <t>INTERNET SUBSCRIPTION EXPENSES</t>
  </si>
  <si>
    <t>Communication expense</t>
  </si>
  <si>
    <t>OFFICE SUPPLIES AND MATERIALS</t>
  </si>
  <si>
    <t>5-75-1000</t>
  </si>
  <si>
    <t>5-020-3010</t>
  </si>
  <si>
    <t>OFFICE SUPPLIES EXPENSES</t>
  </si>
  <si>
    <t>OTHER SUPPLIES AND MATERIALS</t>
  </si>
  <si>
    <t>5-75-2000</t>
  </si>
  <si>
    <t>5-020-3990</t>
  </si>
  <si>
    <t>OTHER SUPPLIES AND MATERIALS EXPENSES</t>
  </si>
  <si>
    <t>supplies and materials</t>
  </si>
  <si>
    <t>TRAVELING EXPENSES</t>
  </si>
  <si>
    <t>5-76-0000</t>
  </si>
  <si>
    <t>5-020-1010</t>
  </si>
  <si>
    <t>TRAVELING EXPENSES-LOCAL</t>
  </si>
  <si>
    <t>5-020-1020</t>
  </si>
  <si>
    <t>TRAVELING EXPENSES-FOREIGN</t>
  </si>
  <si>
    <t>traveling expense</t>
  </si>
  <si>
    <t>MEETING/PLANNING AND CONFERENCE</t>
  </si>
  <si>
    <t>5-77-0000</t>
  </si>
  <si>
    <t>5-021-0030B</t>
  </si>
  <si>
    <t>MEETING/PLANNING &amp; CONFERENCE</t>
  </si>
  <si>
    <t>CHRISTMAS AND ANNIVERSARY EXPENSE</t>
  </si>
  <si>
    <t>5-79-2000</t>
  </si>
  <si>
    <t>5-029-9180</t>
  </si>
  <si>
    <t>MAJOR EVENTS AND CONVENTIONS EXPENSES</t>
  </si>
  <si>
    <t>other MOE</t>
  </si>
  <si>
    <t>5-79-5000</t>
  </si>
  <si>
    <t>LITIGATION/ACQUIRED ASSETS EXPENSES</t>
  </si>
  <si>
    <t>DISCRETIONARY EXPENSE</t>
  </si>
  <si>
    <t>5-79-7000</t>
  </si>
  <si>
    <t>5-021-0030D</t>
  </si>
  <si>
    <t>confidential, intelligence and extraodinary expenses</t>
  </si>
  <si>
    <t>LOSS ON SALE OF STOCKS</t>
  </si>
  <si>
    <t>5-80-0001</t>
  </si>
  <si>
    <t>PROVISION FOR CORPORATE INCOME TAX</t>
  </si>
  <si>
    <t>5-90-1000</t>
  </si>
  <si>
    <t>5-021-5040</t>
  </si>
  <si>
    <t>INCOME TAX EXPENSES</t>
  </si>
  <si>
    <t>TAX ON SAVINGS DEPOSITS</t>
  </si>
  <si>
    <t>5-90-4000</t>
  </si>
  <si>
    <t>5-0215-010E</t>
  </si>
  <si>
    <t>TAX ON MONEY MARKET PLACEMENTS</t>
  </si>
  <si>
    <t>5-90-6000</t>
  </si>
  <si>
    <t>5-021-5010F</t>
  </si>
  <si>
    <t>REPAIRS AND MAINTENANCE</t>
  </si>
  <si>
    <t>TOTAL</t>
  </si>
  <si>
    <t>total liabilities</t>
  </si>
  <si>
    <t>salaries</t>
  </si>
  <si>
    <t>other compensation</t>
  </si>
  <si>
    <t>other benefits</t>
  </si>
  <si>
    <t>FINANCIAL EXPENSES</t>
  </si>
  <si>
    <t>TOTAL EXPENSES</t>
  </si>
  <si>
    <t>NET INCOME</t>
  </si>
  <si>
    <t>5-010-2020</t>
  </si>
  <si>
    <t>5-010-2030</t>
  </si>
  <si>
    <t>5-010-4030</t>
  </si>
  <si>
    <t>5-021-1990</t>
  </si>
  <si>
    <t>5-021-2010</t>
  </si>
  <si>
    <t>5-021-3010</t>
  </si>
  <si>
    <t>5-021-3050</t>
  </si>
  <si>
    <t>5-020-3090</t>
  </si>
  <si>
    <t>5-029-9020</t>
  </si>
  <si>
    <t>5-029-9010</t>
  </si>
  <si>
    <t>1-010-3030</t>
  </si>
  <si>
    <t>1-010-5030</t>
  </si>
  <si>
    <t>1-010-5020</t>
  </si>
  <si>
    <t>1-030-5020</t>
  </si>
  <si>
    <t>1-060-5030</t>
  </si>
  <si>
    <t>1-060-5031</t>
  </si>
  <si>
    <t>1-059-9010</t>
  </si>
  <si>
    <t>1-060-9990</t>
  </si>
  <si>
    <t>1-060-9991</t>
  </si>
  <si>
    <t>1-080-1020</t>
  </si>
  <si>
    <t>1-990-2060</t>
  </si>
  <si>
    <t>1-990-2070</t>
  </si>
  <si>
    <t>1-990-2080</t>
  </si>
  <si>
    <t>1-990-2990</t>
  </si>
  <si>
    <t>2-050-1030</t>
  </si>
  <si>
    <t>2-020-1120</t>
  </si>
  <si>
    <t>4-020-2220</t>
  </si>
  <si>
    <t>5-029-9140</t>
  </si>
  <si>
    <t>5-029-9090</t>
  </si>
  <si>
    <t>5-010-2150</t>
  </si>
  <si>
    <t>4-050-1160</t>
  </si>
  <si>
    <t>GAIN FROM CHANGES IN FMV OF INVESTMENT PROPERTY</t>
  </si>
  <si>
    <t>INVESTMENT PROPERTY</t>
  </si>
  <si>
    <t>TCT No.</t>
  </si>
  <si>
    <t>Area (Sq. Meter)</t>
  </si>
  <si>
    <t>M Fortich/Libona, Bukidnon</t>
  </si>
  <si>
    <t>Various</t>
  </si>
  <si>
    <t>T-10480,10479</t>
  </si>
  <si>
    <t>T-491754</t>
  </si>
  <si>
    <t>T-96230 to 235</t>
  </si>
  <si>
    <t>T-96236, T-96237</t>
  </si>
  <si>
    <t>TP-10260</t>
  </si>
  <si>
    <t>Sta. Fe, Bantayan, Cebu</t>
  </si>
  <si>
    <t>Meycauyan, Bulacan</t>
  </si>
  <si>
    <t>T-79228 (M)</t>
  </si>
  <si>
    <t>T-130285</t>
  </si>
  <si>
    <t>T-19741</t>
  </si>
  <si>
    <t>T-227154 &amp; 155</t>
  </si>
  <si>
    <t>M-96150 to 153</t>
  </si>
  <si>
    <t>T-162112</t>
  </si>
  <si>
    <t>T-47779 to 782</t>
  </si>
  <si>
    <t>186774 to 75</t>
  </si>
  <si>
    <t>T-30239 to 40</t>
  </si>
  <si>
    <t>T-175052 &amp; 53</t>
  </si>
  <si>
    <t>T-19446</t>
  </si>
  <si>
    <t>T-16309 to 310</t>
  </si>
  <si>
    <t>T-196753 &amp; 754</t>
  </si>
  <si>
    <t>T-60896 &amp; 897</t>
  </si>
  <si>
    <t>121219 to 220</t>
  </si>
  <si>
    <t>Los Baños, Laguna</t>
  </si>
  <si>
    <t>R-48943</t>
  </si>
  <si>
    <t>Bo. San Juan &amp; Sto Nino Pampanga</t>
  </si>
  <si>
    <t>130664 to 666</t>
  </si>
  <si>
    <t>TDN GR-03-001-0022-R</t>
  </si>
  <si>
    <t>CCT-011-2013007049,20133007048</t>
  </si>
  <si>
    <t>4-050-1030</t>
  </si>
  <si>
    <t>Lacson &amp; Rizal Sts, Bacolod City Negros Occidental</t>
  </si>
  <si>
    <t>5-050-4030</t>
  </si>
  <si>
    <t>LOSS ON SALE OF PROPERTY, PLANT AND EQUIPMENT</t>
  </si>
  <si>
    <t>ACCUMULATED- INFORMATION &amp; COMMUNICATION TECHNOLOGY EQUIPMENT</t>
  </si>
  <si>
    <t>LOANS RECEIVABLE-OTHERS- CURRENT</t>
  </si>
  <si>
    <t>1-030-3060C</t>
  </si>
  <si>
    <t>1-030-3010A</t>
  </si>
  <si>
    <t>1-030-3010B</t>
  </si>
  <si>
    <t>ALLOWANCE FRO DOUBTFUL ACCOUNTS-NATIONAL GOVERNMENT</t>
  </si>
  <si>
    <t>2-060-1020</t>
  </si>
  <si>
    <t>OTHER PROVISIONS</t>
  </si>
  <si>
    <t>LEAVE CREDITS PAYABLE</t>
  </si>
  <si>
    <t>2-060-1990</t>
  </si>
  <si>
    <t>431992-R, 431993-R</t>
  </si>
  <si>
    <t>2-020-1130</t>
  </si>
  <si>
    <t>1-020-6012</t>
  </si>
  <si>
    <t>ALLOWANCE FOR IMPAIRMENT- INVESTMENT IN SUBSIDIARIES</t>
  </si>
  <si>
    <t>1-020-6013</t>
  </si>
  <si>
    <t>ALLOWANCE FOR IMPAIRMENT- INVESTMENT IN ASSOCIATES/AFFILIATES</t>
  </si>
  <si>
    <t>1-020-6014</t>
  </si>
  <si>
    <t>ALLOWANCE FOR IMPAIRMENT- AVAILABLE FOR SALE SECURITIES</t>
  </si>
  <si>
    <t>1-021-0111A</t>
  </si>
  <si>
    <t>AVAILABLE FOR SALE SECURITIES (AFS)</t>
  </si>
  <si>
    <t>INVESTMENT IN TIME DEPOSIT-LC</t>
  </si>
  <si>
    <t>1-021-0111C</t>
  </si>
  <si>
    <t>1-021-0111B</t>
  </si>
  <si>
    <t>INVESTMENT IN ASSOCIATES/AFFILIATES</t>
  </si>
  <si>
    <t>5-050-3060</t>
  </si>
  <si>
    <t>IMPAIRMENT LOSS-OTHER RECEIVABLES</t>
  </si>
  <si>
    <t>4-060-2010</t>
  </si>
  <si>
    <t>REVERSAL OF IMPAIRMENT LOSS</t>
  </si>
  <si>
    <t>1-021-0111D</t>
  </si>
  <si>
    <t>INVESTMENT-FVOCI</t>
  </si>
  <si>
    <t>4-050-1050</t>
  </si>
  <si>
    <t>UNREALIZED GAIN-OCI</t>
  </si>
  <si>
    <t>Other comprehensive income</t>
  </si>
  <si>
    <t>1-040-4020</t>
  </si>
  <si>
    <t>ACCOUNTABLE FORMS, PLATES AND STICKERS</t>
  </si>
  <si>
    <t>1-060-5130</t>
  </si>
  <si>
    <t>SPORTS EQUIPMENT</t>
  </si>
  <si>
    <t>1-060-5131</t>
  </si>
  <si>
    <t>ACCUMULATED DEPRECIATION SPORTS EQUIPMENT</t>
  </si>
  <si>
    <t>1-990-3020</t>
  </si>
  <si>
    <t>GUARANTY DEPOSITS</t>
  </si>
  <si>
    <t>1-990-3990</t>
  </si>
  <si>
    <t>OTHER DEPOSITS</t>
  </si>
  <si>
    <t>Personnel services</t>
  </si>
  <si>
    <t>Maintenance and other operating expenses</t>
  </si>
  <si>
    <t>LEAVE BENEFITS PAYABLE</t>
  </si>
  <si>
    <t xml:space="preserve">APPRAISAL OF INVESTMENT PROPERTY </t>
  </si>
  <si>
    <t>T-432103;432104; 432073; 432074</t>
  </si>
  <si>
    <t>BUILDING</t>
  </si>
  <si>
    <t>GAIN / (LOSS)</t>
  </si>
  <si>
    <t>Total Current Assets</t>
  </si>
  <si>
    <t>Total Non-Current Assets</t>
  </si>
  <si>
    <t>Total Current  Liabilities</t>
  </si>
  <si>
    <t>Total Non-Current Liabilities</t>
  </si>
  <si>
    <t>Net cash provided by investing activities</t>
  </si>
  <si>
    <t>Sen. Gil Puyat Ave, Makati City (BOI Land)</t>
  </si>
  <si>
    <t>Tordesillas, Salcedo Village, Makati City (NDC Land)</t>
  </si>
  <si>
    <t>San. Juan St. Barangay 3, Bacolod City Negros Oriental (Sto Niño Boulevard)</t>
  </si>
  <si>
    <t>Kamagong &amp; Sampaloc Sts., Makati City</t>
  </si>
  <si>
    <t>Bugo Dist., Cagayan De Oro City</t>
  </si>
  <si>
    <t>Bongabon, Nueva Ecija</t>
  </si>
  <si>
    <t>San Dionisio, Paranaque City</t>
  </si>
  <si>
    <t>San Francisco Del Monte Quezon City</t>
  </si>
  <si>
    <t>Porac, Pampanga</t>
  </si>
  <si>
    <t>Calatagan, Batangas</t>
  </si>
  <si>
    <t>Talakag, Bukidnon</t>
  </si>
  <si>
    <t>Bonot, Legaspi City</t>
  </si>
  <si>
    <t>Beata St. Pandacan, Manila</t>
  </si>
  <si>
    <t>Angel Linao Street, Malate Manila</t>
  </si>
  <si>
    <t>199748 &amp; 798, 2122182 &amp; 183</t>
  </si>
  <si>
    <t>(1144320) 006-2014000974</t>
  </si>
  <si>
    <t>(125926) 006-201400079</t>
  </si>
  <si>
    <t>Pureza St. Sta. Mesa, Manila</t>
  </si>
  <si>
    <t>CBP Macapagal Ave. Pasay City</t>
  </si>
  <si>
    <t>(150251) 003-2015000152</t>
  </si>
  <si>
    <t xml:space="preserve">Unit 1003 with 1 Parking,Manila Luxury Condominium, Pasig City                                                             </t>
  </si>
  <si>
    <t>Sucat, Muntinlupa City</t>
  </si>
  <si>
    <t>014-2015000460;461;462; 458 &amp; 459; 201799;201796;201800.201794 &amp; 201801</t>
  </si>
  <si>
    <t>Chino Roces(P.Tamo Ext) Makati City</t>
  </si>
  <si>
    <t>North Ave ,Quezon City</t>
  </si>
  <si>
    <t>Edsa/Boni (Bo. Barrangca), Mandaluyong City</t>
  </si>
  <si>
    <t>Shaw Blvd/ Hillcrest, Pasig City</t>
  </si>
  <si>
    <t>Brgy. Suyong, Echangue Isabela</t>
  </si>
  <si>
    <t>Bo. San Pedro Hermosa, Bataan</t>
  </si>
  <si>
    <t>Bo Bia-an Mariveles, Bataan</t>
  </si>
  <si>
    <t>Mac Arthur Highway, Tarlac City</t>
  </si>
  <si>
    <t>TDN 05197</t>
  </si>
  <si>
    <t>T-23746-54</t>
  </si>
  <si>
    <t>LIDE Isabel, Leyte (Housing)</t>
  </si>
  <si>
    <t>S-29421</t>
  </si>
  <si>
    <t>Don Jose Village,Guadalope, Cebu City</t>
  </si>
  <si>
    <t>Barangay Macansandig and Iponan, Cagayan de Oro City</t>
  </si>
  <si>
    <t>REGION 2 - ISABELA</t>
  </si>
  <si>
    <t>REGION 3 - BATAAN</t>
  </si>
  <si>
    <t>REGION 3 - TARLAC</t>
  </si>
  <si>
    <t>REGION 3 - NUEVA ECIJA</t>
  </si>
  <si>
    <t>REGION 4 - RIZAL</t>
  </si>
  <si>
    <t>REGION 4 - LAGUNA</t>
  </si>
  <si>
    <t>REGION 4 - CAVITE</t>
  </si>
  <si>
    <t>REGION 4 - BATANGAS</t>
  </si>
  <si>
    <t>REGION 5 - BICOL</t>
  </si>
  <si>
    <t>REGION 7 - CEBU</t>
  </si>
  <si>
    <t>REGION 7 - BOHOL</t>
  </si>
  <si>
    <t>REGION 8 - LEYTE</t>
  </si>
  <si>
    <t>REGION 12 - COTABATO</t>
  </si>
  <si>
    <t>REGION 11-DAVAO</t>
  </si>
  <si>
    <t>TOTAL - LAND</t>
  </si>
  <si>
    <t>TOTAL - BUILDING</t>
  </si>
  <si>
    <t>SL CODE</t>
  </si>
  <si>
    <t>REGION 3 - PAMPANGA / BULACAN</t>
  </si>
  <si>
    <t xml:space="preserve">PER TOR - CAL FIL </t>
  </si>
  <si>
    <t>Dasmarinas, Cavite (Langkaan -Humayao)</t>
  </si>
  <si>
    <t>Dasmarinas, Cavite (Langkaan II -Dualtech)</t>
  </si>
  <si>
    <t>80,337 / 16,161</t>
  </si>
  <si>
    <t>431991-R</t>
  </si>
  <si>
    <t>431994-R</t>
  </si>
  <si>
    <t>431997-R to 431998-R</t>
  </si>
  <si>
    <t>Bo Batangas II Mariveles Bataan</t>
  </si>
  <si>
    <t>Bo-Alas-Asin Mariveles Bataan</t>
  </si>
  <si>
    <t xml:space="preserve">T-196724-752 &amp; 755 </t>
  </si>
  <si>
    <t>200612 to 618</t>
  </si>
  <si>
    <t>Joyous Heights,San Jose, Antipolo City</t>
  </si>
  <si>
    <t>Everly Hills, Bo,San Isidro, Antipolo City</t>
  </si>
  <si>
    <t>Garland Subd., Bo, San Isidro, Antipolo City</t>
  </si>
  <si>
    <t>National Highway,Barangay Tagapo,Sta. Rosa, Laguna</t>
  </si>
  <si>
    <t>Sambag District, Cebu City</t>
  </si>
  <si>
    <t>Bo. Dao, Tagbilaran City, Bohol</t>
  </si>
  <si>
    <t>Campo Islam, Baliwasan, Zamboanga City</t>
  </si>
  <si>
    <t>Langihan District, Butuan City</t>
  </si>
  <si>
    <t>Barangay Daliao, Toril, Davao City</t>
  </si>
  <si>
    <t>No.</t>
  </si>
  <si>
    <t>San Felipe, San Fernando, Pampanga</t>
  </si>
  <si>
    <t>Fernandino Sudb.,San Nicolas, San Fernando, Pampanga</t>
  </si>
  <si>
    <t>Aurea Subd., San Nicolas San Fernando, Pampanga</t>
  </si>
  <si>
    <t>Bo. Dolores, San Fernando, Pampanga</t>
  </si>
  <si>
    <t>Investment property</t>
  </si>
  <si>
    <t>Sitio Maraming Daan, Bo. Pantay Tanay, Rizal</t>
  </si>
  <si>
    <t>LIDE Isabel, Leyte  (Industrial)</t>
  </si>
  <si>
    <t>REGION 9- ZAMBOANGA / BUTUAN</t>
  </si>
  <si>
    <t>REGION 10- BUKIDON  / CAGAYAN DE ORO</t>
  </si>
  <si>
    <t>REGION 6 - NEGROS OCCIDENTAL / ORIENTAL</t>
  </si>
  <si>
    <t>TOTAL LAND AND BUILDING</t>
  </si>
  <si>
    <t>Aguinaldo street, Poblacion. Iligan City, Lanao del Norte</t>
  </si>
  <si>
    <t>Industry &amp; Investment Building, Sen. Gil Puyat, Makati City</t>
  </si>
  <si>
    <t>NDC Building, Tordesillas St. Salcedo Village, Makati City</t>
  </si>
  <si>
    <t>Poblacion, Parang,Cotabato City</t>
  </si>
  <si>
    <t>Poblacion, Lapu Lapu City</t>
  </si>
  <si>
    <t>MANILA</t>
  </si>
  <si>
    <t>PASAY CITY</t>
  </si>
  <si>
    <t>MANDALUYONG CITY</t>
  </si>
  <si>
    <t>QUEZON CITY</t>
  </si>
  <si>
    <t>PASIG CITY</t>
  </si>
  <si>
    <t>MUNTILUPA CITY</t>
  </si>
  <si>
    <t>PARANAQUE CITY</t>
  </si>
  <si>
    <t>Ref.</t>
  </si>
  <si>
    <t>29418 to 294120</t>
  </si>
  <si>
    <t>T-491750 to 51</t>
  </si>
  <si>
    <t>T-274547  to 560</t>
  </si>
  <si>
    <t>N-49493 163-2017006271 &amp; N-49494 163-2017006272</t>
  </si>
  <si>
    <t>T-234647 163-2017006269 &amp; T-234648 163-2017006270</t>
  </si>
  <si>
    <t>T-862724 057-2016059295</t>
  </si>
  <si>
    <t>T-164397 057-2016059297 &amp; T-670710 057-201659294</t>
  </si>
  <si>
    <t>Proceeds/placements on investments</t>
  </si>
  <si>
    <t>Barangay Puerto, Cagayan de Oro City</t>
  </si>
  <si>
    <t>Tax Declaration No. 014076</t>
  </si>
  <si>
    <t>MAKATI CITY</t>
  </si>
  <si>
    <t>NATIONAL CAPITAL REGION (NCR)</t>
  </si>
  <si>
    <t>****</t>
  </si>
  <si>
    <t>LOT NO.</t>
  </si>
  <si>
    <t>2,SWO-08-000047</t>
  </si>
  <si>
    <t>3,SWO-08-000047</t>
  </si>
  <si>
    <t>4,SWO-08-000047</t>
  </si>
  <si>
    <t>5,SWO-08-000047</t>
  </si>
  <si>
    <t>AREA (SQ. METER)</t>
  </si>
  <si>
    <t>ADJUSTMENT /SOLD AREA</t>
  </si>
  <si>
    <t>NET AREA</t>
  </si>
  <si>
    <t>BREAKDOWN OF LIDE PROPERTY</t>
  </si>
  <si>
    <t>Corporate Fund</t>
  </si>
  <si>
    <t>CASH AND CASH EQUIVALENTS</t>
  </si>
  <si>
    <t>CASH ON HAND</t>
  </si>
  <si>
    <t>OTHER RECEIVABLES</t>
  </si>
  <si>
    <t>DEPOSITS</t>
  </si>
  <si>
    <t>PREPAYMENTS</t>
  </si>
  <si>
    <t>CONSTRUCTION IN PROGRESS</t>
  </si>
  <si>
    <t>INTER-AGENCY PAYABLES</t>
  </si>
  <si>
    <t>PROVISIONS</t>
  </si>
  <si>
    <t>TRUST LIABILITIES</t>
  </si>
  <si>
    <t>EQUITY</t>
  </si>
  <si>
    <t>GENERAL SERVICES</t>
  </si>
  <si>
    <t>IMPAIRMENT LOSS</t>
  </si>
  <si>
    <t>PROFESSIONAL SERVICES</t>
  </si>
  <si>
    <t>DEPRECIATION</t>
  </si>
  <si>
    <t>OTHER MAINTENANCE AND OPERATING EXPENSES</t>
  </si>
  <si>
    <t>2020</t>
  </si>
  <si>
    <t xml:space="preserve">Deferred tax </t>
  </si>
  <si>
    <t>Other comprehensive income for the year</t>
  </si>
  <si>
    <t xml:space="preserve">   Unrealized gain on financial assets at FVOCI</t>
  </si>
  <si>
    <t>Total Cash Inflows</t>
  </si>
  <si>
    <t>Total Cash Outflows</t>
  </si>
  <si>
    <t>Investment in associates/affiliates</t>
  </si>
  <si>
    <t>Inventories</t>
  </si>
  <si>
    <t>Financial Liabilities</t>
  </si>
  <si>
    <t>INVENTORIES</t>
  </si>
  <si>
    <t>FINANCIAL LIABILITIES</t>
  </si>
  <si>
    <t>DUE TO OFFICERS AND EMPLOYEES</t>
  </si>
  <si>
    <t>DIRECTORS AND COMMITTEE MEMBERS FEE</t>
  </si>
  <si>
    <t>OTHER COMPENSATION</t>
  </si>
  <si>
    <t>PERSONNEL BENEFIT CONTRIBUTIONS</t>
  </si>
  <si>
    <t>Investment in subsidiaries</t>
  </si>
  <si>
    <t>Other investment</t>
  </si>
  <si>
    <t>other investment</t>
  </si>
  <si>
    <t>inventories</t>
  </si>
  <si>
    <t>financial assets</t>
  </si>
  <si>
    <t>property, plant and equipment</t>
  </si>
  <si>
    <t>breakdown of receivables</t>
  </si>
  <si>
    <t>loans receivable</t>
  </si>
  <si>
    <t>interest receivable</t>
  </si>
  <si>
    <t>due from subsidiaries/associates/affiliates</t>
  </si>
  <si>
    <t>due from officers and employees</t>
  </si>
  <si>
    <t>due from national government</t>
  </si>
  <si>
    <t>other receivables</t>
  </si>
  <si>
    <t>allowance for impairment</t>
  </si>
  <si>
    <t>TOTAL CURRENT</t>
  </si>
  <si>
    <t>TOTAL NON CURRENT</t>
  </si>
  <si>
    <t>OK</t>
  </si>
  <si>
    <t>RESTRICTED FUNDS - (INVESTMENTS HELD IN TRUST) LONG TERM</t>
  </si>
  <si>
    <t>ACCRUED INTEREST - RESTRICTED FUND (INVESTMENTS HELD IN TRUST) LONG TERM</t>
  </si>
  <si>
    <t>Financial liabilities</t>
  </si>
  <si>
    <t>2-010-1020</t>
  </si>
  <si>
    <t>LOANS PAYABLE</t>
  </si>
  <si>
    <t>Income tax -Current</t>
  </si>
  <si>
    <t>other comprehensive income</t>
  </si>
  <si>
    <t>5-010-2110</t>
  </si>
  <si>
    <t>HAZARD PAY</t>
  </si>
  <si>
    <t>5-020-3020</t>
  </si>
  <si>
    <t>ACCOUNTABLE FORMS</t>
  </si>
  <si>
    <t>current tax</t>
  </si>
  <si>
    <t>Other investments</t>
  </si>
  <si>
    <t>F</t>
  </si>
  <si>
    <t xml:space="preserve"> INCOME</t>
  </si>
  <si>
    <t>COMPREHENSIVE INCOME</t>
  </si>
  <si>
    <t>NET INCREASE (DECREASE) IN CASH AND CASH EQUIVALENTS</t>
  </si>
  <si>
    <t>Net cash provided by operating activities</t>
  </si>
  <si>
    <t>Accumulated Other Comprehensive Income</t>
  </si>
  <si>
    <t>FINANCIAL ASSET AT FAIR VALUE THROUGH OTHER COMPREHENSIVE INCOME</t>
  </si>
  <si>
    <t>INTEREST RECEIVABLE  -MMP</t>
  </si>
  <si>
    <t>INTEREST RECEIVABLE  - LOAN / NOTES</t>
  </si>
  <si>
    <t>OPERATING LEASE  RECEIVABLE</t>
  </si>
  <si>
    <t>ALLOWANCE FOR IMPAIRMENT- OPERATING LEASE RECEIVABLE</t>
  </si>
  <si>
    <t>INVESTMENT IN TIME DEPOSIT-LOCAL CURRENCY</t>
  </si>
  <si>
    <t>OTHER STRUCTURES - FORECLOSED PROPERTY</t>
  </si>
  <si>
    <t>ADVANCES TO OFFICERS AND EMPLOYEES</t>
  </si>
  <si>
    <t>RESTRICTED FUNDS - (INVESTMENTS HELD IN TRUST) SHORT -TERM</t>
  </si>
  <si>
    <t>RESTRICTED FUNDS - ACCRUED INTEREST - HELD IN TRUST</t>
  </si>
  <si>
    <t>RESTRICTED FUNDS - ACCRUED INTEREST - LONG TERM</t>
  </si>
  <si>
    <t>ACCOUNTS PAYABLE - DEDUCTIBLE</t>
  </si>
  <si>
    <t>ACCOUNTS PAYABE - NON-DEDUCTIBLE</t>
  </si>
  <si>
    <t>CUSTOMERS' DEPOSITS PAYABLE</t>
  </si>
  <si>
    <t>DUE TO BIR  - WITHHOLDING TAX ON COMPENSATION</t>
  </si>
  <si>
    <t>DUE TO BIR - VALUE ADDED TAXES (GVAT)</t>
  </si>
  <si>
    <t>DUE TO BIR - EXPANDED WITHHOLDING TAX</t>
  </si>
  <si>
    <t>DUE TO BIR - PERCENTAGE TAXES</t>
  </si>
  <si>
    <t>VALUE ADDED TAX - OUTPUT TAX</t>
  </si>
  <si>
    <t>VALUE ADDED TAX PAYABLE - INPUT TAX</t>
  </si>
  <si>
    <t>GUARANTY/SECURITY DEPOSIT PAYABLE</t>
  </si>
  <si>
    <t>RENT/LEASE EXPENSES- OFFICE BUILDING</t>
  </si>
  <si>
    <t>RENTAL/LEASE EXPENSES - OTHERS</t>
  </si>
  <si>
    <t xml:space="preserve">REPAIRS AND MAINTENANCE - MACHINERY AND EQUIPMENT </t>
  </si>
  <si>
    <t>REPAIRS AND MAINTENANCE - TRANSPORTATON EQUIPMENT</t>
  </si>
  <si>
    <t>INSURANCE EXPENSES</t>
  </si>
  <si>
    <t>OTHER GENERAL SERVICES - MESSENGERIAL</t>
  </si>
  <si>
    <t>EXTRAORDINARY  AND MISCELLANEOUS EXPENSES</t>
  </si>
  <si>
    <t>CONFIDENTIAL EXPENSES</t>
  </si>
  <si>
    <t>TAXES, DUTIES AND LICENSES - RPT</t>
  </si>
  <si>
    <t>TAXES, DUTIES AND LICENSES - VEHICLE REGISTRATION</t>
  </si>
  <si>
    <t>TAXES, DUTIES AND LICENSES - OTHER TAXES</t>
  </si>
  <si>
    <t>TAXES, DUTIES AND LICENSES - FBT</t>
  </si>
  <si>
    <t>ACCOUNTABLE FORMS EXPENSES</t>
  </si>
  <si>
    <t>LOANS RECEIVABLE OTHERS - HL CURRENT</t>
  </si>
  <si>
    <t>LOANS RECEIVABLE  OTHERS- CL CURRENT</t>
  </si>
  <si>
    <t>LOAN RECEIVABLE OTHERS - HL LONG TERM</t>
  </si>
  <si>
    <t>LOANS RECEIVABLE OTHERS - CL LONG TERM</t>
  </si>
  <si>
    <t>BUSINESS INCOME</t>
  </si>
  <si>
    <t>GAINS</t>
  </si>
  <si>
    <t>EXPENSES</t>
  </si>
  <si>
    <t>RECEIVABLES</t>
  </si>
  <si>
    <t>ADVANCES</t>
  </si>
  <si>
    <t xml:space="preserve"> ACCOUNT TITLE PER REVISED CHART OF ACCOUNTS</t>
  </si>
  <si>
    <t>CASH IN BANK-LOCAL CURRENCY</t>
  </si>
  <si>
    <t>CASH IN BANK-FOREIGN CURRENCY</t>
  </si>
  <si>
    <t>CASH EQUIVALENTS</t>
  </si>
  <si>
    <t>LOANS AND RECEIVABLE ACCOUNTS</t>
  </si>
  <si>
    <t>LEASE RECEIVABLE</t>
  </si>
  <si>
    <t xml:space="preserve">ACCOUNT RECEIVABLE -MANAGEMENT FEE </t>
  </si>
  <si>
    <t>ACCOUNT RECEIVABLE - OTHER INCOME RECEIVABLE</t>
  </si>
  <si>
    <t>ACCOUNT RECEIVABLE -OTHER NON INCOME</t>
  </si>
  <si>
    <t>ALLOWANCE FOR IMPAIRMENT - ACCOUNT RECEIVABLE</t>
  </si>
  <si>
    <t>INTER-AGENCY RECEIVABLES</t>
  </si>
  <si>
    <t>INVENTORY HELD FOR CONSUMPTION</t>
  </si>
  <si>
    <t>FINANCIAL ASSETS-AVAILABLE FOR SALE SECURITIES</t>
  </si>
  <si>
    <t>INVESTMENT IN TIME DEPOSITS</t>
  </si>
  <si>
    <t>LAND AND BUILDINGS</t>
  </si>
  <si>
    <t>BUILDING AND OTHER STRUCTURES</t>
  </si>
  <si>
    <t>ACCUMULATED DEPRECIATION- OTHER STRUCTURES -FORECLOSED PROPERTY</t>
  </si>
  <si>
    <t>MACHINERY AND EQUIPMENT</t>
  </si>
  <si>
    <t>ACCUMULATED DEPRECIATION -  INFORMATION &amp; COMMUNICATION TECHNOLOGY EQUIPMENT</t>
  </si>
  <si>
    <t>CONSTRUCTION IN PROGRESS INVESTMENT PROPERTY BUILDINGS+H142</t>
  </si>
  <si>
    <t>LEASED ASSETS IMPROVEMENTS</t>
  </si>
  <si>
    <t>PROPERTY, PLANT AND EQUIPMENT</t>
  </si>
  <si>
    <t xml:space="preserve">LEASED ASSETS IMPROVEMENTS - BUILDINGS </t>
  </si>
  <si>
    <t xml:space="preserve">ACCUMULATED DEPRECIATION- LEASED ASSETS IMPROVEMENTS - BUILDINGS </t>
  </si>
  <si>
    <t>FURNITURE, FIXTURES AND BOOKS</t>
  </si>
  <si>
    <t>INTANGIBLE ASSETS</t>
  </si>
  <si>
    <t>RESTRICTED FUND</t>
  </si>
  <si>
    <t>PAYABLES</t>
  </si>
  <si>
    <t>BILLS/BONDS/LOANS PAYABLE</t>
  </si>
  <si>
    <t>DEFERRED TAX LIABILITIES</t>
  </si>
  <si>
    <t>UNEARNED REVENUE/INCOME</t>
  </si>
  <si>
    <t>RETIANED EARNINGS (DEFICIT)</t>
  </si>
  <si>
    <t>UTILITY EXPENSES</t>
  </si>
  <si>
    <t>IMPAIRMENT LOSS-LEASE RECEIVABLES</t>
  </si>
  <si>
    <t>LOSSES</t>
  </si>
  <si>
    <t>TRAINING AND SCHOLARSHIP EXPENSES</t>
  </si>
  <si>
    <t>TAXES, INSURANCE, PREMIUMS AND OTHER FEES</t>
  </si>
  <si>
    <t>OTHER GENERAL SERVICES-COS</t>
  </si>
  <si>
    <t>EXTRAORDINARY  AND MISCELLANEOUS EXPENSES - BOARD MEETING EXPENSES</t>
  </si>
  <si>
    <t>CONFIDENTIAL, INTELLIGENC AND EXTRAORDINARY EXPENSES</t>
  </si>
  <si>
    <t>COMMUNICATION EXPENSES</t>
  </si>
  <si>
    <t>SUPPLIES AND MATERIALS EXPENSES</t>
  </si>
  <si>
    <t>EXTRAORDINARY  AND MISCELLANEOUS EXPENSES - MMETINGS</t>
  </si>
  <si>
    <t>SCHEDULE OF ACCOUNT - REVISED CHART OF ACCOUNTS</t>
  </si>
  <si>
    <t>FOR THE YEAR 2021</t>
  </si>
  <si>
    <t>OTHER NON OPERATING INCOME</t>
  </si>
  <si>
    <t>TRANSPORTATION ALLOWANCE (TA)</t>
  </si>
  <si>
    <t>INVESTMENTS</t>
  </si>
  <si>
    <t>REVENUE</t>
  </si>
  <si>
    <t>OLD CHART OF ACCOUNTS</t>
  </si>
  <si>
    <t xml:space="preserve"> ACCOUNT TITLE </t>
  </si>
  <si>
    <t>ALLOWANCE IMPAIRMENT- LOANS RECEIVABLE- OTHER GOVERNMENT CORPORATIONS - LONG-TERM</t>
  </si>
  <si>
    <t>ACCRUED INTEREST-LOANS/NOTES RECEIVABLE - LT</t>
  </si>
  <si>
    <t>ALLOWANCE FOR IMPAIRMENT- INTERESTS RECEIVABLE - CURRENT</t>
  </si>
  <si>
    <t>ALLOWANCE FOR IMPAIRMENT- INTERESTS RECEIVABLE -LT</t>
  </si>
  <si>
    <t>ALLOWANCE FOR IMPAIRMENT - LOANS RECEIVABLE OTHERS - CURRENT</t>
  </si>
  <si>
    <t>ALLOWANCE FOR IMPAIRMENT - LOANS RECEIVABLE OTHERS - LT</t>
  </si>
  <si>
    <t>ALLOWANCE FRO DOUBTFUL ACCOUNTS-NATIONAL GOVERNMENT - LT</t>
  </si>
  <si>
    <t>TRIAL BALANCE</t>
  </si>
  <si>
    <t>Total current liabilities</t>
  </si>
  <si>
    <t>personnel benefits contributions</t>
  </si>
  <si>
    <t>Business income - interest income</t>
  </si>
  <si>
    <t>Business Income - dividend</t>
  </si>
  <si>
    <t>Business income - rental</t>
  </si>
  <si>
    <t>Business income - mgt fees</t>
  </si>
  <si>
    <t>INCOME BEFORE INCOME TAX</t>
  </si>
  <si>
    <t>Non-cash expenses</t>
  </si>
  <si>
    <t>Financial Expenses</t>
  </si>
  <si>
    <t>Other non-operating income</t>
  </si>
  <si>
    <t xml:space="preserve">Gains </t>
  </si>
  <si>
    <t>Business Income</t>
  </si>
  <si>
    <t>AS OF DECEMBER 31, 2021</t>
  </si>
  <si>
    <t>2020 FMV</t>
  </si>
  <si>
    <t>2021 FMV</t>
  </si>
  <si>
    <t>Pueblocillo Village</t>
  </si>
  <si>
    <t>102 sq</t>
  </si>
  <si>
    <t xml:space="preserve">T-143854
</t>
  </si>
  <si>
    <t>Barangay Iponan, Cagayan de Oro City</t>
  </si>
  <si>
    <t xml:space="preserve">T-143855
</t>
  </si>
  <si>
    <t>disposed on May 11, 2021</t>
  </si>
  <si>
    <t>Leyte Port Complex (Admin building/warehouse/guardhouse)</t>
  </si>
  <si>
    <t>Pueblocillo Village (Residential House)</t>
  </si>
  <si>
    <t>Cash Inflows</t>
  </si>
  <si>
    <t>Cash Outflows</t>
  </si>
  <si>
    <t>ACCOUNT GROUP</t>
  </si>
  <si>
    <t>For the Period Ended June 30, 2022</t>
  </si>
  <si>
    <t>Dividends received</t>
  </si>
  <si>
    <t>Collection of receivables</t>
  </si>
  <si>
    <t>Payment for taxes and licenses</t>
  </si>
  <si>
    <t>Return of Capital</t>
  </si>
  <si>
    <t>Loan released</t>
  </si>
  <si>
    <t>2022 FMV</t>
  </si>
  <si>
    <t>AS OF DECEMBER 31, 2022</t>
  </si>
  <si>
    <t xml:space="preserve">c/o amg </t>
  </si>
  <si>
    <t>c/o calfil</t>
  </si>
  <si>
    <t>Note</t>
  </si>
  <si>
    <t>2022</t>
  </si>
  <si>
    <t>Proceeds/placement on investments</t>
  </si>
  <si>
    <t xml:space="preserve">Other non-current assets </t>
  </si>
  <si>
    <t>STATEMENTS OF COMPREHENSIVE INCOME</t>
  </si>
  <si>
    <t>Antipolo Property (Foreclosed)</t>
  </si>
  <si>
    <t>T-163-2022002277</t>
  </si>
  <si>
    <t>building improvement - a/d</t>
  </si>
  <si>
    <t>land improvement</t>
  </si>
  <si>
    <t>land improvement - a/d</t>
  </si>
  <si>
    <t>building improvement</t>
  </si>
  <si>
    <t xml:space="preserve">f /e </t>
  </si>
  <si>
    <t>f /e -a/d</t>
  </si>
  <si>
    <t>ADJUSTMENT</t>
  </si>
  <si>
    <t>A</t>
  </si>
  <si>
    <t>C</t>
  </si>
  <si>
    <t>D</t>
  </si>
  <si>
    <t>B</t>
  </si>
  <si>
    <t>E</t>
  </si>
  <si>
    <t>F.</t>
  </si>
  <si>
    <t>G.</t>
  </si>
  <si>
    <t>H.</t>
  </si>
  <si>
    <t>I.</t>
  </si>
  <si>
    <t>J.</t>
  </si>
  <si>
    <t>INVESTMENT IN ASSOCIATES/AFFILIATES - EQUITY</t>
  </si>
  <si>
    <t>(In Philippine Pesos)</t>
  </si>
  <si>
    <t>STATEMENTS OF CHANGES IN EQUITY</t>
  </si>
  <si>
    <t>TD#17-0016-01124-R13</t>
  </si>
  <si>
    <t>1-01-01-010</t>
  </si>
  <si>
    <t>1-01-01-020</t>
  </si>
  <si>
    <t>1-01-02-020</t>
  </si>
  <si>
    <t>1-01-03-030</t>
  </si>
  <si>
    <t>1-01-05-020</t>
  </si>
  <si>
    <t>1-01-05-030</t>
  </si>
  <si>
    <t>1-02-06-010</t>
  </si>
  <si>
    <t>1-02-06-011</t>
  </si>
  <si>
    <t>1-02-08-010</t>
  </si>
  <si>
    <t>1-02-08-011</t>
  </si>
  <si>
    <t>1-02-10-010</t>
  </si>
  <si>
    <t>1-02-10-011A</t>
  </si>
  <si>
    <t>1-02-11-010</t>
  </si>
  <si>
    <t>1-02-13-010</t>
  </si>
  <si>
    <t>1-02-10-011B</t>
  </si>
  <si>
    <t>1-02-99-990</t>
  </si>
  <si>
    <t>1-02-99-991</t>
  </si>
  <si>
    <t>1-03-01-010A</t>
  </si>
  <si>
    <t>1-03-01-010B</t>
  </si>
  <si>
    <t>1-03-01-010C</t>
  </si>
  <si>
    <t>1-03-01-011</t>
  </si>
  <si>
    <t>1-03-01-050A</t>
  </si>
  <si>
    <t>1-03-01-050B</t>
  </si>
  <si>
    <t>1-03-01-050C</t>
  </si>
  <si>
    <t>1-03-010-051A</t>
  </si>
  <si>
    <t>1-03-010-051B</t>
  </si>
  <si>
    <t>1-03-01-070</t>
  </si>
  <si>
    <t>1-03-01-071</t>
  </si>
  <si>
    <t>1-03-01-990</t>
  </si>
  <si>
    <t>1-03-01-991A</t>
  </si>
  <si>
    <t>1-03-01-991B</t>
  </si>
  <si>
    <t>1-03-01-990A</t>
  </si>
  <si>
    <t>1-03-01-990B</t>
  </si>
  <si>
    <t>1-03-01-990C</t>
  </si>
  <si>
    <t>1-03-01-990D</t>
  </si>
  <si>
    <t>1-03-01-990E</t>
  </si>
  <si>
    <t>1-03-01-070A</t>
  </si>
  <si>
    <t>1-03-02-010</t>
  </si>
  <si>
    <t>1-03-03-060</t>
  </si>
  <si>
    <t>1-03-03-010</t>
  </si>
  <si>
    <t>1-03-03-010A</t>
  </si>
  <si>
    <t>1-03-05-020</t>
  </si>
  <si>
    <t>1-04-04-020</t>
  </si>
  <si>
    <t>1-04-04-010</t>
  </si>
  <si>
    <t>1-05-01-020</t>
  </si>
  <si>
    <t>1-05-01-010</t>
  </si>
  <si>
    <t>1-06-02-990</t>
  </si>
  <si>
    <t>1-06-02-991</t>
  </si>
  <si>
    <t>1-06-04-010</t>
  </si>
  <si>
    <t>1-06-04-011</t>
  </si>
  <si>
    <t>1-06-04-990B</t>
  </si>
  <si>
    <t>1-06-04-991B</t>
  </si>
  <si>
    <t>1-06-04-990A</t>
  </si>
  <si>
    <t>1-06-04-991A</t>
  </si>
  <si>
    <t>1-06-05-020</t>
  </si>
  <si>
    <t>1-06-05-021</t>
  </si>
  <si>
    <t>1-06-05-030</t>
  </si>
  <si>
    <t>1-06-05-031</t>
  </si>
  <si>
    <t>1-06-05-130</t>
  </si>
  <si>
    <t>1-06-05-131</t>
  </si>
  <si>
    <t>1-06-06-010</t>
  </si>
  <si>
    <t>1-06-06-011</t>
  </si>
  <si>
    <t>1-06-07-010</t>
  </si>
  <si>
    <t>1-06-07-0111</t>
  </si>
  <si>
    <t>1-06-09-020</t>
  </si>
  <si>
    <t>1-06-09-021</t>
  </si>
  <si>
    <t>1-06-09-990</t>
  </si>
  <si>
    <t>1-06-09-991</t>
  </si>
  <si>
    <t>1-06-98-990</t>
  </si>
  <si>
    <t>1-06-98-991</t>
  </si>
  <si>
    <t>1-06-99-030</t>
  </si>
  <si>
    <t>1-08-01-020</t>
  </si>
  <si>
    <t>1-99-01-040</t>
  </si>
  <si>
    <t>1-99-02-010</t>
  </si>
  <si>
    <t>1-99-02-050</t>
  </si>
  <si>
    <t>1-99-02-060</t>
  </si>
  <si>
    <t>1-99-02-070</t>
  </si>
  <si>
    <t>1-99-02-080</t>
  </si>
  <si>
    <t>1-99-02-990</t>
  </si>
  <si>
    <t>1-99-03-020</t>
  </si>
  <si>
    <t>1-99-03-990</t>
  </si>
  <si>
    <t>1-99-04-010A</t>
  </si>
  <si>
    <t>1-99-04-010B</t>
  </si>
  <si>
    <t>1-99-04-010C</t>
  </si>
  <si>
    <t>1-99-04-010D</t>
  </si>
  <si>
    <t>1-99-99-080</t>
  </si>
  <si>
    <t>1-99-99-990</t>
  </si>
  <si>
    <t>1-99-99-991</t>
  </si>
  <si>
    <t>2-01-01-010A</t>
  </si>
  <si>
    <t>2-01-01-010B</t>
  </si>
  <si>
    <t>2-01-01-020</t>
  </si>
  <si>
    <t>2-01-01-050</t>
  </si>
  <si>
    <t>2-01-02-040</t>
  </si>
  <si>
    <t>2-02-01-010A</t>
  </si>
  <si>
    <t>2-02-01-010B</t>
  </si>
  <si>
    <t>2-02-01-010C</t>
  </si>
  <si>
    <t>2-02-01-010D</t>
  </si>
  <si>
    <t>2-02-01-020</t>
  </si>
  <si>
    <t>2-02-01-030</t>
  </si>
  <si>
    <t>2-02-01-040</t>
  </si>
  <si>
    <t>2-02-01-120A</t>
  </si>
  <si>
    <t>2-02-01-120B</t>
  </si>
  <si>
    <t>2-02-01-130</t>
  </si>
  <si>
    <t>2-04-01-010A</t>
  </si>
  <si>
    <t>2-04-01-010B</t>
  </si>
  <si>
    <t>2-04-01-040</t>
  </si>
  <si>
    <t>2-04-01-050</t>
  </si>
  <si>
    <t>2-05-02-010</t>
  </si>
  <si>
    <t>2-06-01-020</t>
  </si>
  <si>
    <t>2-06-01-990</t>
  </si>
  <si>
    <t>2-09-01-010A</t>
  </si>
  <si>
    <t>3-01-01-020</t>
  </si>
  <si>
    <t>3-07-01-010</t>
  </si>
  <si>
    <t>3-10-01-010</t>
  </si>
  <si>
    <t>4-02-02-050</t>
  </si>
  <si>
    <t>4-02-02-200</t>
  </si>
  <si>
    <t>4-02-02-210A</t>
  </si>
  <si>
    <t>4-02-02-210B</t>
  </si>
  <si>
    <t>4-02-02-210C</t>
  </si>
  <si>
    <t>4-02-02-210D</t>
  </si>
  <si>
    <t>4-02-02-220</t>
  </si>
  <si>
    <t>4-02-02-280</t>
  </si>
  <si>
    <t>4-02-02-340</t>
  </si>
  <si>
    <t>4-05-01-010</t>
  </si>
  <si>
    <t>4-05-01-020</t>
  </si>
  <si>
    <t>4-05-01-040</t>
  </si>
  <si>
    <t>4-05-01-160</t>
  </si>
  <si>
    <t>4-05-01-110</t>
  </si>
  <si>
    <t>4-06-02-010</t>
  </si>
  <si>
    <t>4-06-03-990</t>
  </si>
  <si>
    <t>5-01-01-010</t>
  </si>
  <si>
    <t>5-01-02-010</t>
  </si>
  <si>
    <t>5-01-02-020</t>
  </si>
  <si>
    <t>5-01-02-030</t>
  </si>
  <si>
    <t>5-01-02-040</t>
  </si>
  <si>
    <t>5-01-02-080</t>
  </si>
  <si>
    <t>5-01-02-110</t>
  </si>
  <si>
    <t>5-01-02-120</t>
  </si>
  <si>
    <t>5-01-02-130</t>
  </si>
  <si>
    <t>5-01-02-140</t>
  </si>
  <si>
    <t>5-01-02-150</t>
  </si>
  <si>
    <t>5-01-02-990</t>
  </si>
  <si>
    <t>5-01-03-010</t>
  </si>
  <si>
    <t>5-01-03-020</t>
  </si>
  <si>
    <t>5-01-03-030</t>
  </si>
  <si>
    <t>5-01-03-040</t>
  </si>
  <si>
    <t>5-01-04-030</t>
  </si>
  <si>
    <t>5-01-04-990</t>
  </si>
  <si>
    <t>5-02-01-010</t>
  </si>
  <si>
    <t>5-02-01-020</t>
  </si>
  <si>
    <t>5-02-02-010</t>
  </si>
  <si>
    <t>5-02-03-010</t>
  </si>
  <si>
    <t>5-02-03-020</t>
  </si>
  <si>
    <t>5-02-03-090</t>
  </si>
  <si>
    <t>5-02-03-990</t>
  </si>
  <si>
    <t>5-02-04-010</t>
  </si>
  <si>
    <t>5-02-04-020</t>
  </si>
  <si>
    <t>5-02-05-010</t>
  </si>
  <si>
    <t>5-02-05-020</t>
  </si>
  <si>
    <t>5-02-05-030</t>
  </si>
  <si>
    <t>5-02-10-030A</t>
  </si>
  <si>
    <t>5-02-10-030B</t>
  </si>
  <si>
    <t>5-02-10-030C</t>
  </si>
  <si>
    <t>5-02-10-010</t>
  </si>
  <si>
    <t>5-02-11-010</t>
  </si>
  <si>
    <t>5-02-11-020</t>
  </si>
  <si>
    <t>5-02-11-030</t>
  </si>
  <si>
    <t>5-02-11-990</t>
  </si>
  <si>
    <t>5-02-12-010</t>
  </si>
  <si>
    <t>5-02-12-030</t>
  </si>
  <si>
    <t>5-02-12-020</t>
  </si>
  <si>
    <t>5-02-12-990A</t>
  </si>
  <si>
    <t>5-02-12-990B</t>
  </si>
  <si>
    <t>5-02-13-010</t>
  </si>
  <si>
    <t>5-02-13-040</t>
  </si>
  <si>
    <t>5-02-13-050</t>
  </si>
  <si>
    <t>5-02-13-060A</t>
  </si>
  <si>
    <t>5-02-13-060B</t>
  </si>
  <si>
    <t>5-02-13-070</t>
  </si>
  <si>
    <t>5-02-13-990</t>
  </si>
  <si>
    <t>5-02-15-010D</t>
  </si>
  <si>
    <t>5-02-15-040A</t>
  </si>
  <si>
    <t>5-02-15-040B</t>
  </si>
  <si>
    <t>5-02-15-010E</t>
  </si>
  <si>
    <t>5-02-15-010F</t>
  </si>
  <si>
    <t>5-02-15-010A</t>
  </si>
  <si>
    <t>5-02-15-010B</t>
  </si>
  <si>
    <t>5-02-15-010C</t>
  </si>
  <si>
    <t>5-02-15-020</t>
  </si>
  <si>
    <t>5-02-15-030A</t>
  </si>
  <si>
    <t>5-02-15-030B</t>
  </si>
  <si>
    <t>5-02-99-010</t>
  </si>
  <si>
    <t>5-02-99-020</t>
  </si>
  <si>
    <t>5-02-99-040</t>
  </si>
  <si>
    <t>5-02-99-050A</t>
  </si>
  <si>
    <t>5-02-99-050B</t>
  </si>
  <si>
    <t>5-02-99-060</t>
  </si>
  <si>
    <t>5-02-99-070</t>
  </si>
  <si>
    <t>5-02-99-120</t>
  </si>
  <si>
    <t>5-02-99-140</t>
  </si>
  <si>
    <t>5-02-99-090</t>
  </si>
  <si>
    <t>5-02-99-180</t>
  </si>
  <si>
    <t>5-03-01-020</t>
  </si>
  <si>
    <t>5-03-01-040</t>
  </si>
  <si>
    <t>5-05-01-020</t>
  </si>
  <si>
    <t>5-05-01-040</t>
  </si>
  <si>
    <t>5-05-01-050</t>
  </si>
  <si>
    <t>5-05-01-060</t>
  </si>
  <si>
    <t>5-05-01-070</t>
  </si>
  <si>
    <t>5-05-01-990</t>
  </si>
  <si>
    <t>5-05-03-020</t>
  </si>
  <si>
    <t>5-05-03-030</t>
  </si>
  <si>
    <t>5-05-04-010</t>
  </si>
  <si>
    <t>5-05-04-040</t>
  </si>
  <si>
    <t>1-02-10-011</t>
  </si>
  <si>
    <t>2-09-01-010</t>
  </si>
  <si>
    <t>2-020-1090</t>
  </si>
  <si>
    <t>DUE TO TREASURER OF THE PHILIPPINES</t>
  </si>
  <si>
    <t>For the Years Ended December 31, 2023 and 2022</t>
  </si>
  <si>
    <t>current receivables net</t>
  </si>
  <si>
    <t>Business income - share in profit</t>
  </si>
  <si>
    <t>GAIN - forex</t>
  </si>
  <si>
    <t>GAIN - sale</t>
  </si>
  <si>
    <t>GAIN - revaluation</t>
  </si>
  <si>
    <t>NON-CASH EXPENSES</t>
  </si>
  <si>
    <t>OTHER NON-OPERATING INCOME</t>
  </si>
  <si>
    <t>forex loss</t>
  </si>
  <si>
    <t>Business income - share in JV</t>
  </si>
  <si>
    <t>Personnel Services</t>
  </si>
  <si>
    <t>Balances, December 31, 2023</t>
  </si>
  <si>
    <t>AS OF DECEMBER 31, 2023</t>
  </si>
  <si>
    <t>PERSONNEL SERVICES</t>
  </si>
  <si>
    <t>MOOE</t>
  </si>
  <si>
    <t>TOTAL EQUITY</t>
  </si>
  <si>
    <t>Deferred income tax</t>
  </si>
  <si>
    <t>2023 FMV</t>
  </si>
  <si>
    <t>San Roque Antipolo City</t>
  </si>
  <si>
    <t>T-305919 /T-163-2022002277</t>
  </si>
  <si>
    <t>Cash Outflow</t>
  </si>
  <si>
    <t xml:space="preserve">EFFECT OF EXCHANGE RATE CHANGES  ON </t>
  </si>
  <si>
    <t>TOTAL COMPREHENSIVE INCOME</t>
  </si>
  <si>
    <t>Total Cash Outflow</t>
  </si>
  <si>
    <t>2-99999-0</t>
  </si>
  <si>
    <t>OTHER PAYABLES - PROVIDENT FUND - EMPLOYER</t>
  </si>
  <si>
    <t>OTHER PAYABLES -PROVIDENT FUND - EMPLOYER</t>
  </si>
  <si>
    <t>restatement</t>
  </si>
  <si>
    <t xml:space="preserve">January 1, 2022 </t>
  </si>
  <si>
    <t>ALLOWANCE FOR IMPAIRMENT- INTERESTS RECEIVABLE - LONG TERM</t>
  </si>
  <si>
    <t>ADVANCES TO CONTRACTORS  - CURRENT</t>
  </si>
  <si>
    <t>ADVANCES TO CONTRACTORS - NON CURRENT</t>
  </si>
  <si>
    <t>Schedule of  Deferred Tax</t>
  </si>
  <si>
    <t>AS RESTATED</t>
  </si>
  <si>
    <t>Accounts</t>
  </si>
  <si>
    <t>December 2016</t>
  </si>
  <si>
    <t>December 2017</t>
  </si>
  <si>
    <t>December 2018</t>
  </si>
  <si>
    <t>December 2019</t>
  </si>
  <si>
    <t>December 2020</t>
  </si>
  <si>
    <t>December 2021</t>
  </si>
  <si>
    <t>December 2022</t>
  </si>
  <si>
    <t>December 2023</t>
  </si>
  <si>
    <t>Rental Receivable</t>
  </si>
  <si>
    <t>Interest Receivable</t>
  </si>
  <si>
    <t>Prepaid Expense</t>
  </si>
  <si>
    <t>Allowance for Impairment</t>
  </si>
  <si>
    <t>Unrealized Forex</t>
  </si>
  <si>
    <t>Unrealized Gain on IP</t>
  </si>
  <si>
    <t>Accumulated Depreciation on IP</t>
  </si>
  <si>
    <t>Analysis of DTA and DTL</t>
  </si>
  <si>
    <t>Details of DTA and DTL</t>
  </si>
  <si>
    <t>DTL on Rental receivable</t>
  </si>
  <si>
    <t>DTL on Interest receivable</t>
  </si>
  <si>
    <t>DTL on Prepaid Expense</t>
  </si>
  <si>
    <t>DTL on Investment Property</t>
  </si>
  <si>
    <t>DTA on Accrued Expense</t>
  </si>
  <si>
    <t>DTA on Allowance for impairment</t>
  </si>
  <si>
    <t>DTA on Unrealized FOREX gain</t>
  </si>
  <si>
    <t>Net DTL</t>
  </si>
  <si>
    <t>total deferred tax (expense)/benefit for the year</t>
  </si>
  <si>
    <t>debit</t>
  </si>
  <si>
    <t>credit</t>
  </si>
  <si>
    <t>ADJUSTMENT - RESTATEMENT</t>
  </si>
  <si>
    <t>Income tax expense</t>
  </si>
  <si>
    <t>income tax expense-deferred</t>
  </si>
  <si>
    <t>Current tax expense</t>
  </si>
  <si>
    <t>income tax expense for the year</t>
  </si>
  <si>
    <t>Deferred tax expense/ (benefit)</t>
  </si>
  <si>
    <t>dtl</t>
  </si>
  <si>
    <t>Total income tax expense</t>
  </si>
  <si>
    <t>recorded per book</t>
  </si>
  <si>
    <t>should be</t>
  </si>
  <si>
    <t xml:space="preserve">adjustment </t>
  </si>
  <si>
    <t>Income tax at statutory rate</t>
  </si>
  <si>
    <t>Non deductible interest expense</t>
  </si>
  <si>
    <t>Impairment of investment</t>
  </si>
  <si>
    <t>Stock and transfer tax</t>
  </si>
  <si>
    <t>Interest subject to final tax</t>
  </si>
  <si>
    <t>Dividend income</t>
  </si>
  <si>
    <t>Share in net income of associates</t>
  </si>
  <si>
    <t>Gain on  sale of capital assets</t>
  </si>
  <si>
    <t>other</t>
  </si>
  <si>
    <t>TOTAL INCOME TAX  EXPENSE</t>
  </si>
  <si>
    <t>NOTE :</t>
  </si>
  <si>
    <t>Comprehensive Recovery and Tax Incentives for Enterprises (CREATE) Act (Republic Act 11534)</t>
  </si>
  <si>
    <t>25% Income tax rate</t>
  </si>
  <si>
    <t>(As restated)</t>
  </si>
  <si>
    <t>For Year 2023</t>
  </si>
  <si>
    <t>AWAITING FOR APPRAISAL</t>
  </si>
  <si>
    <t>ppa</t>
  </si>
  <si>
    <t>SCHEDULE OF ACCOUNTS</t>
  </si>
  <si>
    <t>CURRENT RECEIVABLES - NET</t>
  </si>
  <si>
    <t>OTHER CURRENT ASSETS</t>
  </si>
  <si>
    <t>FINANCIAL ASSETS</t>
  </si>
  <si>
    <t>RECEIVABLES - LONG TERM</t>
  </si>
  <si>
    <t>OTHER NON CURRENT ASSETS</t>
  </si>
  <si>
    <t>INTER AGENCY PAYABLES</t>
  </si>
  <si>
    <t>DEFERRED CREDIT / UNEARNED INCOME</t>
  </si>
  <si>
    <t>TRUST LIABILTIES - LT</t>
  </si>
  <si>
    <t>DEFERRED TAX LIABILITY</t>
  </si>
  <si>
    <t>TRAVELLING EXPENSE</t>
  </si>
  <si>
    <t>TRAINING EXPENSE</t>
  </si>
  <si>
    <t>SUPPLIES AND MATERIALS</t>
  </si>
  <si>
    <t>COMMUNICATION EXPENSE</t>
  </si>
  <si>
    <t>CONFIDENTIAL, INTELLIGENCE AND EXTRA ORDINARY EXPENSE</t>
  </si>
  <si>
    <t>PROEFESSIONAL SERVICES</t>
  </si>
  <si>
    <t>TAXES, INSURANCE PREMIUMS</t>
  </si>
  <si>
    <t>CURRENT TAX</t>
  </si>
  <si>
    <t>OTHER MOE</t>
  </si>
  <si>
    <t>FOREX LOSS</t>
  </si>
  <si>
    <t xml:space="preserve">LOAN RECEIVABLE </t>
  </si>
  <si>
    <t>DUE TO TREASURER OF THE PHILIPPINES (coa assessment)</t>
  </si>
  <si>
    <t>INTEREST PAYABLE (BTr advances, 2nd, 3rd and 4th tranche)</t>
  </si>
  <si>
    <t>LOANS PAYABLE (BTr guarantee fee)</t>
  </si>
  <si>
    <t>TRUST LIABILITIES - CURRENT  (retention fee, Phil packing, 1.7M, David Wuson, 7.7M, coffel 1.2M)</t>
  </si>
  <si>
    <t>TRUST LIABILITIES - LONG TERM (DJT Mega Industrial, dayben ref)</t>
  </si>
  <si>
    <t>CUSTOMERS' DEPOSITS PAYABLE (security deposit - lessee's)</t>
  </si>
  <si>
    <t>GUARANTY/DEPOSIT FROM SUPPLIERS (performance security)</t>
  </si>
  <si>
    <t>MICELLANEOUS INCOME (assessment fees)</t>
  </si>
  <si>
    <t>UNREALIZED GAIN-OCI (metro club shares)</t>
  </si>
  <si>
    <t>Acquisition Cost</t>
  </si>
  <si>
    <t>TIME DEPOSITS- FOREIGN CURRENCY (more than 1 year)</t>
  </si>
  <si>
    <t>INVESTMENT IN TIME DEPOSIT-LOCAL CURRENCY (more than 1 year)</t>
  </si>
  <si>
    <t xml:space="preserve">FINANCIAL ASSET AT FAIR VALUE THROUGH OTHER COMPREHENSIVE INCOME </t>
  </si>
  <si>
    <t>INTEREST RECEIVABLE  - LOAN / NOTES (metro hospital,refractories and fidmi)</t>
  </si>
  <si>
    <t>LOANS RECEIVABLE- OTHER GOVERNMENT CORPORATIONS - LONG TERM (fccc,luzon,metro hospital,dockyard,pncc, pppi,fidmi,pmdc,refractories,usiphil and gyrei)</t>
  </si>
  <si>
    <t>DUE FROM SUBSIDIARIES/ JOINT VENTURES/ ASSOCIATES/ AFFILIATES - LONG TERM (fccc,luzon, jao nsc.dockyard,pncc and lusteveco)</t>
  </si>
  <si>
    <t>DUE FROM NATIONAL GOVERNMENT AGENCIES (asia industries,national shipping)</t>
  </si>
  <si>
    <t>GUARANTY DEPOSITS (macea)</t>
  </si>
  <si>
    <t>OTHER DEPOSITS (lbp - 17,700, metroclub - 15,000 and meralco - 73,290)</t>
  </si>
  <si>
    <t>DEFERRED CHARGES (coal operating 42M, pldt - P125K and Bureau of customs -P703k)</t>
  </si>
  <si>
    <t>OTHER ASSETS (icb, projects- one dti, fcie,davao food,properties under DAR)</t>
  </si>
  <si>
    <t>ACCOUNTS PAYABLE - DEDUCTIBLE (various supplies)</t>
  </si>
  <si>
    <t>ACCOUNTS PAYABE - NON-DEDUCTIBLE (unreleased checks)</t>
  </si>
  <si>
    <t>UNEARNED REVENUE/INCOME- INVESTMENT PROPERTY (rafael chu,southern cross,acciona-dmcia)</t>
  </si>
  <si>
    <t>INTEREST EXPENSES (gyrei)</t>
  </si>
  <si>
    <t>variance</t>
  </si>
  <si>
    <t>SALE OF UNSERVICEABLE PROPERTY</t>
  </si>
  <si>
    <t>TOTAL BUSINESS INCOME</t>
  </si>
  <si>
    <t>remarks</t>
  </si>
  <si>
    <t>TOTAL MOOE</t>
  </si>
  <si>
    <t>TOTAL NON CASH EXPENSES</t>
  </si>
  <si>
    <t>2023 vs 2022</t>
  </si>
  <si>
    <t>RESTRICTED FUNDS - (INVESTMENTS HELD IN TRUST) SHORT -TERM  (share from rizal hydro)</t>
  </si>
  <si>
    <t>restricted funds (2022- mintex,  2023 - 0)</t>
  </si>
  <si>
    <t>ADVANCES TO CONTRACTORS (manila water, metroclub,pldt,meralco,manila golf, Palmer asia-progress billing)</t>
  </si>
  <si>
    <t>SHARE IN PROFIT /REVENUE OF JOINT VENTURE  (rizal hydro)</t>
  </si>
  <si>
    <t xml:space="preserve">SALARIES AND WAGES-REGULAR </t>
  </si>
  <si>
    <t xml:space="preserve">toppers performers </t>
  </si>
  <si>
    <t>appraisal company</t>
  </si>
  <si>
    <t xml:space="preserve">cal-fil </t>
  </si>
  <si>
    <t>CFAMAI FILE NO. 23-G102-408</t>
  </si>
  <si>
    <t>CFAMAI FILE NO. 23-G102-396</t>
  </si>
  <si>
    <t>TOPPERS-2023-C-013-036</t>
  </si>
  <si>
    <t>CFAMAI FILE NO. 23-G102-406</t>
  </si>
  <si>
    <t>CFAMAI FILE NO. 23-G102-407</t>
  </si>
  <si>
    <t>CFAMAI FILE NO. 23-G102-395</t>
  </si>
  <si>
    <t>CFAMAI FILE NO. 23-G102-404</t>
  </si>
  <si>
    <t>CFAMAI FILE NO. 23-G102-390</t>
  </si>
  <si>
    <t>CFAMAI FILE NO. 23-G102-392</t>
  </si>
  <si>
    <t>CFAMAI FILE NO. 23-G102-392A</t>
  </si>
  <si>
    <t>CFAMAI FILE NO. 23-G102-392B</t>
  </si>
  <si>
    <t>CFAMAI FILE NO. 23-G102-392C</t>
  </si>
  <si>
    <t>CFAMAI FILE NO. 23-G102-392D</t>
  </si>
  <si>
    <t>CFAMAI FILE NO. 23-G102-397</t>
  </si>
  <si>
    <t>CFAMAI FILE NO. 23-G102-393C</t>
  </si>
  <si>
    <t>CFAMAI FILE NO. 23-G102-409</t>
  </si>
  <si>
    <t>CFAMAI FILE NO. 23-G102-393</t>
  </si>
  <si>
    <t>CFAMAI FILE NO. 23-G102-418</t>
  </si>
  <si>
    <t>CFAMAI FILE NO. 23-G102-398</t>
  </si>
  <si>
    <t>CFAMAI FILE NO. 23-G102-389B</t>
  </si>
  <si>
    <t>CFAMAI FILE NO. 23-G102-411</t>
  </si>
  <si>
    <t>CFAMAI FILE NO. 23-G102-405</t>
  </si>
  <si>
    <t>CFAMAI FILE NO. 23-G102-402</t>
  </si>
  <si>
    <t>CFAMAI FILE NO. 23-G102-401</t>
  </si>
  <si>
    <t>CFAMAI FILE NO. 23-G102-410</t>
  </si>
  <si>
    <t>CFAMAI FILE NO. 23-G102-394</t>
  </si>
  <si>
    <t>CFAMAI FILE NO. 23-G102-393A</t>
  </si>
  <si>
    <t>CFAMAI FILE NO. 23-G102-393B</t>
  </si>
  <si>
    <t>CFAMAI FILE NO. 23-G102-424</t>
  </si>
  <si>
    <t>CFAMAI FILE NO. 23-G102-431</t>
  </si>
  <si>
    <t>CFAMAI FILE NO. 23-G102-426</t>
  </si>
  <si>
    <t>CFAMAI FILE NO. 23-G102-429</t>
  </si>
  <si>
    <t>CFAMAI FILE NO. 23-G102-425</t>
  </si>
  <si>
    <t>CFAMAI FILE NO. 23-G102-427</t>
  </si>
  <si>
    <t>CFAMAI FILE NO. 23-G102-428</t>
  </si>
  <si>
    <t>CFAMAI FILE NO. 23-G102-422</t>
  </si>
  <si>
    <t>CFAMAI FILE NO. 23-G102-423</t>
  </si>
  <si>
    <t>CFAMAI FILE NO. 23-G102-415</t>
  </si>
  <si>
    <t>CFAMAI FILE NO. 23-G102-416</t>
  </si>
  <si>
    <t>CFAMAI FILE NO. 23-G102-420</t>
  </si>
  <si>
    <t>CFAMAI FILE NO. 23-G102-421</t>
  </si>
  <si>
    <t>value metrics</t>
  </si>
  <si>
    <t>VMI-23G-0093-NDC-001</t>
  </si>
  <si>
    <t>value metrics inc</t>
  </si>
  <si>
    <t>VMI-23G-0093-NDC-001A</t>
  </si>
  <si>
    <t>CFAMAI FILE NO. 23-G102-389A</t>
  </si>
  <si>
    <t>CFAMAI FILE NO. 23-G102-389</t>
  </si>
  <si>
    <t>toppers</t>
  </si>
  <si>
    <t>TOPPERS-2023-C-013-037</t>
  </si>
  <si>
    <t>VMI-23G-0093-NDC-003B</t>
  </si>
  <si>
    <t>VMI-23G-0093-NDC-003</t>
  </si>
  <si>
    <t>VMI-23G-0093-NDC-003A</t>
  </si>
  <si>
    <t>VMI-23G-0093-NDC-003C</t>
  </si>
  <si>
    <t>C/O amg</t>
  </si>
  <si>
    <t>reference per report</t>
  </si>
  <si>
    <t>SCHEDULE OF INVESTMENTS (NET BOOK VALUE)</t>
  </si>
  <si>
    <t>A.</t>
  </si>
  <si>
    <t>AMOUNT</t>
  </si>
  <si>
    <t>LBP - DOLLAR TIME DEPOSIT</t>
  </si>
  <si>
    <t xml:space="preserve">T O T A L </t>
  </si>
  <si>
    <t>INVESTMENT IN TIME DEPOSIT - LOCAL CURRENCY</t>
  </si>
  <si>
    <t>LONG TERM INVESTMENT A</t>
  </si>
  <si>
    <t>LONG TERM INVESTMENT B</t>
  </si>
  <si>
    <t>LONG TERM INVESMENT C</t>
  </si>
  <si>
    <t>LBP - PERFORMANCE BOND</t>
  </si>
  <si>
    <t>PHILIPPINE LONG DISTANCE TELEPHONE CO.</t>
  </si>
  <si>
    <t>MANILA GOLF COUNTRY CLUB</t>
  </si>
  <si>
    <t>MAKATI SPORTS CLUB</t>
  </si>
  <si>
    <t>PHIL.COLUMBIAN ASSOC.-NTFC</t>
  </si>
  <si>
    <t>TOTAL FINANCIAL ASSETS</t>
  </si>
  <si>
    <t>B.</t>
  </si>
  <si>
    <t>INVESTMENT IN ASSOCIATES - AFFILIATES (COST AND EQUITY)</t>
  </si>
  <si>
    <t>INTERBANK VENTURE CAPITAL CORPORATION</t>
  </si>
  <si>
    <t>NET BOOK VALUE</t>
  </si>
  <si>
    <t>METRO HOSPITAL WASTE CONVERSION</t>
  </si>
  <si>
    <t>UP-NDC BASILAN PLANTATIONS, INC.</t>
  </si>
  <si>
    <t>PHILIPPINE DOCKYARD CORPORATION</t>
  </si>
  <si>
    <t>PHIVIDEC INDUSTRIAL ESTATE</t>
  </si>
  <si>
    <t>PHILIPPINE PHARMA PROCUREMENT INC.</t>
  </si>
  <si>
    <t>PITC PHARMA, INC.(formerly PRODUCERS VCC</t>
  </si>
  <si>
    <t>REFRACTORIES CORPORATION OF THE PHILS.</t>
  </si>
  <si>
    <t>TRIAD ASIA, LTD.</t>
  </si>
  <si>
    <t>VETERANS VENTURE CAPITAL CORPORATION</t>
  </si>
  <si>
    <t>FIRST INT'L. DOCUMENT MASTERS, INC.</t>
  </si>
  <si>
    <t>SAN CARLOS BIO-ENERGY, INC.</t>
  </si>
  <si>
    <t>SAN JOSE OIL COMPANY</t>
  </si>
  <si>
    <t>PHILBANCOR VENTURE CAPITAL CORPORATION</t>
  </si>
  <si>
    <t>MANILA EXPOSITION COMPLEX, INC.</t>
  </si>
  <si>
    <t>LIDE MANAGEMENT CORPORATION</t>
  </si>
  <si>
    <t>ALABANG-STO. TOMAS DEVT. INC.</t>
  </si>
  <si>
    <t>PHILIPPINE MINING DEVELOPMENT CORP.</t>
  </si>
  <si>
    <t>NET BOOK VALUE - INVESTMENT IN ASSOCIATES-AFFILIATES</t>
  </si>
  <si>
    <t>C.</t>
  </si>
  <si>
    <t>FIRST CENTENNIAL CLARK CORPORATION</t>
  </si>
  <si>
    <t>LUZON STEVEDORING CORPORATION</t>
  </si>
  <si>
    <t>FIRST CAVITE INDUSTRIAL ESTATE</t>
  </si>
  <si>
    <t>PHIL. INFRASTRACTURE CORP.</t>
  </si>
  <si>
    <t>BATANGAS LAND COMPANY, INC</t>
  </si>
  <si>
    <t>G.Y. REAL ESTATE, INC.</t>
  </si>
  <si>
    <t>KAMAYAN REALTY CORPORATION</t>
  </si>
  <si>
    <t>MANILA GAS CORPORATION</t>
  </si>
  <si>
    <t>PHIL. INTERNATIONAL TRADING CORPORATION</t>
  </si>
  <si>
    <t>PINAGKAISA REALTY CORPORATION</t>
  </si>
  <si>
    <t>NET BOOK VALUE - INVESTMENT IN SUBSIDIARIES</t>
  </si>
  <si>
    <t>D.</t>
  </si>
  <si>
    <t>MENZI DEVELOPMENT CORPORATION</t>
  </si>
  <si>
    <t>NATIONAL STEEL CORPORATION</t>
  </si>
  <si>
    <t>PAPER INDUSTRIES CORP. OF THE PHILS.</t>
  </si>
  <si>
    <t xml:space="preserve"> P.T. ASEAN ACEH FERTILIZER</t>
  </si>
  <si>
    <t>P.T. ASEAN ACEH FERTILIZER</t>
  </si>
  <si>
    <t xml:space="preserve"> RESORT HOTELS</t>
  </si>
  <si>
    <t>RESORT HOTELS</t>
  </si>
  <si>
    <t xml:space="preserve"> LSCO - PDCP</t>
  </si>
  <si>
    <t>LSCO - PLDT</t>
  </si>
  <si>
    <t>LSCO - REPUBLIC PLANTERS BANK</t>
  </si>
  <si>
    <t>LSCO - PDCP</t>
  </si>
  <si>
    <t>ASEAN POTASH MINING, INC.</t>
  </si>
  <si>
    <t>ASEAN-BINTULU FERTILIZER SDN. BHD.</t>
  </si>
  <si>
    <t xml:space="preserve"> SCIENCE PARK OF THE PHIL., INC</t>
  </si>
  <si>
    <t xml:space="preserve"> PROJECT DEVELOPMENT COST- RATTAN</t>
  </si>
  <si>
    <t>OTHER SECURITIES</t>
  </si>
  <si>
    <t>HGI - MULTI-NATURAL</t>
  </si>
  <si>
    <t>NDC RATTAN PROJECT</t>
  </si>
  <si>
    <t>MISCELLANEOUS</t>
  </si>
  <si>
    <t>NET BOOK VALUE - OTHER INVESTMENTS</t>
  </si>
  <si>
    <t>BUSINESSINCOME</t>
  </si>
  <si>
    <t>TOTAL INCOME</t>
  </si>
  <si>
    <t>Value per Sq meter 2023</t>
  </si>
  <si>
    <t>Value per Sq meter 2022</t>
  </si>
  <si>
    <t>PERCENTAGE OF INCREASE/DECREASE</t>
  </si>
  <si>
    <t xml:space="preserve">Acquistion cost vs </t>
  </si>
  <si>
    <t>FMV 2023</t>
  </si>
  <si>
    <t xml:space="preserve">Percentage of Net FMV </t>
  </si>
  <si>
    <t>over acquistion cost</t>
  </si>
  <si>
    <t>EXTRAORDINARY  AND MISCELLANEOUS EXPENSES - MEETINGS</t>
  </si>
  <si>
    <r>
      <rPr>
        <b/>
        <sz val="12"/>
        <rFont val="Arial"/>
        <family val="2"/>
      </rPr>
      <t>2022</t>
    </r>
    <r>
      <rPr>
        <sz val="12"/>
        <rFont val="Arial"/>
        <family val="2"/>
      </rPr>
      <t xml:space="preserve"> </t>
    </r>
  </si>
  <si>
    <t>Aviso</t>
  </si>
  <si>
    <t>The notes on pages 9 to 67 form part of these financial statements.</t>
  </si>
  <si>
    <t>CFAMAI FILE NO. 23-G102-391</t>
  </si>
  <si>
    <t>SHORT TERM INVESTMENTS HELD IN TRUST -SVF FUNDS</t>
  </si>
  <si>
    <t>average value for site 1,2 &amp; 3</t>
  </si>
  <si>
    <t>62,000 ,50,000 &amp; 50,000.00</t>
  </si>
  <si>
    <t xml:space="preserve">2023 </t>
  </si>
  <si>
    <t>DISCRETIONARY  EXPENSES</t>
  </si>
  <si>
    <t>GUARANTY DEPOSITS - NON CURRENT</t>
  </si>
  <si>
    <t>OTHER DEPOSITS - NON CURRENT</t>
  </si>
  <si>
    <t>COMPUTER SOFTWARE - OTHER NON-CURRENT</t>
  </si>
  <si>
    <t>ACCUMULATED IMPAIRMENT LOSSES- OTHER ASSETS - OTHER NON-CURRENT</t>
  </si>
  <si>
    <t>Total Personnel Services</t>
  </si>
  <si>
    <t>Forex loss</t>
  </si>
  <si>
    <t xml:space="preserve">aviso </t>
  </si>
  <si>
    <t>LIDE Isabel, Leyte (Housing)    -  Isabel, Leyte</t>
  </si>
  <si>
    <t>LIDE Isabel, Leyte  (Industrial)  - Philphos Assets -LIDE</t>
  </si>
  <si>
    <t>Pingag Property - Matlang, Isabel, Leyte</t>
  </si>
  <si>
    <t xml:space="preserve">SHARE IN LOSS OF JOINT VENTURE </t>
  </si>
  <si>
    <t>RESTRICTED FUNDS - SVF FUNDS AND CYCLION</t>
  </si>
  <si>
    <t>DICRETIONARY EXPENSES</t>
  </si>
  <si>
    <t>DONATIONS</t>
  </si>
  <si>
    <t>Cash equivalents based on MMP (90 days or less)</t>
  </si>
  <si>
    <t>account code</t>
  </si>
  <si>
    <t>PREPAID INSURANCE (gsis - P705,463.81)</t>
  </si>
  <si>
    <t>OTHER PREPAYMENTS (rpt payment for 2024, pasay - P8.5, MV rizal - P4.12, metro club - P23,893.33, Dasmarinas - P4.78</t>
  </si>
  <si>
    <t xml:space="preserve">CASH-COLLECTING OFFICERS </t>
  </si>
  <si>
    <t>LESS: MMP OF 90 DAYS OR LESS</t>
  </si>
  <si>
    <t>ADD: DOLLAR MMP PLACEMENT 90 DAY TO LESS THAN ONE YEAR</t>
  </si>
  <si>
    <t>TIME DEPOSIT - LOCAL CURRENCY</t>
  </si>
  <si>
    <t>TOTALMMP more than 90 daysbut less than 1 year</t>
  </si>
  <si>
    <t>PPPI</t>
  </si>
  <si>
    <t>USIPHIL</t>
  </si>
  <si>
    <t>GYREI</t>
  </si>
  <si>
    <t>PMDC</t>
  </si>
  <si>
    <t>HOUSING LOAN</t>
  </si>
  <si>
    <t>CAR LOAN</t>
  </si>
  <si>
    <t>DUE FROM OFFICERS AND EMPLOYEES</t>
  </si>
  <si>
    <t>SAN JOSE -P32M, PHILPHOS - WHARF/LIDE P17M &amp; P20M</t>
  </si>
  <si>
    <t>OTHER INCOME RECEIVABLES (DAR) 163M, RTP - NEW</t>
  </si>
  <si>
    <t>OTHER NON INCOME -UTILITIES OF VARIOUS LESSEE'S</t>
  </si>
  <si>
    <t>TOTAL INTEREST RECEIVABLES</t>
  </si>
  <si>
    <t>TOTAL DUE FROM OFFICERS AND EMPLOYEES</t>
  </si>
  <si>
    <t>RENTAL RECEIVABLES</t>
  </si>
  <si>
    <t>LOANS RECEIVABLES OTHERS - H. AQUITANIA</t>
  </si>
  <si>
    <t>TOTAL OTHER RECEIVABLES</t>
  </si>
  <si>
    <t>ALLOWANCE FOR IMPAIRMENT - LOANS RECEIVABLE OTHERS - CURRENT (HL &amp; CL ACCOUNTS)</t>
  </si>
  <si>
    <t>ALLOWANCE FOR IMPAIRMENT- INTERESTS RECEIVABLE - CURRENT (PPPI P11.38M AND USIPHIL P1.79)</t>
  </si>
  <si>
    <t>MMP - INTEREST</t>
  </si>
  <si>
    <t>CREDITABLE INPUT TAX  (5% FVAT) - sales to govt only</t>
  </si>
  <si>
    <t>INPUT TAX - from purchases</t>
  </si>
  <si>
    <t>WITHOLDING TAX AT SOURCE (2% WITHHOLDING TAX-SERVICES - pa) TO BE OFFSET AGAINST INCOME TAX</t>
  </si>
  <si>
    <t>GENERAL LEDGER SYSTEM</t>
  </si>
  <si>
    <t>PRINT STRAIGHT SCHEDULE OF ACCOUNT CODE BALANCES</t>
  </si>
  <si>
    <t>ACCT CODE</t>
  </si>
  <si>
    <t>AS OF 2023/01/01</t>
  </si>
  <si>
    <t>Debits</t>
  </si>
  <si>
    <t>Credits</t>
  </si>
  <si>
    <t>AS OF 2023/12/31</t>
  </si>
  <si>
    <t>377 MERCADO, JOSEPHINE B.</t>
  </si>
  <si>
    <t>8941 CASH IN BANK - LBP COMBO</t>
  </si>
  <si>
    <t>9410 PERA LIZA P. JULIAN</t>
  </si>
  <si>
    <t>9488 LBP TORDESILLAS</t>
  </si>
  <si>
    <t>597 JAVA, NIKKI MARIE M.</t>
  </si>
  <si>
    <t>604 LAMORIN, MARIANNE S.</t>
  </si>
  <si>
    <t>9239 YNA FIDES ISABEL S. PEREA</t>
  </si>
  <si>
    <t>9296 SARAH GRACE B. MACAILING</t>
  </si>
  <si>
    <t>9403 VELAYDA M. BUENAVENTURA</t>
  </si>
  <si>
    <t>9470 MARKLEY GIL A. VILLARIN</t>
  </si>
  <si>
    <t>9503 ALEWIJN AIDAN K. ONG</t>
  </si>
  <si>
    <t>9516 KATES JASTIN E. AGUILAR</t>
  </si>
  <si>
    <t>8942 CASH IN BANK - NDC "AA" BONDS</t>
  </si>
  <si>
    <t>8943 CASH IN BANK - DBP COMBO</t>
  </si>
  <si>
    <t>9194 CASH IN BANK - UCPB C/A</t>
  </si>
  <si>
    <t>9378 START-UP VENTURE FUND</t>
  </si>
  <si>
    <t>CASH IN BANK- FOREIGN CURRENCY, SAVINGS ACCOUNT</t>
  </si>
  <si>
    <t>8944 CASH IN BANK - LBP SAVINGS  DOLLAR</t>
  </si>
  <si>
    <t>5117 DEVELOPMENT BANK OF THE PHILIPPINES</t>
  </si>
  <si>
    <t>5657 CAR FUND</t>
  </si>
  <si>
    <t>8991 LBP - PERFORMANCE BOND</t>
  </si>
  <si>
    <t>9592 LBP FUNDS</t>
  </si>
  <si>
    <t>5446 LBP - DOLLAR TIME DEPOSIT</t>
  </si>
  <si>
    <t>9557 LBP - DOLLAR BOND</t>
  </si>
  <si>
    <t>INVESTMENTS IN ASSOCIATES/ AFFILIATES</t>
  </si>
  <si>
    <t>10206010A</t>
  </si>
  <si>
    <t>10206010B</t>
  </si>
  <si>
    <t>10206010C</t>
  </si>
  <si>
    <t>GOVERNMENT OWNED/CONTROLLED CORPORATION - EQUITY</t>
  </si>
  <si>
    <t>5456 UP-NDC BASILAN PLANTATIONS, INC.</t>
  </si>
  <si>
    <t>5465 MANILA EXPOSITION COMPLEX, INC.</t>
  </si>
  <si>
    <t>5514 LIDE MANAGEMENT CORPORATION</t>
  </si>
  <si>
    <t>5733 ALABANG-STO. TOMAS DEVT. INC.</t>
  </si>
  <si>
    <t>5737 PHILIPPINE MINING DEVELOPMENT CORP.</t>
  </si>
  <si>
    <t>ALOWANCE FOR IMPAIRMENT- INVESTMENTS IN ASSOCIATES/ AFFILIATES</t>
  </si>
  <si>
    <t>ALLOWANCE FOR IMPAIRMENT - INVESTMENT IN SUBSIDIARIES</t>
  </si>
  <si>
    <t>5138 FIRST CENTENNIAL CLARK CORPORATION</t>
  </si>
  <si>
    <t>5215 LUZON STEVEDORING CORPORATION</t>
  </si>
  <si>
    <t>5632 FIRST CAVITE INDUSTRIAL ESTATE</t>
  </si>
  <si>
    <t>5732 PHIL. INFRASTRACTURE CORP.</t>
  </si>
  <si>
    <t>ALLOWANCE FOR IMPAIRMENT - INVESTMENT IN ASSOCIATES/AFFILIATES</t>
  </si>
  <si>
    <t>5179 INTERBANK VENTURE CAPITAL CORPORATION</t>
  </si>
  <si>
    <t>5250 METRO HOSPITAL WASTE CONVERSION</t>
  </si>
  <si>
    <t>5333 PHILIPPINE DOCKYARD CORPORATION</t>
  </si>
  <si>
    <t>5360 PHIVIDEC INDUSTRIAL ESTATE</t>
  </si>
  <si>
    <t>5370 PITC PHARMA, INC.(formerly PRODUCERS VCC</t>
  </si>
  <si>
    <t>5386 REFRACTORIES CORPORATION OF THE PHILS.</t>
  </si>
  <si>
    <t>5452 TRIAD ASIA, LTD.</t>
  </si>
  <si>
    <t>5461 VETERANS VENTURE CAPITAL CORPORATION</t>
  </si>
  <si>
    <t>5735 FIRST INT'L. DOCUMENT MASTERS, INC.</t>
  </si>
  <si>
    <t>5741 SAN CARLOS BIO-ENERGY, INC.</t>
  </si>
  <si>
    <t>ALLOWANCE FOR IMPAIRMENT -AVAILABLE FOR SALE SECURITIES</t>
  </si>
  <si>
    <t>5249 MENZI DEVELOPMENT CORPORATION</t>
  </si>
  <si>
    <t>5288 NATIONAL STEEL CORPORATION</t>
  </si>
  <si>
    <t>5315 PAPER INDUSTRIES CORP. OF THE PHILS.</t>
  </si>
  <si>
    <t>5375 P.T. ASEAN ACEH FERTILIZER</t>
  </si>
  <si>
    <t>5389 RESORT HOTELS</t>
  </si>
  <si>
    <t>5637 LSCO - PDCP</t>
  </si>
  <si>
    <t>5638 LSCO - PLDT</t>
  </si>
  <si>
    <t>5639 LSCO - REPUBLIC PLANTERS BANK</t>
  </si>
  <si>
    <t>5045 BATANGAS LAND COMPANY, INC</t>
  </si>
  <si>
    <t>5161 G.Y. REAL ESTATE, INC.</t>
  </si>
  <si>
    <t>5193 KAMAYAN REALTY CORPORATION</t>
  </si>
  <si>
    <t>5228 MANILA GAS CORPORATION</t>
  </si>
  <si>
    <t>5357 PHIL. INTERNATIONAL TRADING CORPORATION</t>
  </si>
  <si>
    <t>5363 PINAGKAISA REALTY CORPORATION</t>
  </si>
  <si>
    <t>INVESTMENT IN ASSOCIATES / AFFILIATES</t>
  </si>
  <si>
    <t>10210111A</t>
  </si>
  <si>
    <t>5021 ASEAN-BINTULU FERTILIZER SDN. BHD.</t>
  </si>
  <si>
    <t>5628 SCIENCE PARK OF THE PHIL., INC</t>
  </si>
  <si>
    <t>5670 ASEAN POTASH MINING, INC.</t>
  </si>
  <si>
    <t>10210111B</t>
  </si>
  <si>
    <t>INVESTMENT IN TIME DEPOSIT - LC</t>
  </si>
  <si>
    <t>8902 LONG TERM INVESTMENT A</t>
  </si>
  <si>
    <t>8903 LONG TERM INVESTMENT B</t>
  </si>
  <si>
    <t>8904 LONG TERM INVESMENT C</t>
  </si>
  <si>
    <t>10210111C</t>
  </si>
  <si>
    <t>INVESTMENT IN ASSOCIATES - AFFILIATES</t>
  </si>
  <si>
    <t>5323 PHILBANCOR VENTURE CAPITAL CORPORATION</t>
  </si>
  <si>
    <t>5405 SAN JOSE OIL COMPANY</t>
  </si>
  <si>
    <t>10210111D</t>
  </si>
  <si>
    <t>5340 PHILIPPINE LONG DISTANCE TELEPHONE CO.</t>
  </si>
  <si>
    <t>5545 MANILA GOLF COUNTRY CLUB</t>
  </si>
  <si>
    <t>5683 MAKATI SPORTS CLUB</t>
  </si>
  <si>
    <t>8312 PHIL.COLUMBIAN ASSOC.-NTFC</t>
  </si>
  <si>
    <t>INVESTMENTS IN STOCKS</t>
  </si>
  <si>
    <t>10299990A</t>
  </si>
  <si>
    <t>5372 PROJECT DEVELOPMENT COST- RATTAN</t>
  </si>
  <si>
    <t>5483 OTHER SECURITIES</t>
  </si>
  <si>
    <t>5633 HGI - MULTI-NATURAL</t>
  </si>
  <si>
    <t>5672 NDC RATTAN PROJECT</t>
  </si>
  <si>
    <t>9999 MISCELLANEOUS</t>
  </si>
  <si>
    <t>ACCOUNTS RECEIVABLE</t>
  </si>
  <si>
    <t>10301010A</t>
  </si>
  <si>
    <t>ACCOUNTS RECEIVABLE - CURRENT</t>
  </si>
  <si>
    <t>10301010B</t>
  </si>
  <si>
    <t>429 TIMBOL, AURORA</t>
  </si>
  <si>
    <t>5049 BOARD OF INVESTMENT</t>
  </si>
  <si>
    <t>5050 BOARD OF LIQUIDATORS</t>
  </si>
  <si>
    <t>5063 CAYETANO LAW OFFICE</t>
  </si>
  <si>
    <t>5114 DEPARTMENT OF TRADE &amp; INDUSTRY</t>
  </si>
  <si>
    <t>5124 BAYANTEL</t>
  </si>
  <si>
    <t>5176 INNOVE COMMUNICATIONS</t>
  </si>
  <si>
    <t>5207 LEPANTO MINING CORPORATION</t>
  </si>
  <si>
    <t>5230 MANILA PEST CONTROL</t>
  </si>
  <si>
    <t>5353 PHIL. ASSD. SMELTING &amp; REFINING CORP.</t>
  </si>
  <si>
    <t>5431 SWEET LINES INC.</t>
  </si>
  <si>
    <t>5701 SANKO SYSTEMS SERVICES, INC.</t>
  </si>
  <si>
    <t>5706 AL AMANAH ISLAMIC BANK OF THE PHILS.</t>
  </si>
  <si>
    <t>5712 SENATE OF THE PHILIPPINES</t>
  </si>
  <si>
    <t>5726 FRANCISCO, MERLANDO G.</t>
  </si>
  <si>
    <t>5740 PANAY RAILWAYS, INC.</t>
  </si>
  <si>
    <t>5755 SCORPIO CABLE VISION</t>
  </si>
  <si>
    <t>8124 DTI/HITR</t>
  </si>
  <si>
    <t>8125 SPECTRUM ENGINEERING &amp; CONSULTANCY</t>
  </si>
  <si>
    <t>8142 SAMPAGUITA TRAVEL CORP.</t>
  </si>
  <si>
    <t>8144 TRAVELTIPID. COM</t>
  </si>
  <si>
    <t>8146 PACITA U. JUAN</t>
  </si>
  <si>
    <t>8147 PHILIPPINE COFFEE BOARD</t>
  </si>
  <si>
    <t>8229 CLEANAWAY PHILIPPINES INC.(CLEANWAY TECH</t>
  </si>
  <si>
    <t>8323 ECOBAY PROPERTY MANAGEMENT, INC.</t>
  </si>
  <si>
    <t>8343 SANTEC PLANT CONTROLS, INC.</t>
  </si>
  <si>
    <t>8351 ROMEO B. NAGUIT</t>
  </si>
  <si>
    <t>8462 MUNICIPALITY OF ISABEL LEYTE</t>
  </si>
  <si>
    <t>8484 RENATO V. DIAZ</t>
  </si>
  <si>
    <t>8530 VAAL FELIX, V.</t>
  </si>
  <si>
    <t>8538 PEPOT DISENYO FURNITURE SHOP &amp; TRADING</t>
  </si>
  <si>
    <t>8568 HK IMPERIAL AWARD MININGS(PHILS)INC.</t>
  </si>
  <si>
    <t>8581 GOVERNANCE COMMISSION FOR GOCC</t>
  </si>
  <si>
    <t>8631 EARTH LIFE STORE SUPPLY,INC.</t>
  </si>
  <si>
    <t>8741 RP MAPALLA INC</t>
  </si>
  <si>
    <t>5042 PHILPHOS - WHARF</t>
  </si>
  <si>
    <t>5322 PETRON</t>
  </si>
  <si>
    <t>5358 PHIL. PHOSPHATE FERTILIZER CORPORATION</t>
  </si>
  <si>
    <t>5425 SMART COMMUNICATIONS, INC.</t>
  </si>
  <si>
    <t>5451 TRITAN MARKETING &amp; DEVELOPMENT CORP.</t>
  </si>
  <si>
    <t>8175 ORANGE FUEL</t>
  </si>
  <si>
    <t>8384 F.A.G. MACHINE SHOP &amp; SERVICES CO.</t>
  </si>
  <si>
    <t>8643 BANK OF THE PHILIPPINE ISLANDS (BPI)</t>
  </si>
  <si>
    <t>8677 SAN MIGUEL YAMAMURA PACKAGING CORP.</t>
  </si>
  <si>
    <t>8716 CONTAINER BRIDGE PHILIPPINES, INC</t>
  </si>
  <si>
    <t>8740 PAJ RESTAURANT GROUP CORPORATION</t>
  </si>
  <si>
    <t>8824 DYNAMIC LADIES TOWARDS PROGRESS INC</t>
  </si>
  <si>
    <t>8825 FASTFORWARD MR CORPORATION</t>
  </si>
  <si>
    <t>8830 BLACK PEARL MEDIA INC</t>
  </si>
  <si>
    <t>8849 SOUTHERN CROSS DISTRIBUTION INC</t>
  </si>
  <si>
    <t>8850 SAN MIGUEL MILLS INC</t>
  </si>
  <si>
    <t>8964 FELMAR JUNIFER T. PICAR</t>
  </si>
  <si>
    <t>9043 ECHOSI FOUNDATION, INC.</t>
  </si>
  <si>
    <t>9076 VALLEY SOUTH MOTOR WORKS</t>
  </si>
  <si>
    <t>9095 ISABEL ANCILLARY SERVICES CO LTD</t>
  </si>
  <si>
    <t>9129 GOBOCREATIVE INC.</t>
  </si>
  <si>
    <t>9279 D.M. CONSUNJI INC</t>
  </si>
  <si>
    <t>9346 EAC.NET INTERNET SHOP</t>
  </si>
  <si>
    <t>9347 PASAR EMPLOYEES MULTI- PURPOSE COOPERATIVE</t>
  </si>
  <si>
    <t>9379 ANG TUPA EQUIPMENT RENTAL</t>
  </si>
  <si>
    <t>9417 PASAR 2</t>
  </si>
  <si>
    <t>9426 GOODTHINKING RESEARCH, INC.</t>
  </si>
  <si>
    <t>9439 R and I Enterprises</t>
  </si>
  <si>
    <t>9462 ESGUERRA, MAPPALA AND ASSOCIATES, INC.</t>
  </si>
  <si>
    <t>9477 MILLENIUM ERECTORS CORPORATION</t>
  </si>
  <si>
    <t>9490 DESCORP INC.</t>
  </si>
  <si>
    <t>9491 LE CAFE FILIPINA ENTERPRISES, INC. (LCFEI)</t>
  </si>
  <si>
    <t>9507 GARCIA QUIJANO &amp; ASSOCIATES LAW OFFICE</t>
  </si>
  <si>
    <t>9510 GOBOCREATIVE 2</t>
  </si>
  <si>
    <t>9523 URIT LTD. CORP.</t>
  </si>
  <si>
    <t>9560 ISABEL ANCILLARY 2</t>
  </si>
  <si>
    <t>9567 TEAMO RESTO BAR</t>
  </si>
  <si>
    <t>10301010C</t>
  </si>
  <si>
    <t>10301010D</t>
  </si>
  <si>
    <t>5055 BUREAU OF TREASURY</t>
  </si>
  <si>
    <t>5113 DEPARTMENT OF AGRARIAN REFORM</t>
  </si>
  <si>
    <t>5561 DBP SERVICE CORPORATION</t>
  </si>
  <si>
    <t>8090 NEW SAN JOSE BUILDERS</t>
  </si>
  <si>
    <t>5043 PHILPHOS - LIDE</t>
  </si>
  <si>
    <t>8701 MW RIZAL HYDROPOWER PROJECT</t>
  </si>
  <si>
    <t>8702 LIDE INDUSTRIAL DEV'T ESTATE LEARNING</t>
  </si>
  <si>
    <t>8887 BNC CONSTRUCTION AND REPAIR SERVICES</t>
  </si>
  <si>
    <t>9082 RIZAL HYDRO JV</t>
  </si>
  <si>
    <t>10301010E</t>
  </si>
  <si>
    <t>18 BALDADO, MOISES A.</t>
  </si>
  <si>
    <t>30 CALLO, SANTIAGO</t>
  </si>
  <si>
    <t>47 DE LEON, FELY C.</t>
  </si>
  <si>
    <t>60 OCANA, EVELYN  D.</t>
  </si>
  <si>
    <t>75 RAMBANO, FE G.</t>
  </si>
  <si>
    <t>99 LOPEZ, CONSUELO R.</t>
  </si>
  <si>
    <t>122 OMOLI, MANUELA</t>
  </si>
  <si>
    <t>124 ISNANI, ANGELICA ISABEL</t>
  </si>
  <si>
    <t>158 TA-ALA, LETICIA CABANTOG</t>
  </si>
  <si>
    <t>164 LOMOTAN, FELICITAS</t>
  </si>
  <si>
    <t>170 VILLENA, ANTHONY</t>
  </si>
  <si>
    <t>173 YAP, RAMON R.</t>
  </si>
  <si>
    <t>175 BILOLO, MELIZANDRA B.</t>
  </si>
  <si>
    <t>180 CONCEPCION, VIRGINIA NADONGA</t>
  </si>
  <si>
    <t>189 ORDILLANO, IRISH G.</t>
  </si>
  <si>
    <t>191 ARMONIO, JAIME MANUEL</t>
  </si>
  <si>
    <t>195 DACANAY, EMMANUEL E.</t>
  </si>
  <si>
    <t>196 PUNTERO, FERNANDO</t>
  </si>
  <si>
    <t>204 BEJER, JERRY</t>
  </si>
  <si>
    <t>205 TEH, RONILDA</t>
  </si>
  <si>
    <t>210 GURAY, ROSARIO</t>
  </si>
  <si>
    <t>233 CABACTULAN, WILDAN N.</t>
  </si>
  <si>
    <t>235 TEOCO, BIENVENIDO</t>
  </si>
  <si>
    <t>256 DOMINGO, ROMEO C.</t>
  </si>
  <si>
    <t>272 CORTEZ, CECILIA</t>
  </si>
  <si>
    <t>273 JIMENEZ, FELIMON</t>
  </si>
  <si>
    <t>292 YNOT, ENRIQUETA M.</t>
  </si>
  <si>
    <t>295 LEONIDA, JOSE MARIA</t>
  </si>
  <si>
    <t>297 MACARAEG, CARMEN</t>
  </si>
  <si>
    <t>302 VANTA, JULIET F.</t>
  </si>
  <si>
    <t>304 LIRO, ANGELITO</t>
  </si>
  <si>
    <t>324 PALABRICA, MIRIAM</t>
  </si>
  <si>
    <t>339 ROXAS, OFELIA</t>
  </si>
  <si>
    <t>342 ENDAYA, ADALIA</t>
  </si>
  <si>
    <t>349 ROXAS, MANUEL A. II</t>
  </si>
  <si>
    <t>366 NANAGAS II, VITALIANO</t>
  </si>
  <si>
    <t>378 BALBIN, MARILYN</t>
  </si>
  <si>
    <t>386 BAGSAO, LIZA LORENA C.</t>
  </si>
  <si>
    <t>391 MABAZZA, JEANNETTE</t>
  </si>
  <si>
    <t>396 PRIETO, SALVADOR JR.</t>
  </si>
  <si>
    <t>397 VILLANUEVA, TEODORO</t>
  </si>
  <si>
    <t>402 SANTOS, AILEEN MARIE</t>
  </si>
  <si>
    <t>408 AQUITANIA, HEIDEE-MAY H.</t>
  </si>
  <si>
    <t>411 DE QUIROZ, RODOLFO V.</t>
  </si>
  <si>
    <t>422 NICOLAS, MA. THERESA C.</t>
  </si>
  <si>
    <t>437 DOCTOLERO,EDWIN T.</t>
  </si>
  <si>
    <t>438 LORENZO,MANNY O.</t>
  </si>
  <si>
    <t>441 MIRABUENO,JOPETTE L.</t>
  </si>
  <si>
    <t>460 CHUA, MANUEL</t>
  </si>
  <si>
    <t>491 LOPEZ, JOSEPHINE G.</t>
  </si>
  <si>
    <t>520 MALOU ATENCIO</t>
  </si>
  <si>
    <t>5052 BIR- INPUT VAT RECEIVABLE</t>
  </si>
  <si>
    <t>5053 BUREAU OF INTERNAL REVENUE</t>
  </si>
  <si>
    <t>5060 CALTEX PHILIPPINES, INC.</t>
  </si>
  <si>
    <t>5196 ELECTRO WORLD</t>
  </si>
  <si>
    <t>5246 MANILA WATER COMPANY, INC.</t>
  </si>
  <si>
    <t>5457 USIPHIL, INC.</t>
  </si>
  <si>
    <t>5462 VISCARA, PONCIANO ANDRES</t>
  </si>
  <si>
    <t>5471 TRANSPORT CONTRACTORS, INC.</t>
  </si>
  <si>
    <t>5528 ESPERANZA, MARLON</t>
  </si>
  <si>
    <t>5624 BIR - CREDITABLE VAT WITHHELD</t>
  </si>
  <si>
    <t>5627 BIR - CREDITABLE TAX W/HELD</t>
  </si>
  <si>
    <t>5658 SERVICIO FILIPINO, INC.</t>
  </si>
  <si>
    <t>5717 BETTER BUILDINGS, INC.</t>
  </si>
  <si>
    <t>5723 ABLE SERVICES</t>
  </si>
  <si>
    <t>5736 BATAAN TECHNO-PARK, INC.</t>
  </si>
  <si>
    <t>8044 ABAD, RAMONCITO Z.</t>
  </si>
  <si>
    <t>8136 HR TEAM ASIA</t>
  </si>
  <si>
    <t>8247 R.D. POLICARPIO</t>
  </si>
  <si>
    <t>8551 BOUGUEL'S EATERY</t>
  </si>
  <si>
    <t>8784 RV DIAZ MANAGEMENT CONSULTANCY</t>
  </si>
  <si>
    <t>67 FAROL, MA. THERESA R.</t>
  </si>
  <si>
    <t>365 MABAZZA, RHOEL Z.</t>
  </si>
  <si>
    <t>394 TAN, GAUDIOSA</t>
  </si>
  <si>
    <t>412 JULIAN, SAMUEL N.</t>
  </si>
  <si>
    <t>415 CABILES, RIZA R.</t>
  </si>
  <si>
    <t>571 MAYANG, JOHN A</t>
  </si>
  <si>
    <t>8215 NDC-PHILIPPINE INFRASTRUCTURE CORP.</t>
  </si>
  <si>
    <t>9020 RM MANGUBAT CONSTRUCTION AND REALTY DEV. CORP.</t>
  </si>
  <si>
    <t>9111 SATURNINO H. MEJIA</t>
  </si>
  <si>
    <t>9261 ECHOSTORE SUSTAINABLE LIFESTYLE</t>
  </si>
  <si>
    <t>9390 MGSJC PRINTING SERVICES</t>
  </si>
  <si>
    <t>9404 PHILIPPINE PHARMA PROCUREMENT, INC.</t>
  </si>
  <si>
    <t>ALLOWANCE FOR IMPAIRMENT-ACCOUNT RECEIVABLE</t>
  </si>
  <si>
    <t>10301011A</t>
  </si>
  <si>
    <t>10301011B</t>
  </si>
  <si>
    <t>5185 JAO AND COMPANY</t>
  </si>
  <si>
    <t>5217 PNCC - CB</t>
  </si>
  <si>
    <t>5296 NDC NACIDA RAW MATERIALS, INC.</t>
  </si>
  <si>
    <t>5304 BTR-NSC</t>
  </si>
  <si>
    <t>5342 PHILIPPINE NATIONAL CONSTRUCTION CORP.</t>
  </si>
  <si>
    <t>5650 LUSTEVECO - UNION BANK</t>
  </si>
  <si>
    <t>5651 LUSTEVECO - SOC. GEN. (REFINANCING)</t>
  </si>
  <si>
    <t>5652 LUSTEVECO - SOC.GEN. (WORKING CAPITAL)</t>
  </si>
  <si>
    <t>5653 LUSTEVECO - I C B  LINE</t>
  </si>
  <si>
    <t>8945 NONINTERESTING BEARING LOANS RECEIVABLE - CURRENT - NACIDA RAW MATERIALS</t>
  </si>
  <si>
    <t>10301011C</t>
  </si>
  <si>
    <t>ALLOWANCE FOR IMPAIRMENT- ACCOUNTS RECEIVABLE - LONG TERM</t>
  </si>
  <si>
    <t>10301011D</t>
  </si>
  <si>
    <t>INTERESTS RECEIVABLE</t>
  </si>
  <si>
    <t>10301050A</t>
  </si>
  <si>
    <t>5203 LAND BANK OF THE PHILIPPINES</t>
  </si>
  <si>
    <t>5258 MINTEX EX-STOCKHOLDERS</t>
  </si>
  <si>
    <t>9200 LBP-NDC FUNDS</t>
  </si>
  <si>
    <t>10301050B</t>
  </si>
  <si>
    <t>10301050C</t>
  </si>
  <si>
    <t>INTEREST RECEIVABLE - LONG TERM</t>
  </si>
  <si>
    <t>LOANS RECEIVABLE-OTHER GOVERNMENT CORPORATIONS</t>
  </si>
  <si>
    <t>10301070A</t>
  </si>
  <si>
    <t>10301070B</t>
  </si>
  <si>
    <t>10301070C</t>
  </si>
  <si>
    <t>LONG-TERM RECEIVABLES</t>
  </si>
  <si>
    <t>ALLOWANCE FOR IMPAIRMENT-LOANS RECEIVABLE-OTHER GOVERNMENT CORPORATIONS</t>
  </si>
  <si>
    <t>10301071A</t>
  </si>
  <si>
    <t>10301071B</t>
  </si>
  <si>
    <t>ALLOWANCE IMPAIRMENT- LOANS RECEIVABLE- OTHER GOVERNMENT CORPORATIONS - LONG TERM</t>
  </si>
  <si>
    <t>LOANS RECEIVABLE-OTHERS</t>
  </si>
  <si>
    <t>10301990A</t>
  </si>
  <si>
    <t>LOANS RECEIVABLE- OTHERS - CURRENT</t>
  </si>
  <si>
    <t>370 ARCE, LILIA L.</t>
  </si>
  <si>
    <t>381 SERRANO, ROMMEL R.</t>
  </si>
  <si>
    <t>384 CORDIAL, COLETTE H.</t>
  </si>
  <si>
    <t>390 EUGENIO, JONATHAN</t>
  </si>
  <si>
    <t>406 GUEVARA, SOL M.</t>
  </si>
  <si>
    <t>407 PELAEZ, IRENE D.</t>
  </si>
  <si>
    <t>409 ROSEOS, ROWENA R.</t>
  </si>
  <si>
    <t>413 BANAL, SARAH GRACE C.</t>
  </si>
  <si>
    <t>414 RABUCO, BENJAMIN</t>
  </si>
  <si>
    <t>419 CUETO, JOHNIEREY A.</t>
  </si>
  <si>
    <t>420 BUENAVENTURA, VELAYDA M.</t>
  </si>
  <si>
    <t>539 REYES MARGARITA, G.</t>
  </si>
  <si>
    <t>10301990B</t>
  </si>
  <si>
    <t>135 REBUENO, MA. LOURDES F.</t>
  </si>
  <si>
    <t>10301990C</t>
  </si>
  <si>
    <t>206 PONCE, EVANGELINE R.</t>
  </si>
  <si>
    <t>249 CAMPOS, MA. ANTONIA P.</t>
  </si>
  <si>
    <t>257 REYES, MILA CAPAYCAPAY</t>
  </si>
  <si>
    <t>259 PEDROZA, LESLIE</t>
  </si>
  <si>
    <t>107 MANGALONZO, ALICE M.</t>
  </si>
  <si>
    <t>8988 ORDILLANO, MA. IRISSA G.</t>
  </si>
  <si>
    <t>10301990D</t>
  </si>
  <si>
    <t>10301990E</t>
  </si>
  <si>
    <t>94 LIM, IRMA C.</t>
  </si>
  <si>
    <t>10301990F</t>
  </si>
  <si>
    <t>10303010A</t>
  </si>
  <si>
    <t>5023 ASIA INDUSTRIES, INC.</t>
  </si>
  <si>
    <t>5286 NATIONAL SHIPPING CORP. OF THE PHILS.</t>
  </si>
  <si>
    <t>5300 NEGROS OCCIDENTAL COPPERFIELD MINES,INC.</t>
  </si>
  <si>
    <t>10303010B</t>
  </si>
  <si>
    <t>ALLOWANCE FOR DOUBTFUL ACCOUNTS - NATIONAL GOV'T AGENCIES</t>
  </si>
  <si>
    <t>DUE FROM SUBSIDIARIES/ JOINT VENTURES/ ASSOCIATES/ AFFILIATES</t>
  </si>
  <si>
    <t>10303060A</t>
  </si>
  <si>
    <t>10303060B</t>
  </si>
  <si>
    <t>5682 PICOP-RATTAN</t>
  </si>
  <si>
    <t>10303060C</t>
  </si>
  <si>
    <t>ALLOWANCE FOR DOUBTFUL ACCOUNTS-CURRENT</t>
  </si>
  <si>
    <t>202 GENITO, NORMAN</t>
  </si>
  <si>
    <t>540 COROZA, MARIANNE A.</t>
  </si>
  <si>
    <t>578 ALIMON, JOYCE ANNE N.</t>
  </si>
  <si>
    <t>583 BASTIDA, GOLDAMAIR C.</t>
  </si>
  <si>
    <t>8492 S. MEJIA ENTERPRISES</t>
  </si>
  <si>
    <t>8977 JOHN ALBERT E. ENGANO</t>
  </si>
  <si>
    <t>594 ONG, JENE ISRAEL V.</t>
  </si>
  <si>
    <t>595 GILHANG, CZANNIS D.</t>
  </si>
  <si>
    <t>9106 BENJAMIN IRINEO JUDE F. RABUCO III</t>
  </si>
  <si>
    <t>601 AGUELO, MELANIE M.</t>
  </si>
  <si>
    <t>9384 JACQUELYNE S MOVIDA</t>
  </si>
  <si>
    <t>9385 GENEFLOR L. SANTIAGO-LUMBANG</t>
  </si>
  <si>
    <t>9461 ANTONILO D. MAURICIO</t>
  </si>
  <si>
    <t>OFFICE SUPPLIES INVENTORY</t>
  </si>
  <si>
    <t>232 CORPORATE EXPENSE</t>
  </si>
  <si>
    <t>ACCOUNTABLE FORMS, PLATES AND STICKERS INVENTORY</t>
  </si>
  <si>
    <t>INVESTMENT PROPERTY, LAND</t>
  </si>
  <si>
    <t>7034 M.FORTICH/LIBONA, BUKIDNON</t>
  </si>
  <si>
    <t>7035 BUGO DISTRICT, CAGAYAN DE ORO</t>
  </si>
  <si>
    <t>7036 DASMARINAS, CAVITE- DEDC</t>
  </si>
  <si>
    <t>7037 TORIL, DALIAO, DAVAO CITY</t>
  </si>
  <si>
    <t>7040 ISABEL, LEYTE</t>
  </si>
  <si>
    <t>7041 SEN.G.PUYAT AVE., MAKATI CITY</t>
  </si>
  <si>
    <t>7042 TORDESILLAS, SALCEDO VILL., MAKATI CITY</t>
  </si>
  <si>
    <t>7049 LACSON AND RIZAL STS.</t>
  </si>
  <si>
    <t>7051 STO.NINO, BOULEVARD</t>
  </si>
  <si>
    <t>7053 STA. FE, BANTAYAN, CEBU</t>
  </si>
  <si>
    <t>7055 OPON, CEBU</t>
  </si>
  <si>
    <t>7059 AGUINALDO &amp; LUNA STS., ILIGAN CITY</t>
  </si>
  <si>
    <t>7064 KAMAGONG &amp; SAMPALOC STS., MAKATI CITY</t>
  </si>
  <si>
    <t>7065 P.TAMO &amp; DELA ROSA STS., MAKATI CITY</t>
  </si>
  <si>
    <t>7066 BO.BARRANCA, MANDALUYONG</t>
  </si>
  <si>
    <t>7067 PANDACAN, MANILA</t>
  </si>
  <si>
    <t>7071 BO.BAGONG ILOG, PASIG</t>
  </si>
  <si>
    <t>7072 DILIMAN, QUEZON CITY</t>
  </si>
  <si>
    <t>7074 BOS.SNS.ROQUE &amp; RAFAEL, TARLAC</t>
  </si>
  <si>
    <t>7088 ONE DTI BUILDING - MACAPAGAL AVENUE</t>
  </si>
  <si>
    <t>5346 PHILPHOS ASSETS-LIDE</t>
  </si>
  <si>
    <t>7039 LOS BANOS, LAGUNA</t>
  </si>
  <si>
    <t>7043 STA. MESA, MANILA (PUREZA)</t>
  </si>
  <si>
    <t>7046 SUCAT, MUNTINLUPA</t>
  </si>
  <si>
    <t>7052 BO.LANGIHAN, BUTUAN CITY</t>
  </si>
  <si>
    <t>7057 POBLACIO, PARANG, COTABATO</t>
  </si>
  <si>
    <t>7061 SUYONG, ECHAGUE, ISABELA</t>
  </si>
  <si>
    <t>7063 STA. ROSA, LAGUNA</t>
  </si>
  <si>
    <t>7068 SAN ANDRES &amp; E.QUIRINO AVE., MANILA</t>
  </si>
  <si>
    <t>7070 BO.SAN JUAN &amp; STO.NINO, PAMPANGA</t>
  </si>
  <si>
    <t>7075 BALIWASAN, ZAMBOANGA CITY</t>
  </si>
  <si>
    <t>7076 SAN FERNANDO, PAMPANGA</t>
  </si>
  <si>
    <t>7078 MARIVELES, BATAAN</t>
  </si>
  <si>
    <t>7079 HERMOSA, BATAAN</t>
  </si>
  <si>
    <t>7081 TANAY, RIZAL</t>
  </si>
  <si>
    <t>7083 BONGABON, NUEVA ECIJA</t>
  </si>
  <si>
    <t>7087 SAN JOSE, ANTIPOLO CITY</t>
  </si>
  <si>
    <t>8457 MEYCAUAYAN, BULACAN</t>
  </si>
  <si>
    <t>8881 DAO TAGBILARAN BOHOL</t>
  </si>
  <si>
    <t>9146 SAN DIONISIO PARAÃ‘AQUE</t>
  </si>
  <si>
    <t>9147 MACASANDIG, CDO, CAGAYAN DE ORO CITY</t>
  </si>
  <si>
    <t>9148 SAN FRANCISCO DEL MONTE QC</t>
  </si>
  <si>
    <t>9149 SAN ISIDRO ANTIPOLO</t>
  </si>
  <si>
    <t>9150 SAMBAG CEBU</t>
  </si>
  <si>
    <t>9151 BONOT LEGASPI CITY</t>
  </si>
  <si>
    <t>9152 BO BIA- AN MARIVELES BATAAN</t>
  </si>
  <si>
    <t>9154 PORAC PAMPANGA</t>
  </si>
  <si>
    <t>9155 CALATAGAN BATANGAS</t>
  </si>
  <si>
    <t>9156 TALAKAG BUKIDNON</t>
  </si>
  <si>
    <t>9157 SAN ILDEFONSO BULACAN</t>
  </si>
  <si>
    <t>9159 LAGONOY CAMARINES SUR</t>
  </si>
  <si>
    <t>9285 BRGY, PUERTO, CDO</t>
  </si>
  <si>
    <t>9344 PUEBLOCILLO VILLAGE</t>
  </si>
  <si>
    <t>9487 BARANGAY SAN ROQUE, ANTIPOLO CITY</t>
  </si>
  <si>
    <t>9521 Pingag Property</t>
  </si>
  <si>
    <t>8487 INVESTMENT PROPERTY-IND.COMPLEX(BLDG)</t>
  </si>
  <si>
    <t>8488 INVESTMENT PROPERTY-NDC BUILDING</t>
  </si>
  <si>
    <t>8489 INVESTMENT PROPERTY-BOI BUILDING</t>
  </si>
  <si>
    <t>8834 INVESTMENT PROPERTY-MANILA LUXURY CONDO</t>
  </si>
  <si>
    <t>CONSTRUCTION IN PROGRESS - INVESTMENT PROPERTY, BUILDINGS</t>
  </si>
  <si>
    <t>8861 WERR CORPORATION INTERNATIONAL</t>
  </si>
  <si>
    <t>9371 ES JOSEFA CONSTRUCTION</t>
  </si>
  <si>
    <t>9460 NDCIE PROJECT</t>
  </si>
  <si>
    <t>9501 E.S. JOSEFA CONSTRUCTION</t>
  </si>
  <si>
    <t>BUILDINGS</t>
  </si>
  <si>
    <t>ACCUMULATED DEPRECIATION- INFORMATION AND COMMUNICATION TECHNOLOGY EQUIPMENT</t>
  </si>
  <si>
    <t>PRINTING EQUIPMENT</t>
  </si>
  <si>
    <t>ACCUMULATED DEPRECIATION- PRINTING EQUIPMENT</t>
  </si>
  <si>
    <t>ACCUMULATED DEPRECIATION- SPORTS EQUIPMENT</t>
  </si>
  <si>
    <t>8649 GENDER AND DEVELOPMENT (GAD)</t>
  </si>
  <si>
    <t>5283 NATIONAL MARINE CORPORATION</t>
  </si>
  <si>
    <t>9405 AIR CONDITIONING UNIT</t>
  </si>
  <si>
    <t>5087 COMPUTER SOFTWARES</t>
  </si>
  <si>
    <t>19901040A</t>
  </si>
  <si>
    <t>499 DENISE J. MANALANSAN</t>
  </si>
  <si>
    <t>557 PEREZ, RUTH A.</t>
  </si>
  <si>
    <t>9273 MARJORIE JANE L. LODO</t>
  </si>
  <si>
    <t>9360 EMILY T. CARIAGA</t>
  </si>
  <si>
    <t>9529 LEOPOLDO JOHN F. ACOT</t>
  </si>
  <si>
    <t>9565 MARIE GENE CECILLE B. UMALI</t>
  </si>
  <si>
    <t>19901040B</t>
  </si>
  <si>
    <t>CASH ADVANCE RECEIVABLES - OTHERS</t>
  </si>
  <si>
    <t>436 ISIDORO,DOMINADOR R. JR.</t>
  </si>
  <si>
    <t>9539 SALVADOR I. APOSTOL JR.</t>
  </si>
  <si>
    <t>5252 METROPOLITAN CLUB</t>
  </si>
  <si>
    <t>5496 MANILA ELECTRIC COMPANY (MERALCO)</t>
  </si>
  <si>
    <t>8135 INTEGRATIVE LEARNING INT'L. (PHILS), INC</t>
  </si>
  <si>
    <t>8925 P.J. CRUZ CONSTRUCTION AND TRADING</t>
  </si>
  <si>
    <t>9021 THAUMATURGY TRADE PHILS.</t>
  </si>
  <si>
    <t>9431 PALMER-ASIA, INC.</t>
  </si>
  <si>
    <t>5153 GOVERNMENT SERVICE INSURANCE SYSTEM</t>
  </si>
  <si>
    <t>Input Tax</t>
  </si>
  <si>
    <t>Creditable Input Tax</t>
  </si>
  <si>
    <t>Withholding Tax at Source</t>
  </si>
  <si>
    <t>8203 CITY TREASURER-PASAY</t>
  </si>
  <si>
    <t>9112 THE METROPOLITAN CLUB, INC.</t>
  </si>
  <si>
    <t>9132 CITY OF DASMARIÃ‘AS</t>
  </si>
  <si>
    <t>9391 TECSON ORCHIDS CORPORATION</t>
  </si>
  <si>
    <t>9395 MAKATI CENTRAL ESTATE ASSOCIATION, INC.</t>
  </si>
  <si>
    <t>9466 CENTRAL LUZON STATE UNIVERSITY</t>
  </si>
  <si>
    <t>9589 CITY TREASURER - PASIG</t>
  </si>
  <si>
    <t>9107 MAKATI COMMERCIAL ESTATE ASSOCIATION, INC.</t>
  </si>
  <si>
    <t>9125 MERALCO</t>
  </si>
  <si>
    <t>19999990A</t>
  </si>
  <si>
    <t>5664 HOUSING FUND</t>
  </si>
  <si>
    <t>9077 NEECO II AREA 2</t>
  </si>
  <si>
    <t>9662 CYCLION FUNDS</t>
  </si>
  <si>
    <t>19999990B</t>
  </si>
  <si>
    <t>19999990C</t>
  </si>
  <si>
    <t>5084 COAL OPERATING CONTRACT</t>
  </si>
  <si>
    <t>5720 BUREAU OF CUSTOMS</t>
  </si>
  <si>
    <t>19999990D</t>
  </si>
  <si>
    <t>5478 INTL. CORPORATE BANK (ASSETS)</t>
  </si>
  <si>
    <t>8580 FCIE  EXPANSION PROJECT</t>
  </si>
  <si>
    <t>8680 DAVAO FOOD EXCHANGE PROJECT</t>
  </si>
  <si>
    <t>8779 PINGAG PROJECT</t>
  </si>
  <si>
    <t>7077 NASUGBU, BATANGAS</t>
  </si>
  <si>
    <t>7085 GUADALUPE, CEBU CITY</t>
  </si>
  <si>
    <t>9042 NDC ADMINISTRATIVE &amp; COMMERCIAL COMPLEX PROJECT</t>
  </si>
  <si>
    <t>9153 SAN JOSE DEL MONTE BULACAN</t>
  </si>
  <si>
    <t>9158 BALATAAN CAMARINES SUR</t>
  </si>
  <si>
    <t>5122 DOLE PHILIPPINES, INC.</t>
  </si>
  <si>
    <t>5757 BTR- AA BONDS 3RD TRANCHE</t>
  </si>
  <si>
    <t>5759 BTR - AA BONDS 2ND TRANCHE</t>
  </si>
  <si>
    <t>5760 BTR-AA BONDS 4TH TRANCHE</t>
  </si>
  <si>
    <t>LOANS PAYABLE- DOMESTIC</t>
  </si>
  <si>
    <t>9193 BTR GUARANTEE FEE</t>
  </si>
  <si>
    <t>DUE TO BIR</t>
  </si>
  <si>
    <t>8946 GSIS - LIFE AND RETIREMENT PREMIUM</t>
  </si>
  <si>
    <t>8950 GSIS - OTHERS</t>
  </si>
  <si>
    <t>8952 GSIS - COLLEGE EDUCATION ASSURANCE PLAN</t>
  </si>
  <si>
    <t>5354 PHIL. HEALTH INSURANCE CORP.</t>
  </si>
  <si>
    <t>8953 HDMF - PAG-IBIG PREMIUM</t>
  </si>
  <si>
    <t>8954 HDMF - PAG-IBIG ALL PURPOSE LOAN</t>
  </si>
  <si>
    <t>9281 HDMF - PAG-IBIG HOUSING LOAN</t>
  </si>
  <si>
    <t>9496 HDMF - CALAMITY LOAN</t>
  </si>
  <si>
    <t>20401010A</t>
  </si>
  <si>
    <t>5345 PHILIPPINE PACKING CORPORATION</t>
  </si>
  <si>
    <t>8159 DAVID WUSON</t>
  </si>
  <si>
    <t>8407 COFFEL AIRE INDUSTRIES, INC.</t>
  </si>
  <si>
    <t>8929 INNOVALITE INC</t>
  </si>
  <si>
    <t>8965 ENERGYLINK COMMERCIAL</t>
  </si>
  <si>
    <t>8958 TERAVERA CORPORATION</t>
  </si>
  <si>
    <t>9116 COFFEL AIRE INDUSTRIES INCORPORATED</t>
  </si>
  <si>
    <t>9136 INTERNATIONAL ELEVATOR &amp; EQUIPMENT, INC.</t>
  </si>
  <si>
    <t>9282 BAC-BIDS &amp; AWARDS COMMITTEE</t>
  </si>
  <si>
    <t>9448 DAYBEN REFRIGERATION &amp; AIRCONDITIONING SERVICES</t>
  </si>
  <si>
    <t>9492 OEM IND'L PARTS &amp; CONSTRUCTION SERVICES CORP.</t>
  </si>
  <si>
    <t>9571 MALTG CONSTRUCTION</t>
  </si>
  <si>
    <t>20401010B</t>
  </si>
  <si>
    <t>5435 DJT MEGA INDUSTRIAL CORPORATION</t>
  </si>
  <si>
    <t>GUARANTY/SECURITY DEPOSITS PAYABLE</t>
  </si>
  <si>
    <t>20401040A</t>
  </si>
  <si>
    <t>8348 VALUE METRICS, INC.</t>
  </si>
  <si>
    <t>8386 TOPCONSULT, INC.</t>
  </si>
  <si>
    <t>8450 FJMDC GENERAL MERCHANDISE</t>
  </si>
  <si>
    <t>9298 AUDIO 4 DESIGN N TECHNOLOGY CORP.</t>
  </si>
  <si>
    <t>9314 AVISO VALUATION &amp; ADVISORY CORP.</t>
  </si>
  <si>
    <t>9315 KADENCE INTERNATIONAL BUSINESS RESEARCH, INC.</t>
  </si>
  <si>
    <t>9361 GIBMA ENGINEERING SERVICES</t>
  </si>
  <si>
    <t>9382 JI JAVATE ENTERPRISE</t>
  </si>
  <si>
    <t>9424 TOPPERS PERFORMER APPRAISAL, INC.</t>
  </si>
  <si>
    <t>9432 COMMONWEALTH INSURANCE COMPANY</t>
  </si>
  <si>
    <t>9472 PSY SYSTEMS &amp; INNOVATIONS, OPC</t>
  </si>
  <si>
    <t>9534 UBUNTU PREMIUM STUDIOS, INC.</t>
  </si>
  <si>
    <t>9547 MONEYTREE PUBLISHING CORP.</t>
  </si>
  <si>
    <t>20401040B</t>
  </si>
  <si>
    <t>5137 FIRESTONE CERAMICS</t>
  </si>
  <si>
    <t>5151 GOLDEN HORIZON REALTY COMPANY</t>
  </si>
  <si>
    <t>8416 FIRST CAVITE INDUSTRIAL ESTATE ASSOC INC</t>
  </si>
  <si>
    <t>8659 REDAMA GIL, Q.</t>
  </si>
  <si>
    <t>9413 CONCRETE RESTORATION AND REPAIR TECHNOLOGY, INC.</t>
  </si>
  <si>
    <t>9591 ACCIONA- DMCI SCRP02 JV</t>
  </si>
  <si>
    <t>Output Tax</t>
  </si>
  <si>
    <t>5086 COMMISSION ON AUDIT</t>
  </si>
  <si>
    <t>OTHER DEFERRED CREDITS</t>
  </si>
  <si>
    <t>5110 DEL MONTE PHILIPPINES, INC</t>
  </si>
  <si>
    <t>8846 CHU, RAFAEL</t>
  </si>
  <si>
    <t>8857 CUZ VENTURE INC</t>
  </si>
  <si>
    <t>8973 NDC EMPLOYEES</t>
  </si>
  <si>
    <t>8157 STA. INES MALALE</t>
  </si>
  <si>
    <t>20901010A</t>
  </si>
  <si>
    <t>8998 DEFERRED TAX LIABILITY</t>
  </si>
  <si>
    <t>20901010B</t>
  </si>
  <si>
    <t>OTHER PAYABLES</t>
  </si>
  <si>
    <t>29999990A</t>
  </si>
  <si>
    <t>529 TAGULINAO,FRUMENCIO</t>
  </si>
  <si>
    <t>5241 OFFICE OF THE GOVT. CORP. COUNSEL</t>
  </si>
  <si>
    <t>5458 U-BIX CORPORATION</t>
  </si>
  <si>
    <t>5756 LIFEGUARD DETECTIVE AND SECURITY AGENCY</t>
  </si>
  <si>
    <t>8227 LCH PHILIPPINES,INC.</t>
  </si>
  <si>
    <t>8819 ABIERA, LIZA H.</t>
  </si>
  <si>
    <t>8888 MISCELLANEOUS</t>
  </si>
  <si>
    <t>218 OPERATIONS GROUP</t>
  </si>
  <si>
    <t>220 OFFICE OF THE GENERAL MANAGER</t>
  </si>
  <si>
    <t>250 REYES, MARITA R.</t>
  </si>
  <si>
    <t>545 BERMIDO, ALDWIN Q.</t>
  </si>
  <si>
    <t>568 ZARZUELA, ROSELITO</t>
  </si>
  <si>
    <t>588 WITTY, STEPHEN B.</t>
  </si>
  <si>
    <t>5143 FUJITEC, INC</t>
  </si>
  <si>
    <t>5172 INSTITUTE OF INTERNAL AUDITORS</t>
  </si>
  <si>
    <t>5742 SOUND DEVELOPMENT CORPORATION</t>
  </si>
  <si>
    <t>8150 HTSM ULTRA PI WATER REFILLING STATION</t>
  </si>
  <si>
    <t>8179 LANE ARCHIVE TECHNOLOGIES CORP.</t>
  </si>
  <si>
    <t>8224 BEL-AIR VILLAGE ASSOCIATION,INC.</t>
  </si>
  <si>
    <t>8341 POWER HOUSE PEST CONTROL SERVICES</t>
  </si>
  <si>
    <t>8485 COFFEL AIRE INDUSTRIES INC</t>
  </si>
  <si>
    <t>8559 FIRE SOLUTIONS,INC</t>
  </si>
  <si>
    <t>8608 JEMAR ARICONDITIONING &amp; REF SERVICES</t>
  </si>
  <si>
    <t>8735 TIERODMAN AUTO CENTER,INC.</t>
  </si>
  <si>
    <t>8743 TOYOTA PASONG TAMO, INC</t>
  </si>
  <si>
    <t>8801 ENERGY MANPOWER SERVICES INC</t>
  </si>
  <si>
    <t>8911 VIBAL GROUP INC</t>
  </si>
  <si>
    <t>8921 TYREMART INC.</t>
  </si>
  <si>
    <t>8959 CLASSIC ENTERPRISES</t>
  </si>
  <si>
    <t>8972 ECOSHIFT CORPORATION</t>
  </si>
  <si>
    <t>8996 JT MAX POWER EQUIPMENT CORPORATION</t>
  </si>
  <si>
    <t>8997 ETHANELI PRINTS - COATING AND WATERPROOFING SERVICES</t>
  </si>
  <si>
    <t>9000 DACRISDEEK ENTERPRISES</t>
  </si>
  <si>
    <t>9012 ANCHOR HUMAN RESOURCES DEVELOPMENT CORP.</t>
  </si>
  <si>
    <t>9015 RUEL B. RAMIREZ AND ASSOCIATES</t>
  </si>
  <si>
    <t>9022 T.A.M. PLANNERS CO.</t>
  </si>
  <si>
    <t>9037 DCEQ CONSTRUCTION</t>
  </si>
  <si>
    <t>9108 LIFEGUARD ARCHANGELS SECURITY AGENCY CORPORATION</t>
  </si>
  <si>
    <t>9114 WORLD SOLUTION TECHNOLOGY, INC.</t>
  </si>
  <si>
    <t>9115 GLOBE TELECOM, INC.</t>
  </si>
  <si>
    <t>9123 MANILA GOLF &amp; COUNTRY CLUB INC.</t>
  </si>
  <si>
    <t>9124 MAKATI (SPORTS) CLUB, INC.</t>
  </si>
  <si>
    <t>9130 PLDT, INC.</t>
  </si>
  <si>
    <t>9135 PILIPINAS SHELL PETROLEUM CORP.</t>
  </si>
  <si>
    <t>9140 TECSON ORCHIDS CORP</t>
  </si>
  <si>
    <t>9197 FRINGE BENEFIT TAX</t>
  </si>
  <si>
    <t>9198 MIDYEAR AND YEAR END BONUS</t>
  </si>
  <si>
    <t>9201 TOP CONSULT, INC.</t>
  </si>
  <si>
    <t>9256 RLAINEBREEZEAIRE REF AND AIRCON SERVICE</t>
  </si>
  <si>
    <t>2265 JODANS ENGINEERING</t>
  </si>
  <si>
    <t>9290 JAZ GRILLHOUSE &amp; CATERING SERVICES</t>
  </si>
  <si>
    <t>9297 IDEAMAX DESIGN INC.</t>
  </si>
  <si>
    <t>9316 MPSP PLUMBING SERVICES</t>
  </si>
  <si>
    <t>9337 WILLIAM V. OLARTE</t>
  </si>
  <si>
    <t>9357 DCEQ HARDWARE TOOLS AND EQUIPMENT TRADING</t>
  </si>
  <si>
    <t>9372 ALEGRIA A. OCHAVO</t>
  </si>
  <si>
    <t>9392 JEMAR AIRCONDITIONING &amp; REFRIGERATION SERVICES</t>
  </si>
  <si>
    <t>9409 ST. PIUS CONSTRUCTION AND SUPPLY</t>
  </si>
  <si>
    <t>9420 INTEGRATED AUTOMOTIVE SERVICES, INC.</t>
  </si>
  <si>
    <t>9423 JAMINA C. CALIGAN</t>
  </si>
  <si>
    <t>9434 EZEKIEL L. CEFRE</t>
  </si>
  <si>
    <t>9446 PHLIPPINE ASSOCIATION OF CORPORATE STATE AUDITORS, INC.</t>
  </si>
  <si>
    <t>9464 RAMON MANUEL M. DUAYAN</t>
  </si>
  <si>
    <t>9465 CHRISTINE JOY M. LLAGAS</t>
  </si>
  <si>
    <t>9473 RAYMOND J. PERIABRAS</t>
  </si>
  <si>
    <t>9474 PEOPLE DYNAMICS, INC.</t>
  </si>
  <si>
    <t>9475 JUFEM TRADING CORPORATION</t>
  </si>
  <si>
    <t>9481 NASSER USMAN</t>
  </si>
  <si>
    <t>9497 JOYCE ANN S. AZURIN</t>
  </si>
  <si>
    <t>9500 CENTRAL BUSINESS PARK 1-ISLAND A ASSOCIATION, INC.</t>
  </si>
  <si>
    <t>9515 TECHSOLVE SYSTEMS SOLUTIONS INC.</t>
  </si>
  <si>
    <t>9518 GRANT PERIE T. TAN</t>
  </si>
  <si>
    <t>9519 ANTONILO D C MAURICIO</t>
  </si>
  <si>
    <t>9520 PSY SYSTEMS AND INNOVATIONS, OPC</t>
  </si>
  <si>
    <t>9522 JUNREY S. ROYO</t>
  </si>
  <si>
    <t>9536 JERAHMEEL FANDRALL B. CHEN</t>
  </si>
  <si>
    <t>9543 AUGUSTINE RAPHAEL U. ABRAGAN</t>
  </si>
  <si>
    <t>9568 SHELL PILIPINAS PETROLEUM</t>
  </si>
  <si>
    <t>9573 ARRA D. ALTAVANO</t>
  </si>
  <si>
    <t>9575 SZARINA LOUISE C. OSTREA</t>
  </si>
  <si>
    <t>9576 MARIA APRIL LORELEI ANNA T. WYCOCO</t>
  </si>
  <si>
    <t>9577 MARTEE GABRIEL DC. CASTRO</t>
  </si>
  <si>
    <t>9600 SHANGRILA C. QUEZON</t>
  </si>
  <si>
    <t>9625 GENCOOL MECHANICAL SERVICES</t>
  </si>
  <si>
    <t>29999990B</t>
  </si>
  <si>
    <t>410 IMPERIAL, LEMUEL D.</t>
  </si>
  <si>
    <t>435 MERCADO,CHRISTINE</t>
  </si>
  <si>
    <t>492 PEREZ, MARITES</t>
  </si>
  <si>
    <t>497 GRECIA, RANDY R.</t>
  </si>
  <si>
    <t>498 MARIA EMMANUELLE S. BURGOS</t>
  </si>
  <si>
    <t>517 RONNIE P.REZ</t>
  </si>
  <si>
    <t>586 BELEN, JESUS L.</t>
  </si>
  <si>
    <t>602 IGTANLOC, MICHAEL JOHN C.</t>
  </si>
  <si>
    <t>9545 PROVIDENT FUND - EMPLOYER SHARE</t>
  </si>
  <si>
    <t>9546 PROVIDENT FUND - EMPLOYEE SHARE</t>
  </si>
  <si>
    <t>5388 REPUBLIC OF THE PHILIPPINES</t>
  </si>
  <si>
    <t>CONTRIBUTED CAPITAL</t>
  </si>
  <si>
    <t>8955 TRUST FUND</t>
  </si>
  <si>
    <t>8956 RETAINED EARNINGS, BEGINNING</t>
  </si>
  <si>
    <t>8957 PRIOR PERIOD ADJUSTMENTS</t>
  </si>
  <si>
    <t>22 BATILLER, JOSEPHINE A.</t>
  </si>
  <si>
    <t>563 REA, ROWENA R.</t>
  </si>
  <si>
    <t>5118 DHL PHILIPPINES, CORPORATION</t>
  </si>
  <si>
    <t>8134 INT'L. ELEVATOR &amp; EQUIPMENT, INC.</t>
  </si>
  <si>
    <t>8170 TECSON FLOWER SHOP</t>
  </si>
  <si>
    <t>8187 TRONCALES,JERICHO JOSEPH R.</t>
  </si>
  <si>
    <t>8387 INSTITUTE FOR SOLIDARITY IN ASIA, INC.</t>
  </si>
  <si>
    <t>8471 PRUDENCE MERCHANDISING,INC</t>
  </si>
  <si>
    <t>8713 VILLANUEVA JOHN V.</t>
  </si>
  <si>
    <t>8827 CITY TREASURER OF LEGASPI</t>
  </si>
  <si>
    <t>8851 RAGS ENTERPRISES</t>
  </si>
  <si>
    <t>8910 OPTIMAX SOLUTIONS SYSTEMS INC</t>
  </si>
  <si>
    <t>8926 QUALIPRINT, INC.</t>
  </si>
  <si>
    <t>8947 GSIS - OPTIONAL INSURANCE PREMIUM</t>
  </si>
  <si>
    <t>8948 GSIS - SALARY LOANS INSTALLMENT</t>
  </si>
  <si>
    <t>8951 GSIS - GENESIS PLANS</t>
  </si>
  <si>
    <t>8986 SHARE IN PPA OF AFFILIATE</t>
  </si>
  <si>
    <t>9025 INFINITE ENTERPRISES</t>
  </si>
  <si>
    <t>9206 ASIAN APPRAISAL COMPANY INC.</t>
  </si>
  <si>
    <t>9323 EARL VIC B. HURNA</t>
  </si>
  <si>
    <t>9555 ALTA PRODUCTIONS GROUP, INC.</t>
  </si>
  <si>
    <t>9579 INNOVATION HUB</t>
  </si>
  <si>
    <t>DIVIDEND INCOME</t>
  </si>
  <si>
    <t>40202200A</t>
  </si>
  <si>
    <t>40202200B</t>
  </si>
  <si>
    <t>INTEREST INCOME</t>
  </si>
  <si>
    <t>40202210A</t>
  </si>
  <si>
    <t>40202210B</t>
  </si>
  <si>
    <t>40202210C</t>
  </si>
  <si>
    <t>40202210D</t>
  </si>
  <si>
    <t>8811 DEARBC</t>
  </si>
  <si>
    <t>8788 NEW UNITED PLUMBING</t>
  </si>
  <si>
    <t>SHARE IN PROFIT/REVENUE OF JOINT VENTURE</t>
  </si>
  <si>
    <t>GAIN ON SALE OF INVESTMENT PROPERTY</t>
  </si>
  <si>
    <t>UNREALIZED GAIN- OCI</t>
  </si>
  <si>
    <t>GAIN FROM CHANGES IN FAIR VALUE OF INVESTMENT PROPERTY</t>
  </si>
  <si>
    <t>8344 MULTICOLOR COMPUTER HAUS</t>
  </si>
  <si>
    <t>8922 G7 MULTICOLOR</t>
  </si>
  <si>
    <t>8923 CARPEL ENVIRONMENT CORP</t>
  </si>
  <si>
    <t>518 DUGAYON ROMMEL</t>
  </si>
  <si>
    <t>8523 AGIA</t>
  </si>
  <si>
    <t>9032 CHRISTOPER   LUNA</t>
  </si>
  <si>
    <t>9179 NIKKO YSON</t>
  </si>
  <si>
    <t>9400 JOSE TABON</t>
  </si>
  <si>
    <t>9401 ROSITA TABON</t>
  </si>
  <si>
    <t>9479 AS CODY JUNKSHOP</t>
  </si>
  <si>
    <t>9533 CARPEL ENVIRONMENT CORPORATION</t>
  </si>
  <si>
    <t>9537 RDA JUNKSHOP</t>
  </si>
  <si>
    <t>9550 LOUIE JUNK SHOP</t>
  </si>
  <si>
    <t>9564 EMARRY JUNKSHOP</t>
  </si>
  <si>
    <t>9582 JUNO JUNK SHOP</t>
  </si>
  <si>
    <t>221 LEGAL DEPARTMENT</t>
  </si>
  <si>
    <t>231 CORPORATE SERVICES GROUP</t>
  </si>
  <si>
    <t>227 CORPORATE PLANNING DEPARTMENT</t>
  </si>
  <si>
    <t>228 ASSET MANAGEMENT GROUP</t>
  </si>
  <si>
    <t>9509 INVESTMENTS GROUP</t>
  </si>
  <si>
    <t>9527 Corporate Communication Group</t>
  </si>
  <si>
    <t>9551 FUNDS MANAGEMENT GROUP</t>
  </si>
  <si>
    <t>SALARIES AND WAGES-CASUAL/CONTRACTUAL</t>
  </si>
  <si>
    <t>9131 INTERNAL AUDIT DEPARTMENT</t>
  </si>
  <si>
    <t>9530 BUSINESS DEVELOPMENT GROUP</t>
  </si>
  <si>
    <t>9531 COMMUNICATIONS GROUP</t>
  </si>
  <si>
    <t>219 OFFICE OF THE CHAIRMAN</t>
  </si>
  <si>
    <t>TERMINAL LEAVE BENEFITS</t>
  </si>
  <si>
    <t>9558 GLOVAX BIOTECH CORP.</t>
  </si>
  <si>
    <t>9559 KACIFIC</t>
  </si>
  <si>
    <t>8193 NDC ISO CERT. PROJ.</t>
  </si>
  <si>
    <t>9289 FUND MANAGEMENT GROUP</t>
  </si>
  <si>
    <t>CABLE, SATELLITE, TELEGRAPH AND RADIO EXPENSES</t>
  </si>
  <si>
    <t>EXTRAORDINARY AND MISCELLANEOUS EXPENSES</t>
  </si>
  <si>
    <t>50210030A</t>
  </si>
  <si>
    <t>50210030B</t>
  </si>
  <si>
    <t>9561 YACHIYO ENGINEERING CO., LTD.</t>
  </si>
  <si>
    <t>50210030C</t>
  </si>
  <si>
    <t>9590 SOLX TECHNOLOGIES INC.</t>
  </si>
  <si>
    <t>50210030D</t>
  </si>
  <si>
    <t>OTHER PROFESSIONAL SERVICES</t>
  </si>
  <si>
    <t>OTHER GENERAL SERVICES</t>
  </si>
  <si>
    <t>50212990A</t>
  </si>
  <si>
    <t>9232 BENITO L. ONG</t>
  </si>
  <si>
    <t>50212990B</t>
  </si>
  <si>
    <t>REPAIRS AND MAINTENANCE - MACHINERY AND EQUIPMENT</t>
  </si>
  <si>
    <t>REPAIRS AND MAINTENANCE-TRANSPORTATION EQUIPMENT</t>
  </si>
  <si>
    <t>50213060A</t>
  </si>
  <si>
    <t>50213060B</t>
  </si>
  <si>
    <t>50213060C</t>
  </si>
  <si>
    <t>R &amp; M - MOTOR VEHICLES - GASOLINE AND OIL</t>
  </si>
  <si>
    <t>TAXES, DUTIES AND LICENSES</t>
  </si>
  <si>
    <t>50215010A</t>
  </si>
  <si>
    <t>50215010B</t>
  </si>
  <si>
    <t>50215010C</t>
  </si>
  <si>
    <t>50215010D</t>
  </si>
  <si>
    <t>50215010E</t>
  </si>
  <si>
    <t>50215010F</t>
  </si>
  <si>
    <t>50215030A</t>
  </si>
  <si>
    <t>50215030B</t>
  </si>
  <si>
    <t>REPRESENTATION EXPENSES</t>
  </si>
  <si>
    <t>RENT/LEASE EXPENSES</t>
  </si>
  <si>
    <t>50299050A</t>
  </si>
  <si>
    <t>RENTALS - WAREHOUSE</t>
  </si>
  <si>
    <t>50299050B</t>
  </si>
  <si>
    <t>OTHER MAINTENANCE &amp; OPERATING EXPENSES</t>
  </si>
  <si>
    <t>DEPRECIATION-INVESTMENT PROPERTY</t>
  </si>
  <si>
    <t>DEPRECIATION-FURNITURES, FIXTURES AND BOOKS</t>
  </si>
  <si>
    <t>IMPAIRMENT LOSS-INVESTMENTS IN SUBSIDIARIES</t>
  </si>
  <si>
    <t>LOSS FROM CHANGES IN FAIR VALUE OF INVESTMENT PROPERTY</t>
  </si>
  <si>
    <t>CASH IN BANK- LOCAL AND FOREIGN CURRENCY</t>
  </si>
  <si>
    <t>REMARKS</t>
  </si>
  <si>
    <t>VARIANCE</t>
  </si>
  <si>
    <t>MMP - 90 days or less</t>
  </si>
  <si>
    <t>reclass of account - SFV funds - P500M restricted</t>
  </si>
  <si>
    <t>additional placement</t>
  </si>
  <si>
    <t>increase in interest MMP and GYREI</t>
  </si>
  <si>
    <t>rentals</t>
  </si>
  <si>
    <t>reclass of HL &amp; CL from Long term to Current</t>
  </si>
  <si>
    <t xml:space="preserve">office supplies </t>
  </si>
  <si>
    <t>RPT New San jose -P1.8M , Philphos - P4.2M, LMC -P3.06M</t>
  </si>
  <si>
    <t>ADVANCES TO CONTRACTORS (thaumaturgy account in 2023)</t>
  </si>
  <si>
    <t>cash advances</t>
  </si>
  <si>
    <t xml:space="preserve">ADVANCES TO OFFICERS AND EMPLOYEES  </t>
  </si>
  <si>
    <t xml:space="preserve">thaumaturgy account in 2023 </t>
  </si>
  <si>
    <t xml:space="preserve">Prepaid insurance - GSIS </t>
  </si>
  <si>
    <t>input tax from purchases</t>
  </si>
  <si>
    <t>final vat - 5% sales to govt</t>
  </si>
  <si>
    <t>withholding tax from lease /sales</t>
  </si>
  <si>
    <t>provision for allowance for 2023</t>
  </si>
  <si>
    <t>RPT for Macapagal property</t>
  </si>
  <si>
    <t>restricted fund for SVF- P500M and Cyclion -P150M</t>
  </si>
  <si>
    <t>adjustment  share from rizal hydro</t>
  </si>
  <si>
    <t>MMP placement</t>
  </si>
  <si>
    <t>maturity of MMP, funding for Davao biotech - P40M</t>
  </si>
  <si>
    <t>adjsutment of FMV for the year for club shares</t>
  </si>
  <si>
    <t>adjustment of account under equity (LMC,ASDI,MECI and PMDC)</t>
  </si>
  <si>
    <t xml:space="preserve">investment with at least 50% ownership </t>
  </si>
  <si>
    <t>BLCI, GYREI, KRC and PRC</t>
  </si>
  <si>
    <t>Investment in equity instruments (less than20%)</t>
  </si>
  <si>
    <t>ABF, SPPI, Asean Potash and NSC)</t>
  </si>
  <si>
    <t>payment of Housing loan</t>
  </si>
  <si>
    <t>payment of Car loan</t>
  </si>
  <si>
    <t xml:space="preserve">Share Capital     </t>
  </si>
  <si>
    <t xml:space="preserve">Retained Earnings       </t>
  </si>
  <si>
    <t xml:space="preserve">Net income </t>
  </si>
  <si>
    <t>Balances, January 1, 2024, as restated</t>
  </si>
  <si>
    <t>COST</t>
  </si>
  <si>
    <t>1210111C INVESTMENT IN ASSOCIATES</t>
  </si>
  <si>
    <t>LESS: ALLOWANCE FOR IMPAIRMENT  (10206013)</t>
  </si>
  <si>
    <t>1206010C - GOCC - EQUITY</t>
  </si>
  <si>
    <t>10210010 INVESTMENT IN SUBSIDIARIES</t>
  </si>
  <si>
    <t>LESS: ALLOWANCE FOR IMPAIRMENT  (10206012)</t>
  </si>
  <si>
    <t>1020111A AVAILABLE FOR SALE SECURITIES</t>
  </si>
  <si>
    <t>LESS: ALLOWANCE FOR IMPAIRMENT  (10206014)</t>
  </si>
  <si>
    <t>LESS: ALLOWANCE FOR IMPAIRMENT  (10299991)</t>
  </si>
  <si>
    <t>E.</t>
  </si>
  <si>
    <t>INVESTMENT - FVOCI</t>
  </si>
  <si>
    <t>10210111D INVESTMENT - FVOCI</t>
  </si>
  <si>
    <t>PHILIPPINE COLUMBIAN ASSOC-NTFC</t>
  </si>
  <si>
    <t>DAVAO THERMO BIOTECH CORPORATION</t>
  </si>
  <si>
    <t>MANILA HEALTHTEK INC.</t>
  </si>
  <si>
    <t>SCHEDULE OF RECEIVABLES</t>
  </si>
  <si>
    <t>RENTAL RECEIVABLES (10301010B)</t>
  </si>
  <si>
    <t>ALLOWANCES</t>
  </si>
  <si>
    <t>BOARD OF INVESTMENT</t>
  </si>
  <si>
    <t>BOARD OF LIQUIDATORS</t>
  </si>
  <si>
    <t>CAYETANO LAW OFFICE</t>
  </si>
  <si>
    <t>DEPARTMENT OF TRADE &amp; INDUSTRY</t>
  </si>
  <si>
    <t>BAYANTEL</t>
  </si>
  <si>
    <t>INNOVE COMMUNICATIONS</t>
  </si>
  <si>
    <t>LEPANTO MINING CORPORATION</t>
  </si>
  <si>
    <t>MANILA PEST CONTROL</t>
  </si>
  <si>
    <t>PHIL. ASSD. SMELTING &amp; REFINING CORP.</t>
  </si>
  <si>
    <t>SWEET LINES INC.</t>
  </si>
  <si>
    <t>SANKO SYSTEMS SERVICES, INC.</t>
  </si>
  <si>
    <t>AL AMANAH ISLAMIC BANK OF THE PHILS.</t>
  </si>
  <si>
    <t>SENATE OF THE PHILIPPINES</t>
  </si>
  <si>
    <t>FRANCISCO, MERLANDO G.</t>
  </si>
  <si>
    <t>PANAY RAILWAYS, INC.</t>
  </si>
  <si>
    <t>SCORPIO CABLE VISION</t>
  </si>
  <si>
    <t>DTI/HITR</t>
  </si>
  <si>
    <t>SPECTRUM ENGINEERING &amp; CONSULTANCY</t>
  </si>
  <si>
    <t>SAMPAGUITA TRAVEL CORP.</t>
  </si>
  <si>
    <t>TRAVELTIPID. COM</t>
  </si>
  <si>
    <t>PACITA U. JUAN</t>
  </si>
  <si>
    <t>PHILIPPINE COFFEE BOARD</t>
  </si>
  <si>
    <t>CLEANAWAY PHILIPPINES INC.(CLEANWAY TECH</t>
  </si>
  <si>
    <t>ECOBAY PROPERTY MANAGEMENT, INC.</t>
  </si>
  <si>
    <t>SANTEC PLANT CONTROLS, INC.</t>
  </si>
  <si>
    <t>ROMEO B. NAGUIT</t>
  </si>
  <si>
    <t>MUNICIPALITY OF ISABEL LEYTE</t>
  </si>
  <si>
    <t>RENATO V. DIAZ</t>
  </si>
  <si>
    <t>PEPOT DISENYO FURNITURE SHOP &amp; TRADING</t>
  </si>
  <si>
    <t>HK IMPERIAL AWARD MININGS(PHILS)INC.</t>
  </si>
  <si>
    <t>GOVERNANCE COMMISSION FOR GOCC</t>
  </si>
  <si>
    <t>EARTH LIFE STORE SUPPLY,INC.</t>
  </si>
  <si>
    <t>RP MAPALLA INC</t>
  </si>
  <si>
    <t>PHILPHOS - WHARF</t>
  </si>
  <si>
    <t>PETRON</t>
  </si>
  <si>
    <t>SMART COMMUNICATIONS, INC.</t>
  </si>
  <si>
    <t>TRITAN MARKETING &amp; DEVELOPMENT CORP.</t>
  </si>
  <si>
    <t>ORANGE FUEL</t>
  </si>
  <si>
    <t>F.A.G. MACHINE SHOP &amp; SERVICES CO.</t>
  </si>
  <si>
    <t>BANK OF THE PHILIPPINE ISLANDS (BPI)</t>
  </si>
  <si>
    <t>SAN MIGUEL YAMAMURA PACKAGING CORP.</t>
  </si>
  <si>
    <t>CONTAINER BRIDGE PHILIPPINES, INC</t>
  </si>
  <si>
    <t>PAJ RESTAURANT GROUP CORPORATION</t>
  </si>
  <si>
    <t>DYNAMIC LADIES TOWARDS PROGRESS INC</t>
  </si>
  <si>
    <t>FASTFORWARD MR CORPORATION</t>
  </si>
  <si>
    <t>BLACK PEARL MEDIA INC</t>
  </si>
  <si>
    <t>SAN MIGUEL MILLS INC</t>
  </si>
  <si>
    <t>FELMAR JUNIFER T. PICAR</t>
  </si>
  <si>
    <t>ECHOSI FOUNDATION, INC.</t>
  </si>
  <si>
    <t>VALLEY SOUTH MOTOR WORKS</t>
  </si>
  <si>
    <t>ISABEL ANCILLARY SERVICES CO LTD</t>
  </si>
  <si>
    <t>GOBOCREATIVE INC.</t>
  </si>
  <si>
    <t>D.M. CONSUNJI INC</t>
  </si>
  <si>
    <t>EAC.NET INTERNET SHOP</t>
  </si>
  <si>
    <t>ANG TUPA EQUIPMENT RENTAL</t>
  </si>
  <si>
    <t>PASAR 2</t>
  </si>
  <si>
    <t>GOODTHINKING RESEARCH, INC.</t>
  </si>
  <si>
    <t>R and I Enterprises</t>
  </si>
  <si>
    <t>ESGUERRA, MAPPALA AND ASSOCIATES, INC.</t>
  </si>
  <si>
    <t>MILLENIUM ERECTORS CORPORATION</t>
  </si>
  <si>
    <t>DESCORP INC.</t>
  </si>
  <si>
    <t>LE CAFE FILIPINA ENTERPRISES, INC. (LCFEI)</t>
  </si>
  <si>
    <t>GARCIA QUIJANO &amp; ASSOCIATES LAW OFFICE</t>
  </si>
  <si>
    <t>GOBOCREATIVE 2</t>
  </si>
  <si>
    <t>URIT LTD. CORP.</t>
  </si>
  <si>
    <t>ISABEL ANCILLARY 2</t>
  </si>
  <si>
    <t>TEAMO RESTO BAR</t>
  </si>
  <si>
    <t>TBG SHARED SERVICES, INC.</t>
  </si>
  <si>
    <t>ESGUERRA, MAPPALA AND ASSOCIATES, INC.,</t>
  </si>
  <si>
    <t>SUPC CONSTRUCTION CORPORATION</t>
  </si>
  <si>
    <t>DUMDUMA CONSTRUCTION &amp; TRADING CORPORATION</t>
  </si>
  <si>
    <t>HK IMPERIAL AWARDS MININGS (PHILS) INC._NEW</t>
  </si>
  <si>
    <t>MANAGEMENT FEE RECEIVABLES (10301010C)</t>
  </si>
  <si>
    <t>OTHER INCOME RECEIVABLES (10301010D)</t>
  </si>
  <si>
    <t>ALLOWANCES - OTHER NON INCOME (10301011A)</t>
  </si>
  <si>
    <t>BUREAU OF TREASURY</t>
  </si>
  <si>
    <t>DEPARTMENT OF AGRARIAN REFORM</t>
  </si>
  <si>
    <t>DBP SERVICE CORPORATION</t>
  </si>
  <si>
    <t>NEW SAN JOSE BUILDERS</t>
  </si>
  <si>
    <t>breakdown</t>
  </si>
  <si>
    <t>PHILPHOS - LIDE</t>
  </si>
  <si>
    <t>MW RIZAL HYDROPOWER PROJECT</t>
  </si>
  <si>
    <t>LIDE INDUSTRIAL DEV'T ESTATE LEARNING</t>
  </si>
  <si>
    <t>BNC CONSTRUCTION AND REPAIR SERVICES</t>
  </si>
  <si>
    <t>RIZAL HYDRO JV</t>
  </si>
  <si>
    <t>OTHER NON-INCOME REC-CURRENT (10301010E)</t>
  </si>
  <si>
    <t>BALDADO, MOISES A.</t>
  </si>
  <si>
    <t>CALLO, SANTIAGO</t>
  </si>
  <si>
    <t>DE LEON, FELY C.</t>
  </si>
  <si>
    <t>OCANA, EVELYN  D.</t>
  </si>
  <si>
    <t>RAMBANO, FE G.</t>
  </si>
  <si>
    <t>LOPEZ, CONSUELO R.</t>
  </si>
  <si>
    <t>OMOLI, MANUELA</t>
  </si>
  <si>
    <t>ISNANI, ANGELICA ISABEL</t>
  </si>
  <si>
    <t>TA-ALA, LETICIA CABANTOG</t>
  </si>
  <si>
    <t>LOMOTAN, FELICITAS</t>
  </si>
  <si>
    <t>VILLENA, ANTHONY</t>
  </si>
  <si>
    <t>YAP, RAMON R.</t>
  </si>
  <si>
    <t>BILOLO, MELIZANDRA B.</t>
  </si>
  <si>
    <t>CONCEPCION, VIRGINIA NADONGA</t>
  </si>
  <si>
    <t>ORDILLANO, IRISH G.</t>
  </si>
  <si>
    <t>ARMONIO, JAIME MANUEL</t>
  </si>
  <si>
    <t>DACANAY, EMMANUEL E.</t>
  </si>
  <si>
    <t>PUNTERO, FERNANDO</t>
  </si>
  <si>
    <t>BEJER, JERRY</t>
  </si>
  <si>
    <t>TEH, RONILDA</t>
  </si>
  <si>
    <t>GURAY, ROSARIO</t>
  </si>
  <si>
    <t>CABACTULAN, WILDAN N.</t>
  </si>
  <si>
    <t>TEOCO, BIENVENIDO</t>
  </si>
  <si>
    <t>DOMINGO, ROMEO C.</t>
  </si>
  <si>
    <t>CORTEZ, CECILIA</t>
  </si>
  <si>
    <t>JIMENEZ, FELIMON</t>
  </si>
  <si>
    <t>YNOT, ENRIQUETA M.</t>
  </si>
  <si>
    <t>LEONIDA, JOSE MARIA</t>
  </si>
  <si>
    <t>MACARAEG, CARMEN</t>
  </si>
  <si>
    <t>VANTA, JULIET F.</t>
  </si>
  <si>
    <t>LIRO, ANGELITO</t>
  </si>
  <si>
    <t>PALABRICA, MIRIAM</t>
  </si>
  <si>
    <t>ROXAS, OFELIA</t>
  </si>
  <si>
    <t>ENDAYA, ADALIA</t>
  </si>
  <si>
    <t>ROXAS, MANUEL A. II</t>
  </si>
  <si>
    <t>NANAGAS II, VITALIANO</t>
  </si>
  <si>
    <t>BALBIN, MARILYN</t>
  </si>
  <si>
    <t>BAGSAO, LIZA LORENA C.</t>
  </si>
  <si>
    <t>MABAZZA, JEANNETTE</t>
  </si>
  <si>
    <t>PRIETO, SALVADOR JR.</t>
  </si>
  <si>
    <t>VILLANUEVA, TEODORO</t>
  </si>
  <si>
    <t>SANTOS, AILEEN MARIE</t>
  </si>
  <si>
    <t>AQUITANIA, HEIDEE-MAY H.</t>
  </si>
  <si>
    <t>DE QUIROZ, RODOLFO V.</t>
  </si>
  <si>
    <t>NICOLAS, MA. THERESA C.</t>
  </si>
  <si>
    <t>TIMBOL, AURORA</t>
  </si>
  <si>
    <t>DOCTOLERO,EDWIN T.</t>
  </si>
  <si>
    <t>LORENZO,MANNY O.</t>
  </si>
  <si>
    <t>MIRABUENO,JOPETTE L.</t>
  </si>
  <si>
    <t>CHUA, MANUEL</t>
  </si>
  <si>
    <t>LOPEZ, JOSEPHINE G.</t>
  </si>
  <si>
    <t>MALOU ATENCIO</t>
  </si>
  <si>
    <t>BIR- INPUT VAT RECEIVABLE</t>
  </si>
  <si>
    <t>BUREAU OF INTERNAL REVENUE</t>
  </si>
  <si>
    <t>CALTEX PHILIPPINES, INC.</t>
  </si>
  <si>
    <t>DEVELOPMENT BANK OF THE PHILIPPINES</t>
  </si>
  <si>
    <t>ELECTRO WORLD</t>
  </si>
  <si>
    <t>MANILA WATER COMPANY, INC.</t>
  </si>
  <si>
    <t>USIPHIL, INC.</t>
  </si>
  <si>
    <t>VISCARA, PONCIANO ANDRES</t>
  </si>
  <si>
    <t>TRANSPORT CONTRACTORS, INC.</t>
  </si>
  <si>
    <t>ESPERANZA, MARLON</t>
  </si>
  <si>
    <t>BIR - CREDITABLE VAT WITHHELD</t>
  </si>
  <si>
    <t>BIR - CREDITABLE TAX W/HELD</t>
  </si>
  <si>
    <t>SERVICIO FILIPINO, INC.</t>
  </si>
  <si>
    <t>BETTER BUILDINGS, INC.</t>
  </si>
  <si>
    <t>ABLE SERVICES</t>
  </si>
  <si>
    <t>BATAAN TECHNO-PARK, INC.</t>
  </si>
  <si>
    <t>ABAD, RAMONCITO Z.</t>
  </si>
  <si>
    <t>HR TEAM ASIA</t>
  </si>
  <si>
    <t>R.D. POLICARPIO</t>
  </si>
  <si>
    <t>BOUGUEL'S EATERY</t>
  </si>
  <si>
    <t>RV DIAZ MANAGEMENT CONSULTANCY</t>
  </si>
  <si>
    <t>FAROL, MA. THERESA R.</t>
  </si>
  <si>
    <t>MABAZZA, RHOEL Z.</t>
  </si>
  <si>
    <t>TAN, GAUDIOSA</t>
  </si>
  <si>
    <t>JULIAN, SAMUEL N.</t>
  </si>
  <si>
    <t>CABILES, RIZA R.</t>
  </si>
  <si>
    <t>MAYANG, JOHN A</t>
  </si>
  <si>
    <t>NDC-PHILIPPINE INFRASTRUCTURE CORP.</t>
  </si>
  <si>
    <t>SATURNINO H. MEJIA</t>
  </si>
  <si>
    <t>ECHOSTORE SUSTAINABLE LIFESTYLE</t>
  </si>
  <si>
    <t>PHILIPPINE PHARMA PROCUREMENT, INC.</t>
  </si>
  <si>
    <t>TOLL REGULATORY BOARD</t>
  </si>
  <si>
    <t>LOANS RECEIVABLE - OTHER GOVERNMENT CORPORATIONS - LONG TERM (10301070B)</t>
  </si>
  <si>
    <t>PHILIPPINE NATIONAL CONSTRUCTION CORP.</t>
  </si>
  <si>
    <t>NONINTERESTING BEARING LOANS RECEIVABLE - CURRENT - NACIDA RAW MATERIALS</t>
  </si>
  <si>
    <t>HOUSING LOAN RECEIVABLES - LONG TERM (10301990E)</t>
  </si>
  <si>
    <t>ALLOWANCES FOR DOUBTFUL ACCOUNTS-CURRENT</t>
  </si>
  <si>
    <t>LIM, IRMA C.</t>
  </si>
  <si>
    <t>HOUSING LOANS RECEIVABLES- CURRENT (10301990C)</t>
  </si>
  <si>
    <t>MANGALONZO, ALICE M.</t>
  </si>
  <si>
    <t>CAR LOAN RECEIVABLE-LONG TERM (10301990F)</t>
  </si>
  <si>
    <t>414 </t>
  </si>
  <si>
    <t>RABUCO, BENJAMIN</t>
  </si>
  <si>
    <t>235 </t>
  </si>
  <si>
    <t>256 </t>
  </si>
  <si>
    <t>397 </t>
  </si>
  <si>
    <t>GENITO, NORMAN</t>
  </si>
  <si>
    <t>DUE FROM SUBSIDIARIES / JOINT VENTURES / ASSOCIATES / AFFILIATES - LONG TERM -(10303060B)</t>
  </si>
  <si>
    <t>5049 </t>
  </si>
  <si>
    <t>5138 </t>
  </si>
  <si>
    <t>5215 </t>
  </si>
  <si>
    <t>5471 </t>
  </si>
  <si>
    <t>5185 </t>
  </si>
  <si>
    <t>JAO AND COMPANY</t>
  </si>
  <si>
    <t>5217 </t>
  </si>
  <si>
    <t>PNCC - CB</t>
  </si>
  <si>
    <t>5288 </t>
  </si>
  <si>
    <t>5304 </t>
  </si>
  <si>
    <t>BTR-NSC</t>
  </si>
  <si>
    <t>5333 </t>
  </si>
  <si>
    <t>5342 </t>
  </si>
  <si>
    <t>5650 </t>
  </si>
  <si>
    <t>LUSTEVECO - UNION BANK</t>
  </si>
  <si>
    <t>5651 </t>
  </si>
  <si>
    <t>LUSTEVECO - SOC. GEN. (REFINANCING)</t>
  </si>
  <si>
    <t>5652 </t>
  </si>
  <si>
    <t>LUSTEVECO - SOC.GEN. (WORKING CAPITAL)</t>
  </si>
  <si>
    <t>5653 </t>
  </si>
  <si>
    <t>LUSTEVECO - I C B LINE</t>
  </si>
  <si>
    <t>5682 </t>
  </si>
  <si>
    <t>PICOP-RATTAN</t>
  </si>
  <si>
    <t>DUE FROM NATIONAL GOVERNMENT AGENCIES (10303010A)</t>
  </si>
  <si>
    <t>ALLOWANCE FOR DOUBTFUL ACCOUNTS- NATIONA GOVT AGENCIES (10303010B)</t>
  </si>
  <si>
    <t>ASIA INDUSTRIES, INC.</t>
  </si>
  <si>
    <t>NATIONAL SHIPPING CORP OF THE PHILS</t>
  </si>
  <si>
    <t>NEGROS OCCIDENTAL COPPERFIELD MINES, INC.</t>
  </si>
  <si>
    <t>ACCRUED INTEREST-LOANS/NOTES RECEIVABLE (10301050B)</t>
  </si>
  <si>
    <t>ALLOWANCE FOR IMPAIRMENT- INTEREST RECEIVABLE (10301051)</t>
  </si>
  <si>
    <t>PITC PHARMA INC</t>
  </si>
  <si>
    <t>REFRACTORIES CORPORATION OF THE PHILS</t>
  </si>
  <si>
    <t>USAPHIL, INC</t>
  </si>
  <si>
    <t>FIRST INTL DOCUMENT MASTERS ,INC</t>
  </si>
  <si>
    <t>PHILIPPINE MINING DEVELOPMENT CORP</t>
  </si>
  <si>
    <t>FOR THE YEAR 2024</t>
  </si>
  <si>
    <t>AS OF 2024/09/01</t>
  </si>
  <si>
    <t>AS OF 2024/09/30</t>
  </si>
  <si>
    <t>9566 ALEXANDRIA Z. MENDOZA</t>
  </si>
  <si>
    <t>234 PROVIDENT FUND</t>
  </si>
  <si>
    <t>9657 DBP DOLLAR TIME DEPOSIT</t>
  </si>
  <si>
    <t>9604 DAVAO THERMO BIOTECH CORPORATION</t>
  </si>
  <si>
    <t>9638 MANILA HEALTHTEK INC.</t>
  </si>
  <si>
    <t>9627 TBG SHARED SERVICES, INC.</t>
  </si>
  <si>
    <t>9633 ESGUERRA, MAPPALA AND ASSOCIATES, INC.,</t>
  </si>
  <si>
    <t>9658 SUPC CONSTRUCTION CORPORATION</t>
  </si>
  <si>
    <t>9692 DUMDUMA CONSTRUCTION &amp; TRADING CORPORATION</t>
  </si>
  <si>
    <t>9693 HK IMPERIAL AWARDS MININGS (PHILS) INC._NEW</t>
  </si>
  <si>
    <t>9667 TOLL REGULATORY BOARD</t>
  </si>
  <si>
    <t>457 JULIAN, PERA LIZA</t>
  </si>
  <si>
    <t>9637 JEMIMA M. TUBU</t>
  </si>
  <si>
    <t>9709 STARTUP VENTURE FUND - CASH IN BANK LOCAL CURRENCY</t>
  </si>
  <si>
    <t>9712 PHIL. IHUB - MESH</t>
  </si>
  <si>
    <t>9383 PSYCHOLOGICAL RESOURCES CENTER INC</t>
  </si>
  <si>
    <t>9609 NEXT GENERATION TECHNOLOGIES GLOBAL INC.</t>
  </si>
  <si>
    <t>9685 NEW PERSPECTIVE MEDIA FZ LLC</t>
  </si>
  <si>
    <t>9689 WATTSAVERS ENERGY SERVICES COMPANY</t>
  </si>
  <si>
    <t>9698 ITRACK SOLUTIONS INC.</t>
  </si>
  <si>
    <t>9687 RAFAEL L. CHU</t>
  </si>
  <si>
    <t>8438 URDUJA SECURITY SERVICES, INC</t>
  </si>
  <si>
    <t>9655 LKY FOOD GROUP INC.</t>
  </si>
  <si>
    <t>9624 ECO AIDE JUNKSHOP</t>
  </si>
  <si>
    <t>9645 Santiago Deang Jr.</t>
  </si>
  <si>
    <t>9666 EMMARY JUNK SHOP</t>
  </si>
  <si>
    <t>9606 FINANCE AND SUBSIDIARIES GROUP</t>
  </si>
  <si>
    <t>9620 CORPORATE SUPPORT GROUP</t>
  </si>
  <si>
    <t>8221 FORTUNE GENERAL INSURANCE CORP.</t>
  </si>
  <si>
    <t>9610 GLOBAL GREEN GROWTH INSTITUTE (GGGI)</t>
  </si>
  <si>
    <t>9611 WORKHAVEN SPACE INC.</t>
  </si>
  <si>
    <t>9612 AHGLAB CONSULTANCY SERVICES INC.</t>
  </si>
  <si>
    <t>9613 BRINC LIMITED</t>
  </si>
  <si>
    <t>Release of 15% advance payment (Mobilization) for the project: Supply, application and installation of waterproofing on slab at roof deck and replacement of roofing at penthouse level of the Industry and Investment (I&amp;I) building including labor, material, equipment, tools and other miscellaneous accessories</t>
  </si>
  <si>
    <t>The amount represent 15% mobilization of I &amp; I project per CV#960517 dated May 5, 2017.</t>
  </si>
  <si>
    <t>The amount represent 15% deposit for Dowit Commitment and Practical Team B per CV#350400 dated April 7,2000.</t>
  </si>
  <si>
    <t>ADJUSTED</t>
  </si>
  <si>
    <t>adjusted</t>
  </si>
  <si>
    <t>AS OF OCTOBER 31, 2024</t>
  </si>
  <si>
    <t>SOUTHERN CROSS DISTRIBTUION INC</t>
  </si>
  <si>
    <t>ACCIONA-DMCI SCRP02 JV</t>
  </si>
  <si>
    <t>FOR ADJUSTMENT</t>
  </si>
  <si>
    <t>balance per book</t>
  </si>
  <si>
    <t>(442,668.42 + 961.80 - other non income)</t>
  </si>
  <si>
    <t>TOTAL ALLOWANCE PER BOOK</t>
  </si>
  <si>
    <t>October  31, 2024</t>
  </si>
  <si>
    <t>October 31, 2024</t>
  </si>
  <si>
    <t>As of October 31, 2024</t>
  </si>
  <si>
    <t>For the Period Ended October 31, 2024</t>
  </si>
  <si>
    <t>Changes in Equity for October 2024</t>
  </si>
  <si>
    <t>Balances, October 31, 2024</t>
  </si>
  <si>
    <t>OCTOBER 31, 2024</t>
  </si>
  <si>
    <t>INC/DEC</t>
  </si>
  <si>
    <t>NOVEMBER 30, 2024</t>
  </si>
  <si>
    <t>November 30, 2024</t>
  </si>
  <si>
    <t>Financial assets (CASH AND CASH EQUIVALENTS)</t>
  </si>
  <si>
    <t>STATEMENTS  OF FINANCIAL POSITION/balance sheet</t>
  </si>
  <si>
    <t>nov 1 2024 - nov 30 2024</t>
  </si>
  <si>
    <t>oct 1 2024 - oct 31 2024</t>
  </si>
  <si>
    <t>oct 1 - oct 31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</si>
</sst>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_);_(* \(#,##0\);_(* \-??_);_(@_)"/>
    <numFmt numFmtId="167" formatCode="_(* #,##0.00_);_(* \(#,##0.00\);_(* \-??_);_(@_)"/>
    <numFmt numFmtId="168" formatCode="[$-409]mmmm\ d\,\ yyyy;@"/>
    <numFmt numFmtId="169" formatCode="_-* #,##0_-;\-* #,##0_-;_-* &quot;-&quot;??_-;_-@_-"/>
    <numFmt numFmtId="170" formatCode="0.0%"/>
    <numFmt numFmtId="171" formatCode="\ _(* #,##0.00_);_(* \(#,##0.00\);_(* &quot;-&quot;??_);_(@_)"/>
  </numFmts>
  <fonts count="7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name val="Calibri"/>
      <family val="2"/>
      <scheme val="minor"/>
    </font>
    <font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Arial"/>
      <family val="2"/>
    </font>
    <font>
      <b/>
      <u val="singleAccounting"/>
      <sz val="11"/>
      <color theme="1"/>
      <name val="Calibri"/>
      <family val="2"/>
      <scheme val="minor"/>
    </font>
    <font>
      <sz val="10.5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 val="doubleAccounting"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FF00"/>
      <name val="Arial"/>
      <family val="2"/>
    </font>
    <font>
      <i/>
      <sz val="11"/>
      <color theme="1"/>
      <name val="Arial"/>
      <family val="2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FF000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18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8" fillId="0" borderId="0"/>
    <xf numFmtId="0" fontId="18" fillId="0" borderId="0" applyFill="0" applyBorder="0" applyAlignment="0" applyProtection="0"/>
    <xf numFmtId="43" fontId="18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5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5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5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5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5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5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5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5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5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5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5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5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5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5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5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5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5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5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5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5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5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5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5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5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25" fillId="43" borderId="1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43" borderId="1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43" borderId="1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25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0" borderId="0"/>
    <xf numFmtId="43" fontId="1" fillId="0" borderId="0" applyFont="0" applyFill="0" applyBorder="0" applyAlignment="0" applyProtection="0"/>
    <xf numFmtId="0" fontId="40" fillId="0" borderId="0"/>
    <xf numFmtId="9" fontId="1" fillId="0" borderId="0" applyFont="0" applyFill="0" applyBorder="0" applyAlignment="0" applyProtection="0"/>
    <xf numFmtId="0" fontId="18" fillId="0" borderId="0"/>
    <xf numFmtId="43" fontId="26" fillId="0" borderId="0" applyFont="0" applyFill="0" applyBorder="0" applyAlignment="0" applyProtection="0"/>
    <xf numFmtId="0" fontId="18" fillId="0" borderId="0"/>
    <xf numFmtId="164" fontId="1" fillId="0" borderId="0" applyFont="0" applyFill="0" applyBorder="0" applyAlignment="0" applyProtection="0"/>
  </cellStyleXfs>
  <cellXfs count="1038">
    <xf numFmtId="0" fontId="0" fillId="0" borderId="0" xfId="0"/>
    <xf numFmtId="0" fontId="20" fillId="0" borderId="0" xfId="43" applyFont="1"/>
    <xf numFmtId="0" fontId="19" fillId="0" borderId="0" xfId="43" applyFont="1"/>
    <xf numFmtId="3" fontId="19" fillId="0" borderId="0" xfId="43" applyNumberFormat="1" applyFont="1"/>
    <xf numFmtId="165" fontId="19" fillId="0" borderId="0" xfId="1" applyNumberFormat="1" applyFont="1"/>
    <xf numFmtId="0" fontId="22" fillId="0" borderId="0" xfId="43" applyFont="1" applyAlignment="1">
      <alignment horizontal="center"/>
    </xf>
    <xf numFmtId="0" fontId="20" fillId="0" borderId="0" xfId="46" applyFont="1" applyAlignment="1">
      <alignment horizontal="left"/>
    </xf>
    <xf numFmtId="0" fontId="20" fillId="0" borderId="0" xfId="46" applyFont="1" applyAlignment="1">
      <alignment horizontal="center"/>
    </xf>
    <xf numFmtId="166" fontId="20" fillId="0" borderId="0" xfId="47" applyNumberFormat="1" applyFont="1" applyAlignment="1">
      <alignment horizontal="center"/>
    </xf>
    <xf numFmtId="15" fontId="19" fillId="0" borderId="0" xfId="43" applyNumberFormat="1" applyFont="1" applyAlignment="1">
      <alignment horizontal="center"/>
    </xf>
    <xf numFmtId="15" fontId="19" fillId="0" borderId="10" xfId="43" applyNumberFormat="1" applyFont="1" applyBorder="1" applyAlignment="1">
      <alignment horizontal="center"/>
    </xf>
    <xf numFmtId="43" fontId="1" fillId="0" borderId="0" xfId="44" applyFont="1"/>
    <xf numFmtId="0" fontId="20" fillId="0" borderId="10" xfId="43" applyFont="1" applyBorder="1" applyAlignment="1">
      <alignment horizontal="center"/>
    </xf>
    <xf numFmtId="15" fontId="20" fillId="0" borderId="10" xfId="43" quotePrefix="1" applyNumberFormat="1" applyFont="1" applyBorder="1" applyAlignment="1">
      <alignment horizontal="right"/>
    </xf>
    <xf numFmtId="43" fontId="20" fillId="0" borderId="0" xfId="1" applyFont="1"/>
    <xf numFmtId="3" fontId="20" fillId="0" borderId="0" xfId="43" applyNumberFormat="1" applyFont="1"/>
    <xf numFmtId="0" fontId="24" fillId="0" borderId="0" xfId="43" applyFont="1"/>
    <xf numFmtId="165" fontId="21" fillId="0" borderId="0" xfId="1" applyNumberFormat="1" applyFont="1"/>
    <xf numFmtId="165" fontId="26" fillId="0" borderId="0" xfId="1" applyNumberFormat="1" applyFont="1"/>
    <xf numFmtId="165" fontId="20" fillId="0" borderId="0" xfId="1" applyNumberFormat="1" applyFont="1"/>
    <xf numFmtId="41" fontId="22" fillId="0" borderId="0" xfId="45" applyFont="1"/>
    <xf numFmtId="165" fontId="23" fillId="0" borderId="0" xfId="1" applyNumberFormat="1" applyFont="1"/>
    <xf numFmtId="0" fontId="22" fillId="0" borderId="0" xfId="43" applyFont="1"/>
    <xf numFmtId="0" fontId="20" fillId="0" borderId="0" xfId="46" applyFont="1"/>
    <xf numFmtId="166" fontId="20" fillId="0" borderId="0" xfId="47" applyNumberFormat="1" applyFont="1"/>
    <xf numFmtId="0" fontId="20" fillId="0" borderId="16" xfId="46" applyFont="1" applyBorder="1" applyAlignment="1">
      <alignment horizontal="center"/>
    </xf>
    <xf numFmtId="166" fontId="20" fillId="0" borderId="0" xfId="46" applyNumberFormat="1" applyFont="1"/>
    <xf numFmtId="0" fontId="20" fillId="0" borderId="10" xfId="46" applyFont="1" applyBorder="1"/>
    <xf numFmtId="0" fontId="20" fillId="0" borderId="0" xfId="46" applyFont="1" applyAlignment="1">
      <alignment horizontal="left" indent="2"/>
    </xf>
    <xf numFmtId="0" fontId="19" fillId="0" borderId="17" xfId="46" applyFont="1" applyBorder="1"/>
    <xf numFmtId="0" fontId="19" fillId="0" borderId="0" xfId="46" applyFont="1" applyAlignment="1">
      <alignment horizontal="left"/>
    </xf>
    <xf numFmtId="0" fontId="20" fillId="0" borderId="14" xfId="46" applyFont="1" applyBorder="1" applyAlignment="1">
      <alignment horizontal="left"/>
    </xf>
    <xf numFmtId="165" fontId="0" fillId="0" borderId="0" xfId="0" applyNumberFormat="1"/>
    <xf numFmtId="165" fontId="0" fillId="0" borderId="0" xfId="1" applyNumberFormat="1" applyFont="1"/>
    <xf numFmtId="166" fontId="30" fillId="0" borderId="0" xfId="47" quotePrefix="1" applyNumberFormat="1" applyFont="1" applyAlignment="1">
      <alignment horizontal="right"/>
    </xf>
    <xf numFmtId="0" fontId="19" fillId="0" borderId="0" xfId="46" applyFont="1" applyAlignment="1">
      <alignment horizontal="right"/>
    </xf>
    <xf numFmtId="0" fontId="19" fillId="0" borderId="16" xfId="46" applyFont="1" applyBorder="1" applyAlignment="1">
      <alignment horizontal="right"/>
    </xf>
    <xf numFmtId="167" fontId="19" fillId="0" borderId="0" xfId="47" applyNumberFormat="1" applyFont="1" applyAlignment="1">
      <alignment horizontal="right"/>
    </xf>
    <xf numFmtId="3" fontId="21" fillId="0" borderId="14" xfId="0" applyNumberFormat="1" applyFont="1" applyBorder="1" applyAlignment="1">
      <alignment horizontal="right"/>
    </xf>
    <xf numFmtId="166" fontId="19" fillId="0" borderId="0" xfId="46" applyNumberFormat="1" applyFont="1" applyAlignment="1">
      <alignment horizontal="right"/>
    </xf>
    <xf numFmtId="165" fontId="20" fillId="0" borderId="0" xfId="43" applyNumberFormat="1" applyFont="1"/>
    <xf numFmtId="0" fontId="32" fillId="0" borderId="0" xfId="43" applyFont="1"/>
    <xf numFmtId="0" fontId="29" fillId="0" borderId="0" xfId="0" applyFont="1" applyAlignment="1">
      <alignment horizontal="center"/>
    </xf>
    <xf numFmtId="165" fontId="19" fillId="0" borderId="0" xfId="1" quotePrefix="1" applyNumberFormat="1" applyFont="1"/>
    <xf numFmtId="165" fontId="19" fillId="0" borderId="0" xfId="48" applyNumberFormat="1" applyFont="1"/>
    <xf numFmtId="166" fontId="19" fillId="0" borderId="17" xfId="47" applyNumberFormat="1" applyFont="1" applyBorder="1"/>
    <xf numFmtId="166" fontId="19" fillId="0" borderId="0" xfId="47" applyNumberFormat="1" applyFont="1"/>
    <xf numFmtId="166" fontId="30" fillId="0" borderId="0" xfId="47" applyNumberFormat="1" applyFont="1"/>
    <xf numFmtId="0" fontId="16" fillId="0" borderId="0" xfId="0" applyFont="1"/>
    <xf numFmtId="0" fontId="29" fillId="0" borderId="0" xfId="0" applyFont="1"/>
    <xf numFmtId="43" fontId="0" fillId="0" borderId="0" xfId="1" applyFont="1"/>
    <xf numFmtId="43" fontId="0" fillId="0" borderId="0" xfId="0" applyNumberFormat="1"/>
    <xf numFmtId="0" fontId="26" fillId="0" borderId="0" xfId="0" applyFont="1"/>
    <xf numFmtId="43" fontId="0" fillId="0" borderId="13" xfId="1" applyFont="1" applyBorder="1"/>
    <xf numFmtId="43" fontId="20" fillId="0" borderId="0" xfId="43" applyNumberFormat="1" applyFont="1"/>
    <xf numFmtId="43" fontId="26" fillId="0" borderId="0" xfId="1" applyFont="1"/>
    <xf numFmtId="167" fontId="20" fillId="0" borderId="0" xfId="47" applyNumberFormat="1" applyFont="1" applyAlignment="1">
      <alignment horizontal="right"/>
    </xf>
    <xf numFmtId="165" fontId="20" fillId="0" borderId="0" xfId="48" applyNumberFormat="1" applyFont="1"/>
    <xf numFmtId="166" fontId="20" fillId="0" borderId="17" xfId="47" applyNumberFormat="1" applyFont="1" applyBorder="1"/>
    <xf numFmtId="165" fontId="20" fillId="0" borderId="0" xfId="1" quotePrefix="1" applyNumberFormat="1" applyFont="1"/>
    <xf numFmtId="166" fontId="36" fillId="0" borderId="0" xfId="47" applyNumberFormat="1" applyFont="1"/>
    <xf numFmtId="0" fontId="14" fillId="0" borderId="0" xfId="0" applyFont="1"/>
    <xf numFmtId="43" fontId="35" fillId="0" borderId="0" xfId="1" applyFont="1"/>
    <xf numFmtId="43" fontId="29" fillId="0" borderId="0" xfId="1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21" xfId="0" applyNumberFormat="1" applyBorder="1"/>
    <xf numFmtId="1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left"/>
    </xf>
    <xf numFmtId="0" fontId="0" fillId="0" borderId="21" xfId="0" applyBorder="1"/>
    <xf numFmtId="1" fontId="29" fillId="0" borderId="0" xfId="0" applyNumberFormat="1" applyFont="1"/>
    <xf numFmtId="43" fontId="14" fillId="0" borderId="0" xfId="1" applyFont="1"/>
    <xf numFmtId="1" fontId="29" fillId="0" borderId="21" xfId="0" applyNumberFormat="1" applyFont="1" applyBorder="1"/>
    <xf numFmtId="1" fontId="29" fillId="0" borderId="21" xfId="0" applyNumberFormat="1" applyFont="1" applyBorder="1" applyAlignment="1">
      <alignment horizontal="center"/>
    </xf>
    <xf numFmtId="1" fontId="29" fillId="0" borderId="0" xfId="0" applyNumberFormat="1" applyFont="1" applyAlignment="1">
      <alignment horizontal="center"/>
    </xf>
    <xf numFmtId="1" fontId="29" fillId="0" borderId="0" xfId="0" applyNumberFormat="1" applyFont="1" applyAlignment="1">
      <alignment horizontal="left"/>
    </xf>
    <xf numFmtId="0" fontId="17" fillId="0" borderId="0" xfId="0" applyFont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43" fontId="35" fillId="0" borderId="13" xfId="1" applyFont="1" applyBorder="1"/>
    <xf numFmtId="1" fontId="0" fillId="0" borderId="0" xfId="0" applyNumberFormat="1" applyAlignment="1">
      <alignment horizontal="left"/>
    </xf>
    <xf numFmtId="43" fontId="35" fillId="47" borderId="0" xfId="1" applyFont="1" applyFill="1"/>
    <xf numFmtId="0" fontId="0" fillId="0" borderId="21" xfId="0" applyBorder="1" applyAlignment="1">
      <alignment horizontal="center"/>
    </xf>
    <xf numFmtId="0" fontId="34" fillId="0" borderId="0" xfId="0" applyFont="1" applyAlignment="1">
      <alignment horizontal="right" vertical="center" wrapText="1"/>
    </xf>
    <xf numFmtId="169" fontId="0" fillId="0" borderId="0" xfId="0" applyNumberFormat="1"/>
    <xf numFmtId="43" fontId="0" fillId="0" borderId="0" xfId="8177" applyFont="1"/>
    <xf numFmtId="3" fontId="33" fillId="0" borderId="0" xfId="0" applyNumberFormat="1" applyFont="1" applyAlignment="1">
      <alignment horizontal="right" vertical="center" wrapText="1"/>
    </xf>
    <xf numFmtId="0" fontId="43" fillId="0" borderId="0" xfId="0" applyFont="1"/>
    <xf numFmtId="0" fontId="34" fillId="0" borderId="0" xfId="0" applyFont="1" applyAlignment="1">
      <alignment vertical="center"/>
    </xf>
    <xf numFmtId="169" fontId="44" fillId="0" borderId="0" xfId="0" applyNumberFormat="1" applyFont="1"/>
    <xf numFmtId="0" fontId="0" fillId="0" borderId="30" xfId="0" applyBorder="1"/>
    <xf numFmtId="0" fontId="0" fillId="0" borderId="19" xfId="0" applyBorder="1"/>
    <xf numFmtId="0" fontId="0" fillId="0" borderId="31" xfId="0" applyBorder="1"/>
    <xf numFmtId="0" fontId="0" fillId="0" borderId="32" xfId="0" applyBorder="1"/>
    <xf numFmtId="0" fontId="0" fillId="0" borderId="14" xfId="0" applyBorder="1"/>
    <xf numFmtId="0" fontId="0" fillId="0" borderId="0" xfId="0" applyAlignment="1">
      <alignment horizontal="left" wrapText="1"/>
    </xf>
    <xf numFmtId="43" fontId="16" fillId="0" borderId="15" xfId="0" applyNumberFormat="1" applyFont="1" applyBorder="1"/>
    <xf numFmtId="43" fontId="0" fillId="0" borderId="33" xfId="0" applyNumberFormat="1" applyBorder="1"/>
    <xf numFmtId="0" fontId="0" fillId="0" borderId="0" xfId="0" quotePrefix="1"/>
    <xf numFmtId="0" fontId="0" fillId="49" borderId="0" xfId="0" applyFill="1"/>
    <xf numFmtId="3" fontId="0" fillId="0" borderId="0" xfId="0" applyNumberFormat="1"/>
    <xf numFmtId="4" fontId="0" fillId="0" borderId="0" xfId="0" applyNumberFormat="1"/>
    <xf numFmtId="165" fontId="19" fillId="0" borderId="0" xfId="1" applyNumberFormat="1" applyFont="1" applyBorder="1"/>
    <xf numFmtId="165" fontId="20" fillId="0" borderId="0" xfId="1" applyNumberFormat="1" applyFont="1" applyBorder="1"/>
    <xf numFmtId="49" fontId="29" fillId="0" borderId="0" xfId="0" applyNumberFormat="1" applyFont="1" applyAlignment="1">
      <alignment horizontal="center"/>
    </xf>
    <xf numFmtId="43" fontId="0" fillId="0" borderId="0" xfId="1" applyFont="1" applyFill="1"/>
    <xf numFmtId="0" fontId="19" fillId="0" borderId="10" xfId="46" applyFont="1" applyBorder="1"/>
    <xf numFmtId="0" fontId="20" fillId="0" borderId="37" xfId="46" applyFont="1" applyBorder="1"/>
    <xf numFmtId="166" fontId="19" fillId="0" borderId="37" xfId="47" applyNumberFormat="1" applyFont="1" applyBorder="1"/>
    <xf numFmtId="166" fontId="20" fillId="0" borderId="37" xfId="47" applyNumberFormat="1" applyFont="1" applyBorder="1"/>
    <xf numFmtId="165" fontId="19" fillId="0" borderId="10" xfId="1" applyNumberFormat="1" applyFont="1" applyBorder="1"/>
    <xf numFmtId="165" fontId="20" fillId="0" borderId="10" xfId="1" applyNumberFormat="1" applyFont="1" applyBorder="1"/>
    <xf numFmtId="0" fontId="20" fillId="0" borderId="24" xfId="46" applyFont="1" applyBorder="1"/>
    <xf numFmtId="0" fontId="21" fillId="0" borderId="0" xfId="0" applyFont="1" applyAlignment="1">
      <alignment horizontal="right" vertical="center" wrapText="1"/>
    </xf>
    <xf numFmtId="0" fontId="46" fillId="0" borderId="0" xfId="0" applyFont="1"/>
    <xf numFmtId="0" fontId="33" fillId="0" borderId="20" xfId="0" applyFont="1" applyBorder="1" applyAlignment="1">
      <alignment vertical="center" wrapText="1"/>
    </xf>
    <xf numFmtId="0" fontId="33" fillId="0" borderId="20" xfId="0" applyFont="1" applyBorder="1" applyAlignment="1">
      <alignment horizontal="left" vertical="center" wrapText="1"/>
    </xf>
    <xf numFmtId="43" fontId="21" fillId="0" borderId="20" xfId="0" applyNumberFormat="1" applyFont="1" applyBorder="1" applyAlignment="1">
      <alignment horizontal="right" vertical="center" wrapText="1"/>
    </xf>
    <xf numFmtId="0" fontId="26" fillId="0" borderId="35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0" fillId="0" borderId="38" xfId="0" applyBorder="1"/>
    <xf numFmtId="0" fontId="26" fillId="0" borderId="34" xfId="0" applyFont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165" fontId="1" fillId="0" borderId="0" xfId="1" applyNumberFormat="1" applyFont="1"/>
    <xf numFmtId="169" fontId="1" fillId="0" borderId="0" xfId="0" applyNumberFormat="1" applyFont="1"/>
    <xf numFmtId="0" fontId="21" fillId="0" borderId="0" xfId="0" applyFont="1"/>
    <xf numFmtId="0" fontId="0" fillId="0" borderId="25" xfId="0" applyBorder="1"/>
    <xf numFmtId="0" fontId="26" fillId="0" borderId="30" xfId="0" applyFont="1" applyBorder="1" applyAlignment="1">
      <alignment horizontal="center"/>
    </xf>
    <xf numFmtId="0" fontId="0" fillId="0" borderId="39" xfId="0" applyBorder="1"/>
    <xf numFmtId="0" fontId="33" fillId="0" borderId="20" xfId="0" applyFont="1" applyBorder="1" applyAlignment="1">
      <alignment horizontal="left"/>
    </xf>
    <xf numFmtId="0" fontId="20" fillId="0" borderId="15" xfId="46" quotePrefix="1" applyFont="1" applyBorder="1" applyAlignment="1">
      <alignment horizontal="center"/>
    </xf>
    <xf numFmtId="166" fontId="19" fillId="0" borderId="15" xfId="47" applyNumberFormat="1" applyFont="1" applyBorder="1"/>
    <xf numFmtId="166" fontId="20" fillId="0" borderId="15" xfId="47" applyNumberFormat="1" applyFont="1" applyBorder="1"/>
    <xf numFmtId="0" fontId="47" fillId="0" borderId="28" xfId="0" applyFont="1" applyBorder="1" applyAlignment="1">
      <alignment vertical="top" wrapText="1"/>
    </xf>
    <xf numFmtId="0" fontId="47" fillId="0" borderId="28" xfId="0" applyFont="1" applyBorder="1" applyAlignment="1">
      <alignment horizontal="center" vertical="top" wrapText="1"/>
    </xf>
    <xf numFmtId="0" fontId="47" fillId="0" borderId="20" xfId="0" applyFont="1" applyBorder="1" applyAlignment="1">
      <alignment horizontal="center"/>
    </xf>
    <xf numFmtId="0" fontId="47" fillId="0" borderId="29" xfId="0" applyFont="1" applyBorder="1" applyAlignment="1">
      <alignment vertical="top" wrapText="1"/>
    </xf>
    <xf numFmtId="0" fontId="47" fillId="0" borderId="29" xfId="0" applyFont="1" applyBorder="1" applyAlignment="1">
      <alignment horizontal="center" vertical="top" wrapText="1"/>
    </xf>
    <xf numFmtId="9" fontId="20" fillId="0" borderId="0" xfId="8179" applyFont="1"/>
    <xf numFmtId="43" fontId="0" fillId="0" borderId="0" xfId="1" applyFont="1" applyAlignment="1">
      <alignment horizontal="left"/>
    </xf>
    <xf numFmtId="0" fontId="16" fillId="0" borderId="26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5" xfId="0" applyFont="1" applyBorder="1" applyAlignment="1">
      <alignment horizontal="center" wrapText="1"/>
    </xf>
    <xf numFmtId="0" fontId="16" fillId="0" borderId="27" xfId="0" applyFont="1" applyBorder="1" applyAlignment="1">
      <alignment horizontal="center"/>
    </xf>
    <xf numFmtId="43" fontId="16" fillId="0" borderId="0" xfId="1" applyFont="1" applyAlignment="1">
      <alignment horizontal="right"/>
    </xf>
    <xf numFmtId="43" fontId="37" fillId="0" borderId="0" xfId="0" applyNumberFormat="1" applyFont="1"/>
    <xf numFmtId="0" fontId="37" fillId="0" borderId="0" xfId="0" applyFont="1"/>
    <xf numFmtId="43" fontId="35" fillId="0" borderId="0" xfId="1" applyFont="1" applyFill="1" applyBorder="1"/>
    <xf numFmtId="43" fontId="29" fillId="0" borderId="0" xfId="1" applyFont="1" applyFill="1" applyBorder="1"/>
    <xf numFmtId="43" fontId="41" fillId="0" borderId="0" xfId="1" applyFont="1" applyFill="1" applyBorder="1"/>
    <xf numFmtId="43" fontId="42" fillId="0" borderId="0" xfId="1" applyFont="1" applyFill="1" applyBorder="1"/>
    <xf numFmtId="43" fontId="28" fillId="0" borderId="0" xfId="1" applyFont="1" applyFill="1" applyBorder="1"/>
    <xf numFmtId="43" fontId="38" fillId="0" borderId="0" xfId="1" applyFont="1" applyFill="1" applyBorder="1"/>
    <xf numFmtId="0" fontId="28" fillId="0" borderId="0" xfId="0" applyFont="1"/>
    <xf numFmtId="43" fontId="35" fillId="0" borderId="0" xfId="1" applyFont="1" applyFill="1"/>
    <xf numFmtId="43" fontId="38" fillId="0" borderId="0" xfId="1" applyFont="1" applyFill="1"/>
    <xf numFmtId="0" fontId="45" fillId="0" borderId="0" xfId="46" applyFont="1"/>
    <xf numFmtId="4" fontId="29" fillId="0" borderId="0" xfId="1" applyNumberFormat="1" applyFont="1" applyBorder="1"/>
    <xf numFmtId="43" fontId="29" fillId="0" borderId="0" xfId="1" applyFont="1" applyBorder="1"/>
    <xf numFmtId="43" fontId="35" fillId="0" borderId="0" xfId="1" applyFont="1" applyBorder="1"/>
    <xf numFmtId="0" fontId="35" fillId="0" borderId="0" xfId="43" applyFont="1"/>
    <xf numFmtId="43" fontId="29" fillId="0" borderId="36" xfId="1" applyFont="1" applyBorder="1"/>
    <xf numFmtId="43" fontId="41" fillId="0" borderId="0" xfId="1" applyFont="1" applyBorder="1"/>
    <xf numFmtId="4" fontId="29" fillId="0" borderId="36" xfId="1" applyNumberFormat="1" applyFont="1" applyBorder="1"/>
    <xf numFmtId="43" fontId="41" fillId="0" borderId="36" xfId="1" applyFont="1" applyBorder="1"/>
    <xf numFmtId="43" fontId="42" fillId="0" borderId="0" xfId="1" applyFont="1" applyBorder="1"/>
    <xf numFmtId="43" fontId="48" fillId="0" borderId="0" xfId="1" applyFont="1" applyBorder="1"/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166" fontId="19" fillId="0" borderId="0" xfId="47" quotePrefix="1" applyNumberFormat="1" applyFont="1" applyBorder="1"/>
    <xf numFmtId="165" fontId="19" fillId="0" borderId="37" xfId="1" applyNumberFormat="1" applyFont="1" applyBorder="1"/>
    <xf numFmtId="164" fontId="0" fillId="0" borderId="0" xfId="0" applyNumberFormat="1"/>
    <xf numFmtId="0" fontId="19" fillId="0" borderId="0" xfId="43" applyFont="1" applyAlignment="1">
      <alignment horizontal="center"/>
    </xf>
    <xf numFmtId="0" fontId="20" fillId="0" borderId="0" xfId="43" applyFont="1" applyAlignment="1">
      <alignment horizontal="center"/>
    </xf>
    <xf numFmtId="0" fontId="19" fillId="0" borderId="0" xfId="46" applyFont="1" applyAlignment="1">
      <alignment wrapText="1"/>
    </xf>
    <xf numFmtId="0" fontId="20" fillId="0" borderId="0" xfId="46" applyFont="1" applyAlignment="1">
      <alignment horizontal="left" wrapText="1"/>
    </xf>
    <xf numFmtId="0" fontId="20" fillId="0" borderId="0" xfId="43" applyFont="1" applyAlignment="1">
      <alignment horizontal="left"/>
    </xf>
    <xf numFmtId="0" fontId="19" fillId="0" borderId="0" xfId="46" applyFont="1"/>
    <xf numFmtId="0" fontId="19" fillId="0" borderId="0" xfId="46" applyFont="1" applyAlignment="1">
      <alignment horizontal="left" wrapText="1"/>
    </xf>
    <xf numFmtId="0" fontId="34" fillId="0" borderId="0" xfId="0" applyFont="1" applyAlignment="1">
      <alignment horizontal="justify" vertical="center" wrapText="1"/>
    </xf>
    <xf numFmtId="1" fontId="0" fillId="0" borderId="0" xfId="0" applyNumberFormat="1" applyAlignment="1">
      <alignment horizontal="center"/>
    </xf>
    <xf numFmtId="43" fontId="28" fillId="0" borderId="0" xfId="1" applyFont="1"/>
    <xf numFmtId="0" fontId="0" fillId="0" borderId="0" xfId="0" applyAlignment="1">
      <alignment horizontal="right"/>
    </xf>
    <xf numFmtId="0" fontId="34" fillId="0" borderId="0" xfId="0" applyFont="1" applyAlignment="1">
      <alignment horizontal="right"/>
    </xf>
    <xf numFmtId="1" fontId="0" fillId="0" borderId="38" xfId="0" applyNumberFormat="1" applyBorder="1" applyAlignment="1">
      <alignment horizontal="left"/>
    </xf>
    <xf numFmtId="43" fontId="35" fillId="0" borderId="21" xfId="1" applyFont="1" applyBorder="1"/>
    <xf numFmtId="43" fontId="0" fillId="0" borderId="21" xfId="1" applyFont="1" applyBorder="1"/>
    <xf numFmtId="0" fontId="0" fillId="0" borderId="21" xfId="0" applyBorder="1" applyAlignment="1">
      <alignment vertical="center"/>
    </xf>
    <xf numFmtId="164" fontId="0" fillId="44" borderId="0" xfId="0" applyNumberFormat="1" applyFill="1"/>
    <xf numFmtId="164" fontId="0" fillId="45" borderId="0" xfId="0" applyNumberFormat="1" applyFill="1"/>
    <xf numFmtId="164" fontId="0" fillId="47" borderId="0" xfId="0" applyNumberFormat="1" applyFill="1"/>
    <xf numFmtId="164" fontId="0" fillId="54" borderId="0" xfId="0" applyNumberFormat="1" applyFill="1"/>
    <xf numFmtId="164" fontId="0" fillId="53" borderId="0" xfId="0" applyNumberFormat="1" applyFill="1"/>
    <xf numFmtId="164" fontId="0" fillId="49" borderId="0" xfId="0" applyNumberFormat="1" applyFill="1"/>
    <xf numFmtId="164" fontId="0" fillId="55" borderId="0" xfId="0" applyNumberFormat="1" applyFill="1"/>
    <xf numFmtId="164" fontId="0" fillId="56" borderId="0" xfId="0" applyNumberFormat="1" applyFill="1"/>
    <xf numFmtId="164" fontId="0" fillId="48" borderId="0" xfId="0" applyNumberFormat="1" applyFill="1"/>
    <xf numFmtId="43" fontId="38" fillId="0" borderId="0" xfId="1" quotePrefix="1" applyFont="1" applyBorder="1" applyAlignment="1">
      <alignment horizontal="center" vertical="center"/>
    </xf>
    <xf numFmtId="4" fontId="31" fillId="0" borderId="0" xfId="1" applyNumberFormat="1" applyFont="1" applyBorder="1"/>
    <xf numFmtId="43" fontId="31" fillId="0" borderId="0" xfId="1" applyFont="1" applyBorder="1"/>
    <xf numFmtId="43" fontId="49" fillId="0" borderId="0" xfId="1" applyFont="1"/>
    <xf numFmtId="165" fontId="20" fillId="0" borderId="37" xfId="1" applyNumberFormat="1" applyFont="1" applyBorder="1"/>
    <xf numFmtId="166" fontId="20" fillId="0" borderId="0" xfId="47" quotePrefix="1" applyNumberFormat="1" applyFont="1" applyBorder="1"/>
    <xf numFmtId="3" fontId="26" fillId="0" borderId="14" xfId="0" applyNumberFormat="1" applyFont="1" applyBorder="1" applyAlignment="1">
      <alignment horizontal="right"/>
    </xf>
    <xf numFmtId="0" fontId="33" fillId="0" borderId="0" xfId="0" applyFont="1" applyAlignment="1">
      <alignment horizontal="left" vertical="center" wrapText="1"/>
    </xf>
    <xf numFmtId="0" fontId="34" fillId="0" borderId="23" xfId="0" applyFont="1" applyBorder="1" applyAlignment="1">
      <alignment horizontal="justify"/>
    </xf>
    <xf numFmtId="0" fontId="20" fillId="0" borderId="21" xfId="0" applyFont="1" applyBorder="1" applyAlignment="1">
      <alignment horizontal="left"/>
    </xf>
    <xf numFmtId="43" fontId="20" fillId="0" borderId="21" xfId="8177" applyFont="1" applyFill="1" applyBorder="1" applyAlignment="1"/>
    <xf numFmtId="43" fontId="26" fillId="51" borderId="21" xfId="8177" applyFont="1" applyFill="1" applyBorder="1" applyAlignment="1">
      <alignment vertical="center"/>
    </xf>
    <xf numFmtId="43" fontId="26" fillId="46" borderId="21" xfId="8177" applyFont="1" applyFill="1" applyBorder="1" applyAlignment="1">
      <alignment vertical="center"/>
    </xf>
    <xf numFmtId="43" fontId="26" fillId="0" borderId="21" xfId="1" applyFont="1" applyFill="1" applyBorder="1" applyAlignment="1">
      <alignment vertical="center"/>
    </xf>
    <xf numFmtId="0" fontId="26" fillId="46" borderId="0" xfId="0" applyFont="1" applyFill="1"/>
    <xf numFmtId="0" fontId="34" fillId="0" borderId="21" xfId="0" applyFont="1" applyBorder="1" applyAlignment="1">
      <alignment horizontal="justify"/>
    </xf>
    <xf numFmtId="0" fontId="26" fillId="0" borderId="21" xfId="0" applyFont="1" applyBorder="1" applyAlignment="1">
      <alignment horizontal="left"/>
    </xf>
    <xf numFmtId="43" fontId="26" fillId="0" borderId="21" xfId="0" applyNumberFormat="1" applyFont="1" applyBorder="1" applyAlignment="1">
      <alignment horizontal="right" wrapText="1"/>
    </xf>
    <xf numFmtId="0" fontId="26" fillId="0" borderId="38" xfId="0" applyFont="1" applyBorder="1" applyAlignment="1">
      <alignment horizontal="center"/>
    </xf>
    <xf numFmtId="0" fontId="34" fillId="0" borderId="0" xfId="0" applyFont="1" applyAlignment="1">
      <alignment horizontal="justify"/>
    </xf>
    <xf numFmtId="0" fontId="20" fillId="0" borderId="39" xfId="0" applyFont="1" applyBorder="1" applyAlignment="1">
      <alignment horizontal="left"/>
    </xf>
    <xf numFmtId="43" fontId="26" fillId="0" borderId="21" xfId="8177" applyFont="1" applyFill="1" applyBorder="1" applyAlignment="1">
      <alignment vertical="center"/>
    </xf>
    <xf numFmtId="43" fontId="26" fillId="0" borderId="21" xfId="1" applyFont="1" applyFill="1" applyBorder="1" applyAlignment="1">
      <alignment horizontal="right" wrapText="1"/>
    </xf>
    <xf numFmtId="0" fontId="34" fillId="0" borderId="44" xfId="0" applyFont="1" applyBorder="1" applyAlignment="1">
      <alignment horizontal="justify"/>
    </xf>
    <xf numFmtId="0" fontId="26" fillId="0" borderId="39" xfId="0" applyFont="1" applyBorder="1" applyAlignment="1">
      <alignment horizontal="left"/>
    </xf>
    <xf numFmtId="0" fontId="34" fillId="0" borderId="36" xfId="0" applyFont="1" applyBorder="1" applyAlignment="1">
      <alignment horizontal="justify"/>
    </xf>
    <xf numFmtId="43" fontId="26" fillId="0" borderId="21" xfId="0" applyNumberFormat="1" applyFont="1" applyBorder="1" applyAlignment="1">
      <alignment horizontal="right"/>
    </xf>
    <xf numFmtId="0" fontId="18" fillId="0" borderId="21" xfId="0" applyFont="1" applyBorder="1" applyAlignment="1">
      <alignment horizontal="left"/>
    </xf>
    <xf numFmtId="0" fontId="20" fillId="0" borderId="21" xfId="8182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20" fillId="0" borderId="21" xfId="0" applyFont="1" applyBorder="1" applyAlignment="1">
      <alignment horizontal="left" wrapText="1"/>
    </xf>
    <xf numFmtId="43" fontId="26" fillId="46" borderId="22" xfId="8177" applyFont="1" applyFill="1" applyBorder="1" applyAlignment="1">
      <alignment vertical="center"/>
    </xf>
    <xf numFmtId="0" fontId="20" fillId="0" borderId="39" xfId="0" applyFont="1" applyBorder="1" applyAlignment="1">
      <alignment horizontal="left" wrapText="1"/>
    </xf>
    <xf numFmtId="43" fontId="20" fillId="0" borderId="45" xfId="8177" applyFont="1" applyFill="1" applyBorder="1" applyAlignment="1"/>
    <xf numFmtId="43" fontId="26" fillId="46" borderId="23" xfId="8177" applyFont="1" applyFill="1" applyBorder="1" applyAlignment="1">
      <alignment vertical="center"/>
    </xf>
    <xf numFmtId="43" fontId="19" fillId="0" borderId="41" xfId="8177" applyFont="1" applyFill="1" applyBorder="1" applyAlignment="1"/>
    <xf numFmtId="0" fontId="34" fillId="0" borderId="22" xfId="0" applyFont="1" applyBorder="1" applyAlignment="1">
      <alignment horizontal="justify"/>
    </xf>
    <xf numFmtId="0" fontId="20" fillId="0" borderId="40" xfId="0" applyFont="1" applyBorder="1" applyAlignment="1">
      <alignment horizontal="left" wrapText="1"/>
    </xf>
    <xf numFmtId="43" fontId="20" fillId="0" borderId="23" xfId="8177" applyFont="1" applyFill="1" applyBorder="1" applyAlignment="1"/>
    <xf numFmtId="0" fontId="26" fillId="0" borderId="22" xfId="0" applyFont="1" applyBorder="1" applyAlignment="1">
      <alignment horizontal="justify"/>
    </xf>
    <xf numFmtId="0" fontId="33" fillId="0" borderId="20" xfId="0" applyFont="1" applyBorder="1" applyAlignment="1">
      <alignment horizontal="justify"/>
    </xf>
    <xf numFmtId="0" fontId="26" fillId="0" borderId="23" xfId="0" applyFont="1" applyBorder="1" applyAlignment="1">
      <alignment horizontal="justify"/>
    </xf>
    <xf numFmtId="0" fontId="20" fillId="0" borderId="21" xfId="8182" applyFont="1" applyBorder="1" applyAlignment="1">
      <alignment horizontal="left" wrapText="1"/>
    </xf>
    <xf numFmtId="43" fontId="26" fillId="52" borderId="0" xfId="8177" applyFont="1" applyFill="1" applyBorder="1" applyAlignment="1"/>
    <xf numFmtId="0" fontId="0" fillId="0" borderId="0" xfId="0" applyAlignment="1">
      <alignment vertical="center"/>
    </xf>
    <xf numFmtId="43" fontId="26" fillId="0" borderId="23" xfId="1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justify"/>
    </xf>
    <xf numFmtId="43" fontId="26" fillId="0" borderId="21" xfId="8177" applyFont="1" applyFill="1" applyBorder="1" applyAlignment="1"/>
    <xf numFmtId="0" fontId="20" fillId="0" borderId="22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43" fontId="20" fillId="0" borderId="21" xfId="8177" applyFont="1" applyFill="1" applyBorder="1" applyAlignment="1">
      <alignment horizontal="right" wrapText="1"/>
    </xf>
    <xf numFmtId="165" fontId="26" fillId="52" borderId="0" xfId="8177" applyNumberFormat="1" applyFont="1" applyFill="1" applyBorder="1" applyAlignment="1"/>
    <xf numFmtId="43" fontId="20" fillId="0" borderId="45" xfId="8177" applyFont="1" applyFill="1" applyBorder="1" applyAlignment="1">
      <alignment horizontal="right" wrapText="1"/>
    </xf>
    <xf numFmtId="43" fontId="19" fillId="0" borderId="41" xfId="8177" applyFont="1" applyFill="1" applyBorder="1" applyAlignment="1">
      <alignment horizontal="right" wrapText="1"/>
    </xf>
    <xf numFmtId="43" fontId="26" fillId="0" borderId="23" xfId="8177" applyFont="1" applyFill="1" applyBorder="1" applyAlignment="1">
      <alignment vertical="center"/>
    </xf>
    <xf numFmtId="43" fontId="26" fillId="0" borderId="23" xfId="0" applyNumberFormat="1" applyFont="1" applyBorder="1" applyAlignment="1">
      <alignment horizontal="right" wrapText="1"/>
    </xf>
    <xf numFmtId="0" fontId="20" fillId="0" borderId="23" xfId="0" applyFont="1" applyBorder="1" applyAlignment="1">
      <alignment horizontal="left" wrapText="1"/>
    </xf>
    <xf numFmtId="0" fontId="20" fillId="0" borderId="22" xfId="0" applyFont="1" applyBorder="1" applyAlignment="1">
      <alignment horizontal="left" wrapText="1"/>
    </xf>
    <xf numFmtId="0" fontId="20" fillId="0" borderId="39" xfId="8182" applyFont="1" applyBorder="1" applyAlignment="1">
      <alignment horizontal="left"/>
    </xf>
    <xf numFmtId="43" fontId="0" fillId="52" borderId="0" xfId="1" applyFont="1" applyFill="1"/>
    <xf numFmtId="0" fontId="20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  <xf numFmtId="43" fontId="26" fillId="51" borderId="22" xfId="8177" applyFont="1" applyFill="1" applyBorder="1" applyAlignment="1">
      <alignment vertical="center"/>
    </xf>
    <xf numFmtId="0" fontId="26" fillId="0" borderId="36" xfId="0" applyFont="1" applyBorder="1" applyAlignment="1">
      <alignment horizontal="justify"/>
    </xf>
    <xf numFmtId="0" fontId="0" fillId="0" borderId="38" xfId="0" applyBorder="1" applyAlignment="1">
      <alignment horizontal="center"/>
    </xf>
    <xf numFmtId="0" fontId="20" fillId="0" borderId="21" xfId="7470" applyFont="1" applyBorder="1" applyAlignment="1">
      <alignment horizontal="left"/>
    </xf>
    <xf numFmtId="0" fontId="26" fillId="0" borderId="21" xfId="0" applyFont="1" applyBorder="1" applyAlignment="1">
      <alignment horizontal="left" wrapText="1"/>
    </xf>
    <xf numFmtId="43" fontId="26" fillId="45" borderId="21" xfId="8177" applyFont="1" applyFill="1" applyBorder="1" applyAlignment="1">
      <alignment vertical="center"/>
    </xf>
    <xf numFmtId="43" fontId="20" fillId="0" borderId="45" xfId="44" applyFont="1" applyFill="1" applyBorder="1" applyAlignment="1">
      <alignment horizontal="center"/>
    </xf>
    <xf numFmtId="0" fontId="20" fillId="0" borderId="21" xfId="8182" applyFont="1" applyBorder="1" applyAlignment="1">
      <alignment horizontal="right"/>
    </xf>
    <xf numFmtId="43" fontId="19" fillId="0" borderId="46" xfId="44" applyFont="1" applyFill="1" applyBorder="1" applyAlignment="1">
      <alignment horizontal="center"/>
    </xf>
    <xf numFmtId="43" fontId="20" fillId="0" borderId="23" xfId="44" applyFont="1" applyFill="1" applyBorder="1" applyAlignment="1">
      <alignment horizontal="center"/>
    </xf>
    <xf numFmtId="43" fontId="0" fillId="46" borderId="0" xfId="1" applyFont="1" applyFill="1"/>
    <xf numFmtId="43" fontId="14" fillId="46" borderId="0" xfId="1" applyFont="1" applyFill="1"/>
    <xf numFmtId="0" fontId="0" fillId="46" borderId="0" xfId="0" applyFill="1"/>
    <xf numFmtId="43" fontId="20" fillId="0" borderId="21" xfId="8177" applyFont="1" applyFill="1" applyBorder="1" applyAlignment="1">
      <alignment horizontal="right"/>
    </xf>
    <xf numFmtId="43" fontId="20" fillId="0" borderId="21" xfId="44" applyFont="1" applyFill="1" applyBorder="1" applyAlignment="1">
      <alignment horizontal="center"/>
    </xf>
    <xf numFmtId="43" fontId="0" fillId="49" borderId="0" xfId="1" applyFont="1" applyFill="1"/>
    <xf numFmtId="43" fontId="14" fillId="49" borderId="0" xfId="1" applyFont="1" applyFill="1"/>
    <xf numFmtId="0" fontId="0" fillId="45" borderId="0" xfId="0" applyFill="1"/>
    <xf numFmtId="43" fontId="0" fillId="0" borderId="0" xfId="1" applyFont="1" applyAlignment="1">
      <alignment vertical="center"/>
    </xf>
    <xf numFmtId="0" fontId="26" fillId="49" borderId="21" xfId="0" applyFont="1" applyFill="1" applyBorder="1" applyAlignment="1">
      <alignment horizontal="center"/>
    </xf>
    <xf numFmtId="0" fontId="20" fillId="49" borderId="21" xfId="0" applyFont="1" applyFill="1" applyBorder="1" applyAlignment="1">
      <alignment horizontal="left" wrapText="1"/>
    </xf>
    <xf numFmtId="0" fontId="20" fillId="49" borderId="21" xfId="8182" applyFont="1" applyFill="1" applyBorder="1" applyAlignment="1">
      <alignment horizontal="left" wrapText="1"/>
    </xf>
    <xf numFmtId="43" fontId="20" fillId="49" borderId="21" xfId="8177" applyFont="1" applyFill="1" applyBorder="1" applyAlignment="1"/>
    <xf numFmtId="43" fontId="26" fillId="49" borderId="23" xfId="8177" applyFont="1" applyFill="1" applyBorder="1" applyAlignment="1">
      <alignment vertical="center"/>
    </xf>
    <xf numFmtId="43" fontId="26" fillId="0" borderId="23" xfId="1" applyFont="1" applyFill="1" applyBorder="1" applyAlignment="1">
      <alignment vertical="center"/>
    </xf>
    <xf numFmtId="43" fontId="0" fillId="49" borderId="0" xfId="1" applyFont="1" applyFill="1" applyAlignment="1">
      <alignment vertical="center"/>
    </xf>
    <xf numFmtId="0" fontId="26" fillId="0" borderId="22" xfId="0" applyFont="1" applyBorder="1" applyAlignment="1">
      <alignment horizontal="center"/>
    </xf>
    <xf numFmtId="43" fontId="20" fillId="0" borderId="22" xfId="8177" applyFont="1" applyFill="1" applyBorder="1" applyAlignment="1"/>
    <xf numFmtId="43" fontId="26" fillId="0" borderId="22" xfId="8177" applyFont="1" applyFill="1" applyBorder="1" applyAlignment="1">
      <alignment vertical="center"/>
    </xf>
    <xf numFmtId="43" fontId="26" fillId="0" borderId="22" xfId="1" applyFont="1" applyFill="1" applyBorder="1" applyAlignment="1">
      <alignment vertical="center"/>
    </xf>
    <xf numFmtId="0" fontId="26" fillId="0" borderId="41" xfId="0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1" fillId="0" borderId="41" xfId="0" applyFont="1" applyBorder="1" applyAlignment="1">
      <alignment horizontal="justify" wrapText="1"/>
    </xf>
    <xf numFmtId="43" fontId="21" fillId="0" borderId="41" xfId="0" applyNumberFormat="1" applyFont="1" applyBorder="1" applyAlignment="1">
      <alignment horizontal="center" vertical="center" wrapText="1"/>
    </xf>
    <xf numFmtId="43" fontId="21" fillId="0" borderId="41" xfId="1" applyFont="1" applyFill="1" applyBorder="1" applyAlignment="1">
      <alignment horizontal="center" vertical="center" wrapText="1"/>
    </xf>
    <xf numFmtId="0" fontId="26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justify"/>
    </xf>
    <xf numFmtId="0" fontId="21" fillId="0" borderId="36" xfId="0" applyFont="1" applyBorder="1" applyAlignment="1">
      <alignment horizontal="justify" wrapText="1"/>
    </xf>
    <xf numFmtId="43" fontId="21" fillId="0" borderId="36" xfId="0" applyNumberFormat="1" applyFont="1" applyBorder="1" applyAlignment="1">
      <alignment horizontal="center" vertical="center" wrapText="1"/>
    </xf>
    <xf numFmtId="43" fontId="21" fillId="0" borderId="36" xfId="1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horizontal="left" wrapText="1"/>
    </xf>
    <xf numFmtId="0" fontId="26" fillId="0" borderId="23" xfId="0" applyFont="1" applyBorder="1" applyAlignment="1">
      <alignment horizontal="justify" wrapText="1"/>
    </xf>
    <xf numFmtId="43" fontId="26" fillId="0" borderId="23" xfId="0" applyNumberFormat="1" applyFont="1" applyBorder="1" applyAlignment="1">
      <alignment vertical="center"/>
    </xf>
    <xf numFmtId="0" fontId="21" fillId="0" borderId="21" xfId="0" applyFont="1" applyBorder="1" applyAlignment="1">
      <alignment horizontal="center" wrapText="1"/>
    </xf>
    <xf numFmtId="0" fontId="21" fillId="0" borderId="21" xfId="0" applyFont="1" applyBorder="1" applyAlignment="1">
      <alignment horizontal="left" wrapText="1"/>
    </xf>
    <xf numFmtId="0" fontId="26" fillId="0" borderId="21" xfId="0" applyFont="1" applyBorder="1" applyAlignment="1">
      <alignment horizontal="justify" wrapText="1"/>
    </xf>
    <xf numFmtId="43" fontId="26" fillId="0" borderId="21" xfId="0" applyNumberFormat="1" applyFont="1" applyBorder="1" applyAlignment="1">
      <alignment vertical="center"/>
    </xf>
    <xf numFmtId="4" fontId="26" fillId="0" borderId="21" xfId="0" applyNumberFormat="1" applyFont="1" applyBorder="1" applyAlignment="1">
      <alignment horizontal="right" wrapText="1"/>
    </xf>
    <xf numFmtId="2" fontId="26" fillId="0" borderId="21" xfId="0" applyNumberFormat="1" applyFont="1" applyBorder="1" applyAlignment="1">
      <alignment horizontal="right" wrapText="1"/>
    </xf>
    <xf numFmtId="43" fontId="26" fillId="51" borderId="21" xfId="0" applyNumberFormat="1" applyFont="1" applyFill="1" applyBorder="1" applyAlignment="1">
      <alignment horizontal="right" vertical="center" wrapText="1"/>
    </xf>
    <xf numFmtId="43" fontId="26" fillId="46" borderId="21" xfId="0" applyNumberFormat="1" applyFont="1" applyFill="1" applyBorder="1" applyAlignment="1">
      <alignment horizontal="right" vertical="center" wrapText="1"/>
    </xf>
    <xf numFmtId="0" fontId="26" fillId="0" borderId="36" xfId="0" applyFont="1" applyBorder="1"/>
    <xf numFmtId="0" fontId="26" fillId="0" borderId="36" xfId="0" applyFont="1" applyBorder="1" applyAlignment="1">
      <alignment horizontal="justify" wrapText="1"/>
    </xf>
    <xf numFmtId="43" fontId="26" fillId="51" borderId="36" xfId="0" applyNumberFormat="1" applyFont="1" applyFill="1" applyBorder="1" applyAlignment="1">
      <alignment horizontal="right" wrapText="1"/>
    </xf>
    <xf numFmtId="43" fontId="26" fillId="46" borderId="36" xfId="0" applyNumberFormat="1" applyFont="1" applyFill="1" applyBorder="1" applyAlignment="1">
      <alignment horizontal="right" wrapText="1"/>
    </xf>
    <xf numFmtId="0" fontId="26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6" fillId="0" borderId="42" xfId="0" applyFont="1" applyBorder="1"/>
    <xf numFmtId="0" fontId="26" fillId="0" borderId="42" xfId="0" applyFont="1" applyBorder="1" applyAlignment="1">
      <alignment horizontal="justify" wrapText="1"/>
    </xf>
    <xf numFmtId="43" fontId="21" fillId="0" borderId="42" xfId="0" applyNumberFormat="1" applyFont="1" applyBorder="1" applyAlignment="1">
      <alignment horizontal="right" wrapText="1"/>
    </xf>
    <xf numFmtId="43" fontId="21" fillId="0" borderId="42" xfId="1" applyFont="1" applyFill="1" applyBorder="1"/>
    <xf numFmtId="0" fontId="26" fillId="0" borderId="19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6" fillId="0" borderId="19" xfId="0" applyFont="1" applyBorder="1"/>
    <xf numFmtId="0" fontId="26" fillId="0" borderId="19" xfId="0" applyFont="1" applyBorder="1" applyAlignment="1">
      <alignment horizontal="justify" wrapText="1"/>
    </xf>
    <xf numFmtId="43" fontId="21" fillId="0" borderId="19" xfId="0" applyNumberFormat="1" applyFont="1" applyBorder="1" applyAlignment="1">
      <alignment horizontal="right" wrapText="1"/>
    </xf>
    <xf numFmtId="43" fontId="26" fillId="0" borderId="47" xfId="1" applyFont="1" applyFill="1" applyBorder="1"/>
    <xf numFmtId="0" fontId="26" fillId="0" borderId="25" xfId="0" applyFont="1" applyBorder="1" applyAlignment="1">
      <alignment horizontal="center"/>
    </xf>
    <xf numFmtId="0" fontId="21" fillId="0" borderId="25" xfId="0" applyFont="1" applyBorder="1" applyAlignment="1">
      <alignment horizontal="center" vertical="center"/>
    </xf>
    <xf numFmtId="0" fontId="26" fillId="0" borderId="27" xfId="0" applyFont="1" applyBorder="1" applyAlignment="1">
      <alignment horizontal="justify" vertical="center" wrapText="1"/>
    </xf>
    <xf numFmtId="43" fontId="21" fillId="0" borderId="35" xfId="1" applyFont="1" applyFill="1" applyBorder="1" applyAlignment="1">
      <alignment horizontal="right" vertical="center" wrapText="1"/>
    </xf>
    <xf numFmtId="0" fontId="20" fillId="0" borderId="13" xfId="46" applyFont="1" applyBorder="1"/>
    <xf numFmtId="165" fontId="20" fillId="0" borderId="13" xfId="46" applyNumberFormat="1" applyFont="1" applyBorder="1"/>
    <xf numFmtId="165" fontId="19" fillId="0" borderId="13" xfId="46" applyNumberFormat="1" applyFont="1" applyBorder="1"/>
    <xf numFmtId="0" fontId="16" fillId="0" borderId="0" xfId="0" applyFont="1" applyAlignment="1">
      <alignment wrapText="1"/>
    </xf>
    <xf numFmtId="165" fontId="19" fillId="0" borderId="0" xfId="46" applyNumberFormat="1" applyFont="1"/>
    <xf numFmtId="165" fontId="20" fillId="0" borderId="0" xfId="46" applyNumberFormat="1" applyFont="1"/>
    <xf numFmtId="166" fontId="19" fillId="0" borderId="10" xfId="47" applyNumberFormat="1" applyFont="1" applyBorder="1"/>
    <xf numFmtId="166" fontId="20" fillId="0" borderId="10" xfId="47" applyNumberFormat="1" applyFont="1" applyBorder="1"/>
    <xf numFmtId="0" fontId="19" fillId="0" borderId="13" xfId="46" applyFont="1" applyBorder="1"/>
    <xf numFmtId="0" fontId="19" fillId="0" borderId="24" xfId="46" applyFont="1" applyBorder="1"/>
    <xf numFmtId="165" fontId="19" fillId="0" borderId="24" xfId="1" applyNumberFormat="1" applyFont="1" applyBorder="1"/>
    <xf numFmtId="165" fontId="20" fillId="0" borderId="24" xfId="1" applyNumberFormat="1" applyFont="1" applyBorder="1"/>
    <xf numFmtId="0" fontId="19" fillId="0" borderId="37" xfId="46" applyFont="1" applyBorder="1"/>
    <xf numFmtId="166" fontId="19" fillId="0" borderId="0" xfId="46" applyNumberFormat="1" applyFont="1"/>
    <xf numFmtId="15" fontId="19" fillId="0" borderId="10" xfId="43" quotePrefix="1" applyNumberFormat="1" applyFont="1" applyBorder="1" applyAlignment="1">
      <alignment horizontal="right"/>
    </xf>
    <xf numFmtId="165" fontId="21" fillId="0" borderId="0" xfId="0" applyNumberFormat="1" applyFont="1"/>
    <xf numFmtId="43" fontId="26" fillId="0" borderId="0" xfId="1" applyFont="1" applyFill="1" applyBorder="1"/>
    <xf numFmtId="43" fontId="18" fillId="0" borderId="0" xfId="1" applyFont="1"/>
    <xf numFmtId="37" fontId="18" fillId="0" borderId="0" xfId="1" applyNumberFormat="1" applyFont="1"/>
    <xf numFmtId="37" fontId="18" fillId="0" borderId="0" xfId="1" applyNumberFormat="1" applyFont="1" applyBorder="1"/>
    <xf numFmtId="3" fontId="18" fillId="0" borderId="0" xfId="0" applyNumberFormat="1" applyFont="1"/>
    <xf numFmtId="3" fontId="18" fillId="0" borderId="0" xfId="0" applyNumberFormat="1" applyFont="1" applyAlignment="1">
      <alignment horizontal="left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wrapText="1"/>
    </xf>
    <xf numFmtId="0" fontId="18" fillId="0" borderId="0" xfId="43"/>
    <xf numFmtId="0" fontId="18" fillId="0" borderId="0" xfId="43" applyAlignment="1">
      <alignment horizontal="center"/>
    </xf>
    <xf numFmtId="3" fontId="50" fillId="0" borderId="0" xfId="43" applyNumberFormat="1" applyFont="1"/>
    <xf numFmtId="0" fontId="51" fillId="0" borderId="0" xfId="0" applyFont="1"/>
    <xf numFmtId="1" fontId="51" fillId="0" borderId="21" xfId="0" applyNumberFormat="1" applyFont="1" applyBorder="1" applyAlignment="1">
      <alignment horizontal="center"/>
    </xf>
    <xf numFmtId="43" fontId="51" fillId="0" borderId="21" xfId="1" applyFont="1" applyFill="1" applyBorder="1"/>
    <xf numFmtId="1" fontId="51" fillId="0" borderId="0" xfId="0" applyNumberFormat="1" applyFont="1" applyAlignment="1">
      <alignment horizontal="left"/>
    </xf>
    <xf numFmtId="1" fontId="51" fillId="0" borderId="21" xfId="0" applyNumberFormat="1" applyFont="1" applyBorder="1"/>
    <xf numFmtId="43" fontId="41" fillId="0" borderId="0" xfId="1" applyFont="1"/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43" fontId="41" fillId="0" borderId="0" xfId="1" applyFont="1" applyFill="1"/>
    <xf numFmtId="43" fontId="51" fillId="0" borderId="0" xfId="1" applyFont="1" applyFill="1"/>
    <xf numFmtId="43" fontId="48" fillId="0" borderId="0" xfId="1" applyFont="1" applyFill="1"/>
    <xf numFmtId="43" fontId="53" fillId="0" borderId="0" xfId="1" applyFont="1" applyFill="1"/>
    <xf numFmtId="43" fontId="29" fillId="0" borderId="0" xfId="1" applyFont="1" applyFill="1"/>
    <xf numFmtId="0" fontId="0" fillId="44" borderId="0" xfId="0" applyFill="1"/>
    <xf numFmtId="43" fontId="29" fillId="44" borderId="0" xfId="1" applyFont="1" applyFill="1"/>
    <xf numFmtId="43" fontId="35" fillId="44" borderId="0" xfId="1" applyFont="1" applyFill="1"/>
    <xf numFmtId="43" fontId="26" fillId="51" borderId="21" xfId="8177" applyFont="1" applyFill="1" applyBorder="1" applyAlignment="1">
      <alignment horizontal="center" vertical="center" wrapText="1"/>
    </xf>
    <xf numFmtId="43" fontId="26" fillId="51" borderId="23" xfId="8177" applyFont="1" applyFill="1" applyBorder="1" applyAlignment="1">
      <alignment vertical="center"/>
    </xf>
    <xf numFmtId="43" fontId="0" fillId="0" borderId="0" xfId="1" applyFont="1" applyFill="1" applyAlignment="1">
      <alignment vertical="center"/>
    </xf>
    <xf numFmtId="43" fontId="26" fillId="51" borderId="23" xfId="8177" applyFont="1" applyFill="1" applyBorder="1" applyAlignment="1">
      <alignment horizontal="center" vertical="center" wrapText="1"/>
    </xf>
    <xf numFmtId="0" fontId="19" fillId="0" borderId="0" xfId="43" applyFont="1" applyAlignment="1">
      <alignment horizontal="left" wrapText="1"/>
    </xf>
    <xf numFmtId="0" fontId="16" fillId="0" borderId="15" xfId="0" applyFont="1" applyBorder="1"/>
    <xf numFmtId="0" fontId="28" fillId="0" borderId="21" xfId="0" applyFont="1" applyBorder="1" applyAlignment="1">
      <alignment horizontal="center"/>
    </xf>
    <xf numFmtId="4" fontId="35" fillId="0" borderId="21" xfId="1" applyNumberFormat="1" applyFont="1" applyBorder="1"/>
    <xf numFmtId="0" fontId="28" fillId="0" borderId="21" xfId="0" applyFont="1" applyBorder="1"/>
    <xf numFmtId="43" fontId="35" fillId="0" borderId="21" xfId="1" applyFont="1" applyFill="1" applyBorder="1"/>
    <xf numFmtId="4" fontId="38" fillId="0" borderId="21" xfId="1" applyNumberFormat="1" applyFont="1" applyBorder="1"/>
    <xf numFmtId="43" fontId="38" fillId="0" borderId="21" xfId="1" applyFont="1" applyFill="1" applyBorder="1"/>
    <xf numFmtId="43" fontId="38" fillId="0" borderId="21" xfId="1" applyFont="1" applyBorder="1"/>
    <xf numFmtId="4" fontId="35" fillId="0" borderId="36" xfId="1" applyNumberFormat="1" applyFont="1" applyBorder="1"/>
    <xf numFmtId="43" fontId="35" fillId="0" borderId="36" xfId="1" applyFont="1" applyFill="1" applyBorder="1"/>
    <xf numFmtId="164" fontId="14" fillId="0" borderId="0" xfId="0" applyNumberFormat="1" applyFont="1"/>
    <xf numFmtId="43" fontId="35" fillId="51" borderId="0" xfId="1" applyFont="1" applyFill="1"/>
    <xf numFmtId="43" fontId="0" fillId="0" borderId="0" xfId="1" applyFont="1" applyBorder="1"/>
    <xf numFmtId="0" fontId="16" fillId="0" borderId="21" xfId="0" applyFont="1" applyBorder="1"/>
    <xf numFmtId="0" fontId="20" fillId="0" borderId="39" xfId="8182" applyFont="1" applyBorder="1" applyAlignment="1">
      <alignment horizontal="right"/>
    </xf>
    <xf numFmtId="43" fontId="19" fillId="0" borderId="36" xfId="44" applyFont="1" applyFill="1" applyBorder="1" applyAlignment="1">
      <alignment horizontal="center"/>
    </xf>
    <xf numFmtId="43" fontId="19" fillId="0" borderId="21" xfId="44" applyFont="1" applyFill="1" applyBorder="1" applyAlignment="1">
      <alignment horizontal="center"/>
    </xf>
    <xf numFmtId="0" fontId="43" fillId="0" borderId="21" xfId="0" applyFont="1" applyBorder="1"/>
    <xf numFmtId="43" fontId="26" fillId="0" borderId="23" xfId="8177" applyFont="1" applyFill="1" applyBorder="1" applyAlignment="1">
      <alignment horizontal="center" vertical="center" wrapText="1"/>
    </xf>
    <xf numFmtId="43" fontId="21" fillId="0" borderId="41" xfId="1" applyFont="1" applyBorder="1" applyAlignment="1">
      <alignment horizontal="justify" wrapText="1"/>
    </xf>
    <xf numFmtId="165" fontId="0" fillId="51" borderId="0" xfId="0" applyNumberFormat="1" applyFill="1"/>
    <xf numFmtId="43" fontId="16" fillId="0" borderId="25" xfId="1" applyFont="1" applyBorder="1" applyAlignment="1">
      <alignment horizontal="center" wrapText="1"/>
    </xf>
    <xf numFmtId="43" fontId="37" fillId="0" borderId="0" xfId="1" applyFont="1"/>
    <xf numFmtId="165" fontId="0" fillId="44" borderId="0" xfId="1" applyNumberFormat="1" applyFont="1" applyFill="1"/>
    <xf numFmtId="43" fontId="38" fillId="0" borderId="20" xfId="1" applyFont="1" applyBorder="1"/>
    <xf numFmtId="43" fontId="38" fillId="0" borderId="0" xfId="1" applyFont="1"/>
    <xf numFmtId="164" fontId="16" fillId="0" borderId="0" xfId="0" applyNumberFormat="1" applyFont="1"/>
    <xf numFmtId="164" fontId="49" fillId="0" borderId="15" xfId="0" applyNumberFormat="1" applyFont="1" applyBorder="1"/>
    <xf numFmtId="0" fontId="14" fillId="49" borderId="0" xfId="0" applyFont="1" applyFill="1"/>
    <xf numFmtId="0" fontId="14" fillId="51" borderId="0" xfId="0" applyFont="1" applyFill="1"/>
    <xf numFmtId="0" fontId="49" fillId="0" borderId="0" xfId="0" applyFont="1"/>
    <xf numFmtId="0" fontId="14" fillId="45" borderId="0" xfId="0" applyFont="1" applyFill="1"/>
    <xf numFmtId="43" fontId="38" fillId="0" borderId="20" xfId="1" applyFont="1" applyFill="1" applyBorder="1"/>
    <xf numFmtId="43" fontId="35" fillId="49" borderId="0" xfId="1" applyFont="1" applyFill="1"/>
    <xf numFmtId="43" fontId="35" fillId="45" borderId="0" xfId="1" applyFont="1" applyFill="1"/>
    <xf numFmtId="43" fontId="28" fillId="0" borderId="0" xfId="1" applyFont="1" applyFill="1"/>
    <xf numFmtId="43" fontId="49" fillId="0" borderId="33" xfId="1" applyFont="1" applyFill="1" applyBorder="1"/>
    <xf numFmtId="164" fontId="18" fillId="0" borderId="0" xfId="0" applyNumberFormat="1" applyFont="1" applyAlignment="1">
      <alignment wrapText="1"/>
    </xf>
    <xf numFmtId="43" fontId="39" fillId="0" borderId="0" xfId="1" applyFont="1"/>
    <xf numFmtId="164" fontId="26" fillId="0" borderId="42" xfId="0" applyNumberFormat="1" applyFont="1" applyBorder="1" applyAlignment="1">
      <alignment horizontal="justify" wrapText="1"/>
    </xf>
    <xf numFmtId="164" fontId="26" fillId="0" borderId="27" xfId="0" applyNumberFormat="1" applyFont="1" applyBorder="1" applyAlignment="1">
      <alignment horizontal="justify" vertical="center" wrapText="1"/>
    </xf>
    <xf numFmtId="43" fontId="0" fillId="0" borderId="21" xfId="1" applyFont="1" applyFill="1" applyBorder="1"/>
    <xf numFmtId="43" fontId="37" fillId="0" borderId="0" xfId="1" applyFont="1" applyBorder="1" applyAlignment="1">
      <alignment horizontal="center"/>
    </xf>
    <xf numFmtId="43" fontId="37" fillId="0" borderId="21" xfId="1" applyFont="1" applyBorder="1" applyAlignment="1">
      <alignment horizontal="center"/>
    </xf>
    <xf numFmtId="43" fontId="16" fillId="0" borderId="21" xfId="1" quotePrefix="1" applyFont="1" applyBorder="1"/>
    <xf numFmtId="43" fontId="16" fillId="0" borderId="0" xfId="1" applyFont="1" applyFill="1" applyBorder="1" applyAlignment="1">
      <alignment horizontal="center"/>
    </xf>
    <xf numFmtId="43" fontId="16" fillId="0" borderId="0" xfId="1" quotePrefix="1" applyFont="1" applyBorder="1"/>
    <xf numFmtId="43" fontId="0" fillId="0" borderId="0" xfId="1" quotePrefix="1" applyFont="1"/>
    <xf numFmtId="0" fontId="16" fillId="0" borderId="20" xfId="0" applyFont="1" applyBorder="1"/>
    <xf numFmtId="43" fontId="16" fillId="0" borderId="21" xfId="1" quotePrefix="1" applyFont="1" applyFill="1" applyBorder="1" applyAlignment="1">
      <alignment horizontal="center"/>
    </xf>
    <xf numFmtId="43" fontId="16" fillId="0" borderId="21" xfId="1" quotePrefix="1" applyFont="1" applyBorder="1" applyAlignment="1">
      <alignment horizontal="center"/>
    </xf>
    <xf numFmtId="0" fontId="16" fillId="0" borderId="0" xfId="0" applyFont="1" applyAlignment="1">
      <alignment horizontal="center"/>
    </xf>
    <xf numFmtId="43" fontId="0" fillId="0" borderId="0" xfId="1" applyFont="1" applyFill="1" applyBorder="1"/>
    <xf numFmtId="43" fontId="14" fillId="0" borderId="0" xfId="1" applyFont="1" applyBorder="1"/>
    <xf numFmtId="43" fontId="16" fillId="0" borderId="0" xfId="1" applyFont="1" applyFill="1" applyBorder="1"/>
    <xf numFmtId="43" fontId="37" fillId="0" borderId="23" xfId="1" applyFont="1" applyFill="1" applyBorder="1"/>
    <xf numFmtId="43" fontId="37" fillId="0" borderId="23" xfId="1" applyFont="1" applyBorder="1"/>
    <xf numFmtId="0" fontId="0" fillId="0" borderId="20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16" fillId="0" borderId="28" xfId="0" applyFont="1" applyBorder="1" applyAlignment="1">
      <alignment horizontal="left"/>
    </xf>
    <xf numFmtId="0" fontId="16" fillId="0" borderId="30" xfId="0" applyFont="1" applyBorder="1" applyAlignment="1">
      <alignment horizontal="center"/>
    </xf>
    <xf numFmtId="0" fontId="16" fillId="0" borderId="50" xfId="0" applyFont="1" applyBorder="1" applyAlignment="1">
      <alignment horizontal="center"/>
    </xf>
    <xf numFmtId="0" fontId="57" fillId="0" borderId="0" xfId="0" applyFont="1"/>
    <xf numFmtId="43" fontId="0" fillId="0" borderId="21" xfId="0" applyNumberFormat="1" applyBorder="1"/>
    <xf numFmtId="43" fontId="0" fillId="44" borderId="0" xfId="1" applyFont="1" applyFill="1"/>
    <xf numFmtId="43" fontId="0" fillId="0" borderId="19" xfId="1" applyFont="1" applyFill="1" applyBorder="1"/>
    <xf numFmtId="43" fontId="0" fillId="0" borderId="19" xfId="1" applyFont="1" applyBorder="1"/>
    <xf numFmtId="43" fontId="0" fillId="0" borderId="50" xfId="1" applyFont="1" applyBorder="1"/>
    <xf numFmtId="43" fontId="14" fillId="0" borderId="0" xfId="1" applyFont="1" applyFill="1" applyBorder="1"/>
    <xf numFmtId="43" fontId="14" fillId="0" borderId="51" xfId="1" applyFont="1" applyBorder="1"/>
    <xf numFmtId="43" fontId="0" fillId="0" borderId="14" xfId="1" applyFont="1" applyFill="1" applyBorder="1"/>
    <xf numFmtId="43" fontId="16" fillId="0" borderId="15" xfId="1" applyFont="1" applyFill="1" applyBorder="1"/>
    <xf numFmtId="43" fontId="16" fillId="0" borderId="15" xfId="1" applyFont="1" applyBorder="1"/>
    <xf numFmtId="43" fontId="16" fillId="0" borderId="52" xfId="1" applyFont="1" applyBorder="1"/>
    <xf numFmtId="43" fontId="16" fillId="0" borderId="0" xfId="1" applyFont="1" applyBorder="1"/>
    <xf numFmtId="43" fontId="16" fillId="0" borderId="0" xfId="1" applyFont="1" applyAlignment="1">
      <alignment horizontal="left"/>
    </xf>
    <xf numFmtId="164" fontId="0" fillId="0" borderId="15" xfId="0" applyNumberFormat="1" applyBorder="1"/>
    <xf numFmtId="0" fontId="0" fillId="0" borderId="20" xfId="0" applyBorder="1"/>
    <xf numFmtId="43" fontId="0" fillId="0" borderId="22" xfId="1" applyFont="1" applyBorder="1"/>
    <xf numFmtId="0" fontId="16" fillId="0" borderId="26" xfId="0" applyFont="1" applyBorder="1"/>
    <xf numFmtId="0" fontId="14" fillId="0" borderId="25" xfId="0" applyFont="1" applyBorder="1"/>
    <xf numFmtId="43" fontId="14" fillId="0" borderId="53" xfId="1" applyFont="1" applyFill="1" applyBorder="1"/>
    <xf numFmtId="43" fontId="14" fillId="0" borderId="32" xfId="1" applyFont="1" applyFill="1" applyBorder="1"/>
    <xf numFmtId="43" fontId="14" fillId="0" borderId="14" xfId="1" applyFont="1" applyBorder="1"/>
    <xf numFmtId="43" fontId="14" fillId="0" borderId="20" xfId="1" applyFont="1" applyBorder="1"/>
    <xf numFmtId="43" fontId="14" fillId="0" borderId="27" xfId="1" applyFont="1" applyBorder="1"/>
    <xf numFmtId="0" fontId="0" fillId="0" borderId="0" xfId="0" applyAlignment="1">
      <alignment horizontal="left" vertical="top" wrapText="1"/>
    </xf>
    <xf numFmtId="43" fontId="34" fillId="0" borderId="0" xfId="1" applyFont="1" applyFill="1"/>
    <xf numFmtId="41" fontId="22" fillId="0" borderId="0" xfId="45" applyFont="1" applyFill="1"/>
    <xf numFmtId="43" fontId="26" fillId="0" borderId="21" xfId="8177" applyFont="1" applyFill="1" applyBorder="1" applyAlignment="1">
      <alignment horizontal="center" vertical="center" wrapText="1"/>
    </xf>
    <xf numFmtId="43" fontId="26" fillId="0" borderId="21" xfId="0" applyNumberFormat="1" applyFont="1" applyBorder="1" applyAlignment="1">
      <alignment horizontal="right" vertical="center" wrapText="1"/>
    </xf>
    <xf numFmtId="164" fontId="51" fillId="0" borderId="0" xfId="0" applyNumberFormat="1" applyFont="1"/>
    <xf numFmtId="43" fontId="51" fillId="0" borderId="0" xfId="1" applyFont="1" applyFill="1" applyAlignment="1"/>
    <xf numFmtId="43" fontId="59" fillId="0" borderId="0" xfId="1" applyFont="1" applyFill="1" applyAlignment="1">
      <alignment vertical="center"/>
    </xf>
    <xf numFmtId="0" fontId="34" fillId="0" borderId="0" xfId="0" applyFont="1"/>
    <xf numFmtId="37" fontId="51" fillId="0" borderId="0" xfId="1" applyNumberFormat="1" applyFont="1" applyFill="1" applyBorder="1"/>
    <xf numFmtId="43" fontId="51" fillId="0" borderId="51" xfId="1" applyFont="1" applyFill="1" applyBorder="1"/>
    <xf numFmtId="0" fontId="51" fillId="0" borderId="51" xfId="0" applyFont="1" applyBorder="1"/>
    <xf numFmtId="164" fontId="51" fillId="0" borderId="51" xfId="0" applyNumberFormat="1" applyFont="1" applyBorder="1"/>
    <xf numFmtId="164" fontId="48" fillId="0" borderId="27" xfId="0" applyNumberFormat="1" applyFont="1" applyBorder="1"/>
    <xf numFmtId="4" fontId="29" fillId="52" borderId="0" xfId="1" applyNumberFormat="1" applyFont="1" applyFill="1"/>
    <xf numFmtId="4" fontId="29" fillId="57" borderId="0" xfId="1" applyNumberFormat="1" applyFont="1" applyFill="1"/>
    <xf numFmtId="4" fontId="29" fillId="44" borderId="0" xfId="1" applyNumberFormat="1" applyFont="1" applyFill="1"/>
    <xf numFmtId="43" fontId="48" fillId="0" borderId="15" xfId="1" applyFont="1" applyFill="1" applyBorder="1"/>
    <xf numFmtId="164" fontId="16" fillId="0" borderId="15" xfId="0" applyNumberFormat="1" applyFont="1" applyBorder="1"/>
    <xf numFmtId="43" fontId="0" fillId="0" borderId="15" xfId="1" applyFont="1" applyBorder="1"/>
    <xf numFmtId="0" fontId="51" fillId="0" borderId="0" xfId="8176" applyFont="1"/>
    <xf numFmtId="1" fontId="48" fillId="0" borderId="0" xfId="0" applyNumberFormat="1" applyFont="1" applyAlignment="1">
      <alignment horizontal="left"/>
    </xf>
    <xf numFmtId="0" fontId="38" fillId="0" borderId="0" xfId="43" applyFont="1"/>
    <xf numFmtId="0" fontId="60" fillId="0" borderId="0" xfId="43" applyFont="1"/>
    <xf numFmtId="43" fontId="16" fillId="0" borderId="0" xfId="1" applyFont="1"/>
    <xf numFmtId="0" fontId="16" fillId="0" borderId="20" xfId="0" applyFont="1" applyBorder="1" applyAlignment="1">
      <alignment horizontal="center"/>
    </xf>
    <xf numFmtId="41" fontId="19" fillId="0" borderId="0" xfId="45" applyFont="1" applyBorder="1" applyAlignment="1">
      <alignment horizontal="left" wrapText="1"/>
    </xf>
    <xf numFmtId="43" fontId="16" fillId="0" borderId="0" xfId="1" applyFont="1" applyFill="1" applyAlignment="1">
      <alignment horizontal="right"/>
    </xf>
    <xf numFmtId="43" fontId="49" fillId="0" borderId="0" xfId="1" applyFont="1" applyBorder="1"/>
    <xf numFmtId="43" fontId="51" fillId="0" borderId="50" xfId="0" applyNumberFormat="1" applyFont="1" applyBorder="1"/>
    <xf numFmtId="43" fontId="51" fillId="0" borderId="53" xfId="0" applyNumberFormat="1" applyFont="1" applyBorder="1"/>
    <xf numFmtId="43" fontId="48" fillId="0" borderId="27" xfId="0" applyNumberFormat="1" applyFont="1" applyBorder="1"/>
    <xf numFmtId="43" fontId="38" fillId="0" borderId="13" xfId="1" applyFont="1" applyBorder="1"/>
    <xf numFmtId="0" fontId="0" fillId="0" borderId="20" xfId="0" applyBorder="1" applyAlignment="1">
      <alignment horizontal="center"/>
    </xf>
    <xf numFmtId="0" fontId="14" fillId="0" borderId="20" xfId="0" applyFont="1" applyBorder="1" applyAlignment="1">
      <alignment horizontal="center"/>
    </xf>
    <xf numFmtId="43" fontId="16" fillId="49" borderId="0" xfId="1" applyFont="1" applyFill="1" applyBorder="1"/>
    <xf numFmtId="165" fontId="20" fillId="0" borderId="0" xfId="43" applyNumberFormat="1" applyFont="1" applyAlignment="1">
      <alignment horizontal="left"/>
    </xf>
    <xf numFmtId="43" fontId="20" fillId="0" borderId="0" xfId="1" applyFont="1" applyAlignment="1">
      <alignment horizontal="left"/>
    </xf>
    <xf numFmtId="164" fontId="0" fillId="51" borderId="15" xfId="0" applyNumberFormat="1" applyFill="1" applyBorder="1"/>
    <xf numFmtId="164" fontId="0" fillId="51" borderId="0" xfId="0" applyNumberFormat="1" applyFill="1"/>
    <xf numFmtId="0" fontId="19" fillId="0" borderId="28" xfId="43" applyFont="1" applyBorder="1" applyAlignment="1">
      <alignment horizontal="center"/>
    </xf>
    <xf numFmtId="0" fontId="19" fillId="0" borderId="29" xfId="43" quotePrefix="1" applyFont="1" applyBorder="1" applyAlignment="1">
      <alignment horizontal="center"/>
    </xf>
    <xf numFmtId="0" fontId="19" fillId="0" borderId="28" xfId="43" applyFont="1" applyBorder="1" applyAlignment="1">
      <alignment horizontal="right"/>
    </xf>
    <xf numFmtId="0" fontId="19" fillId="0" borderId="29" xfId="43" quotePrefix="1" applyFont="1" applyBorder="1" applyAlignment="1">
      <alignment horizontal="right"/>
    </xf>
    <xf numFmtId="164" fontId="16" fillId="51" borderId="15" xfId="0" applyNumberFormat="1" applyFont="1" applyFill="1" applyBorder="1"/>
    <xf numFmtId="1" fontId="16" fillId="0" borderId="0" xfId="0" applyNumberFormat="1" applyFont="1" applyAlignment="1">
      <alignment horizontal="left"/>
    </xf>
    <xf numFmtId="165" fontId="26" fillId="0" borderId="0" xfId="8177" applyNumberFormat="1" applyFont="1" applyFill="1" applyBorder="1" applyAlignment="1"/>
    <xf numFmtId="43" fontId="26" fillId="0" borderId="0" xfId="8177" applyFont="1" applyFill="1" applyBorder="1" applyAlignment="1"/>
    <xf numFmtId="0" fontId="0" fillId="45" borderId="0" xfId="0" applyFill="1" applyAlignment="1">
      <alignment vertical="center"/>
    </xf>
    <xf numFmtId="0" fontId="16" fillId="0" borderId="38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4" xfId="0" applyFont="1" applyBorder="1"/>
    <xf numFmtId="0" fontId="16" fillId="0" borderId="39" xfId="0" applyFont="1" applyBorder="1"/>
    <xf numFmtId="4" fontId="16" fillId="0" borderId="0" xfId="0" applyNumberFormat="1" applyFont="1"/>
    <xf numFmtId="0" fontId="61" fillId="0" borderId="0" xfId="0" applyFont="1"/>
    <xf numFmtId="0" fontId="62" fillId="0" borderId="0" xfId="0" applyFont="1"/>
    <xf numFmtId="0" fontId="16" fillId="0" borderId="21" xfId="0" applyFont="1" applyBorder="1" applyAlignment="1">
      <alignment horizontal="center"/>
    </xf>
    <xf numFmtId="4" fontId="16" fillId="0" borderId="15" xfId="0" applyNumberFormat="1" applyFont="1" applyBorder="1"/>
    <xf numFmtId="0" fontId="16" fillId="58" borderId="15" xfId="0" applyFont="1" applyFill="1" applyBorder="1"/>
    <xf numFmtId="4" fontId="16" fillId="58" borderId="15" xfId="0" applyNumberFormat="1" applyFont="1" applyFill="1" applyBorder="1"/>
    <xf numFmtId="0" fontId="63" fillId="0" borderId="0" xfId="0" applyFont="1"/>
    <xf numFmtId="4" fontId="0" fillId="0" borderId="15" xfId="0" applyNumberFormat="1" applyBorder="1"/>
    <xf numFmtId="0" fontId="27" fillId="0" borderId="0" xfId="0" applyFont="1"/>
    <xf numFmtId="164" fontId="0" fillId="0" borderId="0" xfId="8183" applyFont="1"/>
    <xf numFmtId="43" fontId="23" fillId="0" borderId="0" xfId="1" applyFont="1"/>
    <xf numFmtId="165" fontId="18" fillId="0" borderId="0" xfId="0" applyNumberFormat="1" applyFont="1" applyAlignment="1">
      <alignment wrapText="1"/>
    </xf>
    <xf numFmtId="165" fontId="0" fillId="0" borderId="0" xfId="0" applyNumberFormat="1" applyAlignment="1">
      <alignment horizontal="left" wrapText="1"/>
    </xf>
    <xf numFmtId="0" fontId="47" fillId="0" borderId="28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vertical="center" wrapText="1"/>
    </xf>
    <xf numFmtId="43" fontId="19" fillId="0" borderId="36" xfId="8177" applyFont="1" applyFill="1" applyBorder="1" applyAlignment="1"/>
    <xf numFmtId="43" fontId="19" fillId="0" borderId="36" xfId="8177" applyFont="1" applyFill="1" applyBorder="1" applyAlignment="1">
      <alignment horizontal="right" wrapText="1"/>
    </xf>
    <xf numFmtId="43" fontId="20" fillId="0" borderId="0" xfId="8177" applyFont="1" applyFill="1" applyBorder="1" applyAlignment="1"/>
    <xf numFmtId="43" fontId="20" fillId="59" borderId="21" xfId="8177" applyFont="1" applyFill="1" applyBorder="1" applyAlignment="1"/>
    <xf numFmtId="43" fontId="16" fillId="0" borderId="0" xfId="0" applyNumberFormat="1" applyFont="1"/>
    <xf numFmtId="10" fontId="26" fillId="0" borderId="0" xfId="8179" applyNumberFormat="1" applyFont="1" applyFill="1" applyBorder="1"/>
    <xf numFmtId="10" fontId="26" fillId="0" borderId="21" xfId="8179" applyNumberFormat="1" applyFont="1" applyFill="1" applyBorder="1" applyAlignment="1">
      <alignment vertical="center"/>
    </xf>
    <xf numFmtId="10" fontId="21" fillId="0" borderId="21" xfId="8179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 wrapText="1"/>
    </xf>
    <xf numFmtId="43" fontId="26" fillId="0" borderId="0" xfId="1" applyFont="1" applyFill="1" applyBorder="1" applyAlignment="1">
      <alignment vertical="center"/>
    </xf>
    <xf numFmtId="43" fontId="21" fillId="0" borderId="0" xfId="1" applyFont="1" applyFill="1" applyBorder="1" applyAlignment="1">
      <alignment horizontal="center" vertical="center" wrapText="1"/>
    </xf>
    <xf numFmtId="0" fontId="64" fillId="0" borderId="0" xfId="43" applyFont="1" applyAlignment="1">
      <alignment horizontal="left" wrapText="1"/>
    </xf>
    <xf numFmtId="0" fontId="65" fillId="0" borderId="0" xfId="43" applyFont="1"/>
    <xf numFmtId="49" fontId="65" fillId="0" borderId="0" xfId="43" applyNumberFormat="1" applyFont="1" applyAlignment="1">
      <alignment horizontal="left" wrapText="1"/>
    </xf>
    <xf numFmtId="0" fontId="65" fillId="0" borderId="0" xfId="0" applyFont="1"/>
    <xf numFmtId="43" fontId="66" fillId="0" borderId="0" xfId="44" applyFont="1"/>
    <xf numFmtId="15" fontId="65" fillId="0" borderId="14" xfId="43" applyNumberFormat="1" applyFont="1" applyBorder="1" applyAlignment="1">
      <alignment horizontal="left"/>
    </xf>
    <xf numFmtId="0" fontId="65" fillId="0" borderId="19" xfId="43" applyFont="1" applyBorder="1"/>
    <xf numFmtId="0" fontId="65" fillId="0" borderId="19" xfId="43" applyFont="1" applyBorder="1" applyAlignment="1">
      <alignment horizontal="center" vertical="top"/>
    </xf>
    <xf numFmtId="15" fontId="64" fillId="0" borderId="19" xfId="43" quotePrefix="1" applyNumberFormat="1" applyFont="1" applyBorder="1" applyAlignment="1">
      <alignment horizontal="right" vertical="top"/>
    </xf>
    <xf numFmtId="15" fontId="65" fillId="0" borderId="19" xfId="43" quotePrefix="1" applyNumberFormat="1" applyFont="1" applyBorder="1" applyAlignment="1">
      <alignment horizontal="right" vertical="top"/>
    </xf>
    <xf numFmtId="15" fontId="65" fillId="0" borderId="19" xfId="43" quotePrefix="1" applyNumberFormat="1" applyFont="1" applyBorder="1" applyAlignment="1">
      <alignment horizontal="right" vertical="top" wrapText="1"/>
    </xf>
    <xf numFmtId="15" fontId="64" fillId="0" borderId="0" xfId="43" quotePrefix="1" applyNumberFormat="1" applyFont="1" applyAlignment="1">
      <alignment horizontal="right" vertical="top"/>
    </xf>
    <xf numFmtId="15" fontId="65" fillId="0" borderId="0" xfId="43" quotePrefix="1" applyNumberFormat="1" applyFont="1" applyAlignment="1">
      <alignment horizontal="right" vertical="top"/>
    </xf>
    <xf numFmtId="15" fontId="65" fillId="0" borderId="0" xfId="43" quotePrefix="1" applyNumberFormat="1" applyFont="1" applyAlignment="1">
      <alignment horizontal="right" vertical="top" wrapText="1"/>
    </xf>
    <xf numFmtId="0" fontId="64" fillId="0" borderId="19" xfId="43" applyFont="1" applyBorder="1"/>
    <xf numFmtId="15" fontId="65" fillId="0" borderId="19" xfId="43" applyNumberFormat="1" applyFont="1" applyBorder="1" applyAlignment="1">
      <alignment horizontal="right"/>
    </xf>
    <xf numFmtId="0" fontId="64" fillId="0" borderId="0" xfId="43" applyFont="1" applyAlignment="1">
      <alignment horizontal="left"/>
    </xf>
    <xf numFmtId="0" fontId="64" fillId="0" borderId="0" xfId="43" applyFont="1" applyAlignment="1">
      <alignment horizontal="center"/>
    </xf>
    <xf numFmtId="0" fontId="65" fillId="0" borderId="0" xfId="43" applyFont="1" applyAlignment="1">
      <alignment horizontal="center"/>
    </xf>
    <xf numFmtId="0" fontId="64" fillId="0" borderId="0" xfId="43" applyFont="1"/>
    <xf numFmtId="3" fontId="64" fillId="0" borderId="0" xfId="0" applyNumberFormat="1" applyFont="1"/>
    <xf numFmtId="3" fontId="65" fillId="0" borderId="0" xfId="43" applyNumberFormat="1" applyFont="1"/>
    <xf numFmtId="3" fontId="67" fillId="0" borderId="0" xfId="0" applyNumberFormat="1" applyFont="1"/>
    <xf numFmtId="3" fontId="43" fillId="0" borderId="0" xfId="43" applyNumberFormat="1" applyFont="1"/>
    <xf numFmtId="0" fontId="65" fillId="0" borderId="10" xfId="43" applyFont="1" applyBorder="1"/>
    <xf numFmtId="0" fontId="65" fillId="0" borderId="10" xfId="43" applyFont="1" applyBorder="1" applyAlignment="1">
      <alignment horizontal="center"/>
    </xf>
    <xf numFmtId="3" fontId="64" fillId="0" borderId="10" xfId="44" applyNumberFormat="1" applyFont="1" applyFill="1" applyBorder="1" applyAlignment="1">
      <alignment horizontal="center"/>
    </xf>
    <xf numFmtId="3" fontId="64" fillId="0" borderId="10" xfId="44" applyNumberFormat="1" applyFont="1" applyFill="1" applyBorder="1"/>
    <xf numFmtId="3" fontId="65" fillId="0" borderId="24" xfId="43" applyNumberFormat="1" applyFont="1" applyBorder="1"/>
    <xf numFmtId="3" fontId="64" fillId="0" borderId="0" xfId="44" applyNumberFormat="1" applyFont="1" applyFill="1" applyAlignment="1">
      <alignment horizontal="center"/>
    </xf>
    <xf numFmtId="3" fontId="67" fillId="0" borderId="0" xfId="43" applyNumberFormat="1" applyFont="1"/>
    <xf numFmtId="3" fontId="64" fillId="0" borderId="10" xfId="0" applyNumberFormat="1" applyFont="1" applyBorder="1"/>
    <xf numFmtId="3" fontId="65" fillId="0" borderId="10" xfId="43" applyNumberFormat="1" applyFont="1" applyBorder="1"/>
    <xf numFmtId="3" fontId="65" fillId="0" borderId="10" xfId="44" applyNumberFormat="1" applyFont="1" applyFill="1" applyBorder="1"/>
    <xf numFmtId="3" fontId="65" fillId="0" borderId="24" xfId="44" applyNumberFormat="1" applyFont="1" applyFill="1" applyBorder="1"/>
    <xf numFmtId="3" fontId="64" fillId="0" borderId="0" xfId="44" applyNumberFormat="1" applyFont="1" applyFill="1"/>
    <xf numFmtId="3" fontId="65" fillId="0" borderId="0" xfId="44" applyNumberFormat="1" applyFont="1" applyFill="1"/>
    <xf numFmtId="0" fontId="64" fillId="0" borderId="11" xfId="43" applyFont="1" applyBorder="1"/>
    <xf numFmtId="0" fontId="64" fillId="0" borderId="11" xfId="43" applyFont="1" applyBorder="1" applyAlignment="1">
      <alignment horizontal="center"/>
    </xf>
    <xf numFmtId="3" fontId="64" fillId="0" borderId="11" xfId="44" applyNumberFormat="1" applyFont="1" applyFill="1" applyBorder="1" applyAlignment="1">
      <alignment horizontal="center"/>
    </xf>
    <xf numFmtId="0" fontId="65" fillId="0" borderId="11" xfId="43" applyFont="1" applyBorder="1"/>
    <xf numFmtId="0" fontId="65" fillId="0" borderId="12" xfId="43" applyFont="1" applyBorder="1"/>
    <xf numFmtId="0" fontId="65" fillId="0" borderId="12" xfId="43" applyFont="1" applyBorder="1" applyAlignment="1">
      <alignment horizontal="center"/>
    </xf>
    <xf numFmtId="3" fontId="64" fillId="0" borderId="12" xfId="44" applyNumberFormat="1" applyFont="1" applyFill="1" applyBorder="1" applyAlignment="1">
      <alignment horizontal="center"/>
    </xf>
    <xf numFmtId="3" fontId="65" fillId="0" borderId="14" xfId="43" applyNumberFormat="1" applyFont="1" applyBorder="1"/>
    <xf numFmtId="165" fontId="65" fillId="0" borderId="0" xfId="43" applyNumberFormat="1" applyFont="1"/>
    <xf numFmtId="0" fontId="65" fillId="0" borderId="13" xfId="43" applyFont="1" applyBorder="1"/>
    <xf numFmtId="0" fontId="65" fillId="0" borderId="13" xfId="43" applyFont="1" applyBorder="1" applyAlignment="1">
      <alignment horizontal="center"/>
    </xf>
    <xf numFmtId="3" fontId="64" fillId="0" borderId="13" xfId="44" applyNumberFormat="1" applyFont="1" applyFill="1" applyBorder="1" applyAlignment="1">
      <alignment horizontal="center"/>
    </xf>
    <xf numFmtId="3" fontId="64" fillId="0" borderId="0" xfId="44" applyNumberFormat="1" applyFont="1" applyFill="1" applyAlignment="1">
      <alignment horizontal="right"/>
    </xf>
    <xf numFmtId="3" fontId="64" fillId="0" borderId="10" xfId="44" quotePrefix="1" applyNumberFormat="1" applyFont="1" applyFill="1" applyBorder="1" applyAlignment="1">
      <alignment horizontal="right"/>
    </xf>
    <xf numFmtId="0" fontId="64" fillId="0" borderId="13" xfId="43" applyFont="1" applyBorder="1"/>
    <xf numFmtId="0" fontId="64" fillId="0" borderId="13" xfId="43" applyFont="1" applyBorder="1" applyAlignment="1">
      <alignment horizontal="center"/>
    </xf>
    <xf numFmtId="165" fontId="65" fillId="0" borderId="10" xfId="43" applyNumberFormat="1" applyFont="1" applyBorder="1"/>
    <xf numFmtId="3" fontId="65" fillId="0" borderId="0" xfId="44" applyNumberFormat="1" applyFont="1" applyFill="1" applyAlignment="1">
      <alignment horizontal="right"/>
    </xf>
    <xf numFmtId="165" fontId="64" fillId="0" borderId="0" xfId="44" applyNumberFormat="1" applyFont="1" applyFill="1" applyAlignment="1">
      <alignment horizontal="center"/>
    </xf>
    <xf numFmtId="0" fontId="65" fillId="0" borderId="15" xfId="43" applyFont="1" applyBorder="1"/>
    <xf numFmtId="43" fontId="64" fillId="0" borderId="12" xfId="44" applyFont="1" applyFill="1" applyBorder="1" applyAlignment="1">
      <alignment horizontal="center"/>
    </xf>
    <xf numFmtId="0" fontId="65" fillId="0" borderId="14" xfId="43" applyFont="1" applyBorder="1"/>
    <xf numFmtId="0" fontId="65" fillId="0" borderId="0" xfId="43" applyFont="1" applyAlignment="1">
      <alignment horizontal="left"/>
    </xf>
    <xf numFmtId="43" fontId="64" fillId="0" borderId="0" xfId="44" applyFont="1" applyAlignment="1">
      <alignment horizontal="center"/>
    </xf>
    <xf numFmtId="43" fontId="64" fillId="0" borderId="0" xfId="44" applyFont="1"/>
    <xf numFmtId="15" fontId="65" fillId="0" borderId="50" xfId="43" quotePrefix="1" applyNumberFormat="1" applyFont="1" applyBorder="1" applyAlignment="1">
      <alignment horizontal="right" vertical="top"/>
    </xf>
    <xf numFmtId="15" fontId="64" fillId="0" borderId="10" xfId="43" quotePrefix="1" applyNumberFormat="1" applyFont="1" applyBorder="1" applyAlignment="1">
      <alignment horizontal="right" vertical="top"/>
    </xf>
    <xf numFmtId="15" fontId="65" fillId="0" borderId="55" xfId="43" quotePrefix="1" applyNumberFormat="1" applyFont="1" applyBorder="1" applyAlignment="1">
      <alignment horizontal="right" vertical="top"/>
    </xf>
    <xf numFmtId="15" fontId="65" fillId="0" borderId="0" xfId="43" applyNumberFormat="1" applyFont="1" applyAlignment="1">
      <alignment horizontal="left"/>
    </xf>
    <xf numFmtId="165" fontId="64" fillId="0" borderId="0" xfId="1" applyNumberFormat="1" applyFont="1" applyAlignment="1">
      <alignment horizontal="left"/>
    </xf>
    <xf numFmtId="165" fontId="64" fillId="0" borderId="0" xfId="1" applyNumberFormat="1" applyFont="1"/>
    <xf numFmtId="0" fontId="65" fillId="0" borderId="19" xfId="43" applyFont="1" applyBorder="1" applyAlignment="1">
      <alignment horizontal="center"/>
    </xf>
    <xf numFmtId="41" fontId="64" fillId="0" borderId="0" xfId="45" applyFont="1"/>
    <xf numFmtId="165" fontId="64" fillId="0" borderId="0" xfId="1" applyNumberFormat="1" applyFont="1" applyFill="1" applyAlignment="1">
      <alignment horizontal="center"/>
    </xf>
    <xf numFmtId="0" fontId="65" fillId="0" borderId="0" xfId="43" applyFont="1" applyAlignment="1">
      <alignment horizontal="center" vertical="center"/>
    </xf>
    <xf numFmtId="165" fontId="64" fillId="0" borderId="0" xfId="1" applyNumberFormat="1" applyFont="1" applyFill="1"/>
    <xf numFmtId="165" fontId="65" fillId="0" borderId="0" xfId="1" applyNumberFormat="1" applyFont="1" applyFill="1"/>
    <xf numFmtId="0" fontId="65" fillId="0" borderId="10" xfId="43" applyFont="1" applyBorder="1" applyAlignment="1">
      <alignment horizontal="center" vertical="center"/>
    </xf>
    <xf numFmtId="165" fontId="64" fillId="0" borderId="10" xfId="1" applyNumberFormat="1" applyFont="1" applyFill="1" applyBorder="1" applyAlignment="1">
      <alignment horizontal="center"/>
    </xf>
    <xf numFmtId="165" fontId="64" fillId="0" borderId="0" xfId="1" applyNumberFormat="1" applyFont="1" applyFill="1" applyBorder="1" applyAlignment="1">
      <alignment horizontal="center"/>
    </xf>
    <xf numFmtId="165" fontId="64" fillId="0" borderId="13" xfId="1" applyNumberFormat="1" applyFont="1" applyFill="1" applyBorder="1" applyAlignment="1">
      <alignment horizontal="center"/>
    </xf>
    <xf numFmtId="165" fontId="64" fillId="0" borderId="10" xfId="1" applyNumberFormat="1" applyFont="1" applyFill="1" applyBorder="1"/>
    <xf numFmtId="165" fontId="65" fillId="0" borderId="10" xfId="1" applyNumberFormat="1" applyFont="1" applyFill="1" applyBorder="1"/>
    <xf numFmtId="41" fontId="64" fillId="0" borderId="0" xfId="45" applyFont="1" applyBorder="1"/>
    <xf numFmtId="41" fontId="65" fillId="0" borderId="0" xfId="45" applyFont="1" applyBorder="1"/>
    <xf numFmtId="0" fontId="65" fillId="0" borderId="24" xfId="43" applyFont="1" applyBorder="1" applyAlignment="1">
      <alignment horizontal="center" vertical="center"/>
    </xf>
    <xf numFmtId="165" fontId="64" fillId="0" borderId="24" xfId="1" applyNumberFormat="1" applyFont="1" applyBorder="1" applyAlignment="1">
      <alignment horizontal="center"/>
    </xf>
    <xf numFmtId="165" fontId="65" fillId="0" borderId="24" xfId="1" applyNumberFormat="1" applyFont="1" applyBorder="1" applyAlignment="1">
      <alignment horizontal="center"/>
    </xf>
    <xf numFmtId="41" fontId="64" fillId="0" borderId="0" xfId="45" applyFont="1" applyBorder="1" applyAlignment="1">
      <alignment horizontal="left"/>
    </xf>
    <xf numFmtId="165" fontId="64" fillId="0" borderId="0" xfId="1" applyNumberFormat="1" applyFont="1" applyBorder="1" applyAlignment="1">
      <alignment horizontal="center"/>
    </xf>
    <xf numFmtId="41" fontId="65" fillId="0" borderId="0" xfId="45" applyFont="1" applyBorder="1" applyAlignment="1">
      <alignment horizontal="center" vertical="center"/>
    </xf>
    <xf numFmtId="41" fontId="65" fillId="0" borderId="0" xfId="45" applyFont="1" applyAlignment="1">
      <alignment horizontal="center" vertical="center"/>
    </xf>
    <xf numFmtId="165" fontId="64" fillId="0" borderId="0" xfId="1" applyNumberFormat="1" applyFont="1" applyAlignment="1">
      <alignment horizontal="center"/>
    </xf>
    <xf numFmtId="41" fontId="64" fillId="0" borderId="10" xfId="45" applyFont="1" applyBorder="1"/>
    <xf numFmtId="165" fontId="64" fillId="0" borderId="10" xfId="1" applyNumberFormat="1" applyFont="1" applyBorder="1" applyAlignment="1">
      <alignment horizontal="center"/>
    </xf>
    <xf numFmtId="43" fontId="65" fillId="0" borderId="10" xfId="1" applyFont="1" applyBorder="1"/>
    <xf numFmtId="41" fontId="65" fillId="0" borderId="0" xfId="45" applyFont="1"/>
    <xf numFmtId="41" fontId="65" fillId="0" borderId="0" xfId="45" applyFont="1" applyAlignment="1">
      <alignment horizontal="center"/>
    </xf>
    <xf numFmtId="165" fontId="64" fillId="0" borderId="0" xfId="1" applyNumberFormat="1" applyFont="1" applyBorder="1"/>
    <xf numFmtId="41" fontId="65" fillId="0" borderId="0" xfId="45" quotePrefix="1" applyFont="1" applyBorder="1" applyAlignment="1">
      <alignment horizontal="center"/>
    </xf>
    <xf numFmtId="165" fontId="65" fillId="0" borderId="0" xfId="1" applyNumberFormat="1" applyFont="1"/>
    <xf numFmtId="41" fontId="65" fillId="0" borderId="10" xfId="45" applyFont="1" applyBorder="1"/>
    <xf numFmtId="41" fontId="65" fillId="0" borderId="10" xfId="45" quotePrefix="1" applyFont="1" applyBorder="1" applyAlignment="1">
      <alignment horizontal="center"/>
    </xf>
    <xf numFmtId="165" fontId="64" fillId="0" borderId="10" xfId="1" applyNumberFormat="1" applyFont="1" applyBorder="1"/>
    <xf numFmtId="165" fontId="65" fillId="0" borderId="13" xfId="1" applyNumberFormat="1" applyFont="1" applyBorder="1"/>
    <xf numFmtId="165" fontId="65" fillId="0" borderId="10" xfId="1" applyNumberFormat="1" applyFont="1" applyBorder="1"/>
    <xf numFmtId="41" fontId="64" fillId="0" borderId="0" xfId="45" applyFont="1" applyAlignment="1">
      <alignment horizontal="center"/>
    </xf>
    <xf numFmtId="41" fontId="64" fillId="0" borderId="11" xfId="45" applyFont="1" applyBorder="1"/>
    <xf numFmtId="41" fontId="64" fillId="0" borderId="11" xfId="45" applyFont="1" applyBorder="1" applyAlignment="1">
      <alignment horizontal="center"/>
    </xf>
    <xf numFmtId="165" fontId="64" fillId="0" borderId="11" xfId="1" applyNumberFormat="1" applyFont="1" applyBorder="1" applyAlignment="1">
      <alignment horizontal="center"/>
    </xf>
    <xf numFmtId="41" fontId="68" fillId="0" borderId="12" xfId="45" applyFont="1" applyFill="1" applyBorder="1"/>
    <xf numFmtId="41" fontId="68" fillId="0" borderId="12" xfId="45" applyFont="1" applyFill="1" applyBorder="1" applyAlignment="1">
      <alignment horizontal="center"/>
    </xf>
    <xf numFmtId="165" fontId="69" fillId="0" borderId="12" xfId="1" applyNumberFormat="1" applyFont="1" applyFill="1" applyBorder="1" applyAlignment="1">
      <alignment horizontal="center"/>
    </xf>
    <xf numFmtId="165" fontId="69" fillId="0" borderId="14" xfId="1" applyNumberFormat="1" applyFont="1" applyBorder="1" applyAlignment="1">
      <alignment horizontal="center"/>
    </xf>
    <xf numFmtId="165" fontId="69" fillId="0" borderId="0" xfId="1" applyNumberFormat="1" applyFont="1"/>
    <xf numFmtId="0" fontId="68" fillId="0" borderId="0" xfId="43" applyFont="1"/>
    <xf numFmtId="0" fontId="68" fillId="0" borderId="0" xfId="43" applyFont="1" applyAlignment="1">
      <alignment horizontal="center"/>
    </xf>
    <xf numFmtId="0" fontId="64" fillId="0" borderId="14" xfId="43" applyFont="1" applyBorder="1"/>
    <xf numFmtId="0" fontId="66" fillId="0" borderId="0" xfId="0" applyFont="1"/>
    <xf numFmtId="0" fontId="70" fillId="0" borderId="0" xfId="0" applyFont="1" applyAlignment="1">
      <alignment horizontal="center"/>
    </xf>
    <xf numFmtId="165" fontId="66" fillId="0" borderId="0" xfId="1" applyNumberFormat="1" applyFont="1" applyAlignment="1">
      <alignment horizontal="right"/>
    </xf>
    <xf numFmtId="165" fontId="66" fillId="0" borderId="0" xfId="0" applyNumberFormat="1" applyFont="1" applyAlignment="1">
      <alignment horizontal="right"/>
    </xf>
    <xf numFmtId="0" fontId="66" fillId="0" borderId="13" xfId="0" applyFont="1" applyBorder="1"/>
    <xf numFmtId="0" fontId="70" fillId="0" borderId="13" xfId="0" applyFont="1" applyBorder="1" applyAlignment="1">
      <alignment horizontal="center"/>
    </xf>
    <xf numFmtId="165" fontId="71" fillId="0" borderId="13" xfId="1" applyNumberFormat="1" applyFont="1" applyBorder="1" applyAlignment="1">
      <alignment horizontal="center"/>
    </xf>
    <xf numFmtId="165" fontId="71" fillId="0" borderId="13" xfId="0" applyNumberFormat="1" applyFont="1" applyBorder="1" applyAlignment="1">
      <alignment horizontal="center"/>
    </xf>
    <xf numFmtId="165" fontId="71" fillId="0" borderId="0" xfId="0" applyNumberFormat="1" applyFont="1" applyAlignment="1">
      <alignment horizontal="center"/>
    </xf>
    <xf numFmtId="165" fontId="72" fillId="0" borderId="0" xfId="1" applyNumberFormat="1" applyFont="1"/>
    <xf numFmtId="165" fontId="72" fillId="0" borderId="0" xfId="0" applyNumberFormat="1" applyFont="1"/>
    <xf numFmtId="0" fontId="66" fillId="0" borderId="10" xfId="0" applyFont="1" applyBorder="1"/>
    <xf numFmtId="0" fontId="70" fillId="0" borderId="10" xfId="0" applyFont="1" applyBorder="1" applyAlignment="1">
      <alignment horizontal="center"/>
    </xf>
    <xf numFmtId="37" fontId="70" fillId="0" borderId="10" xfId="1" applyNumberFormat="1" applyFont="1" applyBorder="1"/>
    <xf numFmtId="165" fontId="70" fillId="0" borderId="10" xfId="1" applyNumberFormat="1" applyFont="1" applyFill="1" applyBorder="1"/>
    <xf numFmtId="165" fontId="70" fillId="0" borderId="10" xfId="0" applyNumberFormat="1" applyFont="1" applyBorder="1"/>
    <xf numFmtId="165" fontId="70" fillId="0" borderId="0" xfId="0" applyNumberFormat="1" applyFont="1"/>
    <xf numFmtId="165" fontId="70" fillId="0" borderId="0" xfId="1" applyNumberFormat="1" applyFont="1"/>
    <xf numFmtId="165" fontId="73" fillId="0" borderId="0" xfId="1" applyNumberFormat="1" applyFont="1"/>
    <xf numFmtId="0" fontId="70" fillId="0" borderId="0" xfId="0" applyFont="1"/>
    <xf numFmtId="37" fontId="70" fillId="0" borderId="0" xfId="1" applyNumberFormat="1" applyFont="1"/>
    <xf numFmtId="165" fontId="70" fillId="0" borderId="0" xfId="1" applyNumberFormat="1" applyFont="1" applyFill="1"/>
    <xf numFmtId="37" fontId="70" fillId="0" borderId="0" xfId="1" applyNumberFormat="1" applyFont="1" applyBorder="1"/>
    <xf numFmtId="165" fontId="66" fillId="0" borderId="0" xfId="1" applyNumberFormat="1" applyFont="1" applyBorder="1"/>
    <xf numFmtId="165" fontId="66" fillId="0" borderId="0" xfId="0" applyNumberFormat="1" applyFont="1"/>
    <xf numFmtId="165" fontId="72" fillId="0" borderId="0" xfId="1" applyNumberFormat="1" applyFont="1" applyFill="1"/>
    <xf numFmtId="165" fontId="73" fillId="0" borderId="0" xfId="1" applyNumberFormat="1" applyFont="1" applyBorder="1"/>
    <xf numFmtId="165" fontId="70" fillId="0" borderId="0" xfId="1" applyNumberFormat="1" applyFont="1" applyFill="1" applyBorder="1"/>
    <xf numFmtId="165" fontId="72" fillId="0" borderId="0" xfId="1" applyNumberFormat="1" applyFont="1" applyBorder="1"/>
    <xf numFmtId="0" fontId="64" fillId="0" borderId="0" xfId="0" applyFont="1"/>
    <xf numFmtId="0" fontId="65" fillId="0" borderId="0" xfId="0" quotePrefix="1" applyFont="1"/>
    <xf numFmtId="0" fontId="67" fillId="0" borderId="0" xfId="0" applyFont="1" applyAlignment="1">
      <alignment horizontal="center"/>
    </xf>
    <xf numFmtId="0" fontId="67" fillId="0" borderId="0" xfId="0" applyFont="1"/>
    <xf numFmtId="0" fontId="64" fillId="0" borderId="48" xfId="0" applyFont="1" applyBorder="1"/>
    <xf numFmtId="0" fontId="43" fillId="0" borderId="48" xfId="0" applyFont="1" applyBorder="1" applyAlignment="1">
      <alignment horizontal="center"/>
    </xf>
    <xf numFmtId="15" fontId="64" fillId="0" borderId="48" xfId="1" quotePrefix="1" applyNumberFormat="1" applyFont="1" applyFill="1" applyBorder="1" applyAlignment="1">
      <alignment horizontal="right"/>
    </xf>
    <xf numFmtId="15" fontId="65" fillId="0" borderId="48" xfId="1" quotePrefix="1" applyNumberFormat="1" applyFont="1" applyFill="1" applyBorder="1" applyAlignment="1">
      <alignment horizontal="right"/>
    </xf>
    <xf numFmtId="15" fontId="64" fillId="0" borderId="0" xfId="1" quotePrefix="1" applyNumberFormat="1" applyFont="1" applyFill="1" applyBorder="1" applyAlignment="1">
      <alignment horizontal="right"/>
    </xf>
    <xf numFmtId="0" fontId="65" fillId="0" borderId="0" xfId="0" applyFont="1" applyAlignment="1">
      <alignment horizontal="left"/>
    </xf>
    <xf numFmtId="165" fontId="67" fillId="0" borderId="0" xfId="0" applyNumberFormat="1" applyFont="1"/>
    <xf numFmtId="165" fontId="43" fillId="0" borderId="0" xfId="1" applyNumberFormat="1" applyFont="1" applyFill="1" applyBorder="1"/>
    <xf numFmtId="0" fontId="65" fillId="0" borderId="10" xfId="0" applyFont="1" applyBorder="1" applyAlignment="1">
      <alignment horizontal="left"/>
    </xf>
    <xf numFmtId="0" fontId="43" fillId="0" borderId="10" xfId="0" applyFont="1" applyBorder="1"/>
    <xf numFmtId="165" fontId="67" fillId="0" borderId="10" xfId="0" applyNumberFormat="1" applyFont="1" applyBorder="1"/>
    <xf numFmtId="165" fontId="43" fillId="0" borderId="10" xfId="1" applyNumberFormat="1" applyFont="1" applyFill="1" applyBorder="1"/>
    <xf numFmtId="0" fontId="64" fillId="0" borderId="24" xfId="0" applyFont="1" applyBorder="1" applyAlignment="1">
      <alignment horizontal="left"/>
    </xf>
    <xf numFmtId="0" fontId="67" fillId="0" borderId="24" xfId="0" applyFont="1" applyBorder="1"/>
    <xf numFmtId="165" fontId="67" fillId="0" borderId="24" xfId="1" applyNumberFormat="1" applyFont="1" applyFill="1" applyBorder="1"/>
    <xf numFmtId="165" fontId="43" fillId="0" borderId="24" xfId="1" applyNumberFormat="1" applyFont="1" applyFill="1" applyBorder="1"/>
    <xf numFmtId="0" fontId="64" fillId="0" borderId="0" xfId="0" applyFont="1" applyAlignment="1">
      <alignment horizontal="left"/>
    </xf>
    <xf numFmtId="165" fontId="67" fillId="0" borderId="0" xfId="1" applyNumberFormat="1" applyFont="1" applyFill="1" applyBorder="1"/>
    <xf numFmtId="0" fontId="64" fillId="0" borderId="10" xfId="0" applyFont="1" applyBorder="1"/>
    <xf numFmtId="165" fontId="43" fillId="0" borderId="10" xfId="0" applyNumberFormat="1" applyFont="1" applyBorder="1"/>
    <xf numFmtId="0" fontId="65" fillId="0" borderId="0" xfId="0" applyFont="1" applyAlignment="1">
      <alignment horizontal="left" indent="2"/>
    </xf>
    <xf numFmtId="165" fontId="43" fillId="0" borderId="0" xfId="0" applyNumberFormat="1" applyFont="1"/>
    <xf numFmtId="0" fontId="64" fillId="0" borderId="24" xfId="0" applyFont="1" applyBorder="1"/>
    <xf numFmtId="0" fontId="43" fillId="0" borderId="24" xfId="0" applyFont="1" applyBorder="1"/>
    <xf numFmtId="165" fontId="43" fillId="0" borderId="24" xfId="0" applyNumberFormat="1" applyFont="1" applyBorder="1"/>
    <xf numFmtId="0" fontId="43" fillId="0" borderId="0" xfId="0" applyFont="1" applyAlignment="1">
      <alignment horizontal="center"/>
    </xf>
    <xf numFmtId="0" fontId="43" fillId="0" borderId="24" xfId="0" applyFont="1" applyBorder="1" applyAlignment="1">
      <alignment horizontal="center"/>
    </xf>
    <xf numFmtId="0" fontId="43" fillId="0" borderId="10" xfId="0" applyFont="1" applyBorder="1" applyAlignment="1">
      <alignment horizontal="center"/>
    </xf>
    <xf numFmtId="0" fontId="64" fillId="0" borderId="10" xfId="0" applyFont="1" applyBorder="1" applyAlignment="1">
      <alignment horizontal="left" indent="2"/>
    </xf>
    <xf numFmtId="0" fontId="43" fillId="0" borderId="13" xfId="0" applyFont="1" applyBorder="1"/>
    <xf numFmtId="38" fontId="64" fillId="0" borderId="0" xfId="0" applyNumberFormat="1" applyFont="1" applyAlignment="1">
      <alignment horizontal="left" wrapText="1"/>
    </xf>
    <xf numFmtId="38" fontId="64" fillId="0" borderId="10" xfId="0" applyNumberFormat="1" applyFont="1" applyBorder="1" applyAlignment="1">
      <alignment horizontal="left" wrapText="1"/>
    </xf>
    <xf numFmtId="43" fontId="43" fillId="0" borderId="0" xfId="1" applyFont="1" applyFill="1" applyBorder="1"/>
    <xf numFmtId="38" fontId="64" fillId="0" borderId="11" xfId="0" applyNumberFormat="1" applyFont="1" applyBorder="1" applyAlignment="1">
      <alignment horizontal="left" wrapText="1"/>
    </xf>
    <xf numFmtId="0" fontId="43" fillId="0" borderId="11" xfId="0" applyFont="1" applyBorder="1" applyAlignment="1">
      <alignment horizontal="center"/>
    </xf>
    <xf numFmtId="165" fontId="67" fillId="0" borderId="11" xfId="0" applyNumberFormat="1" applyFont="1" applyBorder="1"/>
    <xf numFmtId="165" fontId="43" fillId="0" borderId="11" xfId="1" applyNumberFormat="1" applyFont="1" applyFill="1" applyBorder="1"/>
    <xf numFmtId="38" fontId="64" fillId="0" borderId="12" xfId="0" applyNumberFormat="1" applyFont="1" applyBorder="1"/>
    <xf numFmtId="0" fontId="43" fillId="0" borderId="12" xfId="0" applyFont="1" applyBorder="1"/>
    <xf numFmtId="165" fontId="67" fillId="0" borderId="12" xfId="0" applyNumberFormat="1" applyFont="1" applyBorder="1"/>
    <xf numFmtId="10" fontId="26" fillId="51" borderId="21" xfId="8179" applyNumberFormat="1" applyFont="1" applyFill="1" applyBorder="1" applyAlignment="1">
      <alignment vertical="center"/>
    </xf>
    <xf numFmtId="43" fontId="26" fillId="51" borderId="0" xfId="1" applyFont="1" applyFill="1" applyBorder="1" applyAlignment="1">
      <alignment vertical="center"/>
    </xf>
    <xf numFmtId="43" fontId="26" fillId="57" borderId="0" xfId="1" applyFont="1" applyFill="1" applyBorder="1" applyAlignment="1">
      <alignment vertical="center"/>
    </xf>
    <xf numFmtId="10" fontId="26" fillId="57" borderId="21" xfId="8179" applyNumberFormat="1" applyFont="1" applyFill="1" applyBorder="1" applyAlignment="1">
      <alignment vertical="center"/>
    </xf>
    <xf numFmtId="164" fontId="1" fillId="0" borderId="0" xfId="0" applyNumberFormat="1" applyFont="1"/>
    <xf numFmtId="0" fontId="26" fillId="0" borderId="21" xfId="0" applyFont="1" applyBorder="1"/>
    <xf numFmtId="0" fontId="26" fillId="0" borderId="39" xfId="0" applyFont="1" applyBorder="1" applyAlignment="1">
      <alignment horizontal="center"/>
    </xf>
    <xf numFmtId="0" fontId="0" fillId="51" borderId="0" xfId="0" applyFill="1"/>
    <xf numFmtId="170" fontId="18" fillId="0" borderId="0" xfId="8179" applyNumberFormat="1" applyFont="1" applyAlignment="1">
      <alignment wrapText="1"/>
    </xf>
    <xf numFmtId="43" fontId="20" fillId="0" borderId="0" xfId="1" applyFont="1" applyFill="1"/>
    <xf numFmtId="2" fontId="67" fillId="0" borderId="0" xfId="1" applyNumberFormat="1" applyFont="1" applyFill="1" applyBorder="1"/>
    <xf numFmtId="1" fontId="67" fillId="0" borderId="10" xfId="1" applyNumberFormat="1" applyFont="1" applyFill="1" applyBorder="1"/>
    <xf numFmtId="1" fontId="67" fillId="0" borderId="24" xfId="1" applyNumberFormat="1" applyFont="1" applyFill="1" applyBorder="1"/>
    <xf numFmtId="38" fontId="24" fillId="0" borderId="0" xfId="0" applyNumberFormat="1" applyFont="1"/>
    <xf numFmtId="0" fontId="75" fillId="0" borderId="0" xfId="0" applyFont="1"/>
    <xf numFmtId="41" fontId="22" fillId="0" borderId="0" xfId="45" applyFont="1" applyFill="1" applyAlignment="1">
      <alignment horizontal="center"/>
    </xf>
    <xf numFmtId="165" fontId="23" fillId="0" borderId="0" xfId="1" applyNumberFormat="1" applyFont="1" applyFill="1"/>
    <xf numFmtId="43" fontId="74" fillId="0" borderId="0" xfId="1" applyFont="1" applyFill="1" applyBorder="1" applyAlignment="1">
      <alignment vertical="center"/>
    </xf>
    <xf numFmtId="43" fontId="14" fillId="0" borderId="0" xfId="1" applyFont="1" applyFill="1"/>
    <xf numFmtId="43" fontId="26" fillId="0" borderId="0" xfId="1" applyFont="1" applyFill="1"/>
    <xf numFmtId="43" fontId="0" fillId="0" borderId="0" xfId="8177" applyFont="1" applyFill="1"/>
    <xf numFmtId="43" fontId="0" fillId="0" borderId="0" xfId="1" applyFont="1" applyAlignment="1">
      <alignment horizontal="center" wrapText="1"/>
    </xf>
    <xf numFmtId="43" fontId="56" fillId="0" borderId="0" xfId="1" applyFont="1" applyFill="1"/>
    <xf numFmtId="43" fontId="56" fillId="0" borderId="0" xfId="1" applyFont="1" applyFill="1" applyBorder="1"/>
    <xf numFmtId="43" fontId="51" fillId="0" borderId="38" xfId="1" applyFont="1" applyFill="1" applyBorder="1"/>
    <xf numFmtId="43" fontId="51" fillId="0" borderId="56" xfId="0" applyNumberFormat="1" applyFont="1" applyBorder="1"/>
    <xf numFmtId="0" fontId="51" fillId="0" borderId="56" xfId="0" applyFont="1" applyBorder="1"/>
    <xf numFmtId="43" fontId="0" fillId="50" borderId="0" xfId="0" applyNumberFormat="1" applyFill="1"/>
    <xf numFmtId="0" fontId="0" fillId="50" borderId="0" xfId="0" applyFill="1"/>
    <xf numFmtId="164" fontId="16" fillId="50" borderId="13" xfId="0" applyNumberFormat="1" applyFont="1" applyFill="1" applyBorder="1"/>
    <xf numFmtId="43" fontId="51" fillId="49" borderId="50" xfId="1" applyFont="1" applyFill="1" applyBorder="1"/>
    <xf numFmtId="43" fontId="51" fillId="49" borderId="51" xfId="1" applyFont="1" applyFill="1" applyBorder="1"/>
    <xf numFmtId="164" fontId="51" fillId="49" borderId="51" xfId="0" applyNumberFormat="1" applyFont="1" applyFill="1" applyBorder="1"/>
    <xf numFmtId="43" fontId="51" fillId="49" borderId="53" xfId="1" applyFont="1" applyFill="1" applyBorder="1"/>
    <xf numFmtId="43" fontId="51" fillId="51" borderId="56" xfId="1" applyFont="1" applyFill="1" applyBorder="1"/>
    <xf numFmtId="43" fontId="51" fillId="51" borderId="56" xfId="0" applyNumberFormat="1" applyFont="1" applyFill="1" applyBorder="1"/>
    <xf numFmtId="43" fontId="51" fillId="45" borderId="56" xfId="0" applyNumberFormat="1" applyFont="1" applyFill="1" applyBorder="1"/>
    <xf numFmtId="4" fontId="29" fillId="0" borderId="0" xfId="1" applyNumberFormat="1" applyFont="1" applyFill="1"/>
    <xf numFmtId="164" fontId="48" fillId="0" borderId="20" xfId="0" applyNumberFormat="1" applyFont="1" applyBorder="1"/>
    <xf numFmtId="0" fontId="20" fillId="0" borderId="38" xfId="8182" applyFont="1" applyBorder="1" applyAlignment="1">
      <alignment horizontal="left"/>
    </xf>
    <xf numFmtId="43" fontId="20" fillId="59" borderId="39" xfId="8177" applyFont="1" applyFill="1" applyBorder="1" applyAlignment="1"/>
    <xf numFmtId="43" fontId="20" fillId="0" borderId="22" xfId="8177" applyFont="1" applyFill="1" applyBorder="1" applyAlignment="1">
      <alignment horizontal="right" wrapText="1"/>
    </xf>
    <xf numFmtId="43" fontId="20" fillId="0" borderId="57" xfId="8177" applyFont="1" applyFill="1" applyBorder="1" applyAlignment="1">
      <alignment horizontal="right" wrapText="1"/>
    </xf>
    <xf numFmtId="43" fontId="20" fillId="0" borderId="58" xfId="8177" applyFont="1" applyFill="1" applyBorder="1" applyAlignment="1">
      <alignment horizontal="right" wrapText="1"/>
    </xf>
    <xf numFmtId="43" fontId="20" fillId="0" borderId="59" xfId="8177" applyFont="1" applyFill="1" applyBorder="1" applyAlignment="1">
      <alignment horizontal="right" wrapText="1"/>
    </xf>
    <xf numFmtId="0" fontId="20" fillId="0" borderId="38" xfId="0" applyFont="1" applyBorder="1" applyAlignment="1">
      <alignment horizontal="left" wrapText="1"/>
    </xf>
    <xf numFmtId="0" fontId="20" fillId="0" borderId="24" xfId="0" applyFont="1" applyBorder="1" applyAlignment="1">
      <alignment horizontal="left" wrapText="1"/>
    </xf>
    <xf numFmtId="43" fontId="20" fillId="0" borderId="34" xfId="8177" applyFont="1" applyFill="1" applyBorder="1" applyAlignment="1"/>
    <xf numFmtId="43" fontId="26" fillId="0" borderId="22" xfId="0" applyNumberFormat="1" applyFont="1" applyBorder="1" applyAlignment="1">
      <alignment horizontal="right" wrapText="1"/>
    </xf>
    <xf numFmtId="43" fontId="20" fillId="0" borderId="57" xfId="8177" applyFont="1" applyFill="1" applyBorder="1" applyAlignment="1"/>
    <xf numFmtId="43" fontId="20" fillId="0" borderId="59" xfId="8177" applyFont="1" applyFill="1" applyBorder="1" applyAlignment="1"/>
    <xf numFmtId="0" fontId="20" fillId="0" borderId="38" xfId="8182" applyFont="1" applyBorder="1" applyAlignment="1">
      <alignment horizontal="left" wrapText="1"/>
    </xf>
    <xf numFmtId="0" fontId="0" fillId="0" borderId="22" xfId="0" applyBorder="1"/>
    <xf numFmtId="43" fontId="26" fillId="0" borderId="57" xfId="1" applyFont="1" applyFill="1" applyBorder="1" applyAlignment="1">
      <alignment horizontal="right" wrapText="1"/>
    </xf>
    <xf numFmtId="43" fontId="20" fillId="0" borderId="59" xfId="44" applyFont="1" applyFill="1" applyBorder="1" applyAlignment="1">
      <alignment horizontal="center"/>
    </xf>
    <xf numFmtId="43" fontId="19" fillId="0" borderId="23" xfId="44" applyFont="1" applyFill="1" applyBorder="1" applyAlignment="1">
      <alignment horizontal="center"/>
    </xf>
    <xf numFmtId="43" fontId="19" fillId="0" borderId="41" xfId="44" applyFont="1" applyFill="1" applyBorder="1" applyAlignment="1">
      <alignment horizontal="center"/>
    </xf>
    <xf numFmtId="43" fontId="16" fillId="44" borderId="15" xfId="1" applyFont="1" applyFill="1" applyBorder="1"/>
    <xf numFmtId="43" fontId="16" fillId="44" borderId="15" xfId="0" applyNumberFormat="1" applyFont="1" applyFill="1" applyBorder="1"/>
    <xf numFmtId="43" fontId="0" fillId="0" borderId="0" xfId="1" applyFont="1" applyAlignment="1">
      <alignment horizontal="right"/>
    </xf>
    <xf numFmtId="43" fontId="0" fillId="0" borderId="15" xfId="1" applyFont="1" applyBorder="1" applyAlignment="1">
      <alignment horizontal="right"/>
    </xf>
    <xf numFmtId="43" fontId="16" fillId="0" borderId="15" xfId="1" applyFont="1" applyBorder="1" applyAlignment="1">
      <alignment horizontal="right"/>
    </xf>
    <xf numFmtId="0" fontId="16" fillId="0" borderId="27" xfId="0" applyFont="1" applyBorder="1"/>
    <xf numFmtId="43" fontId="0" fillId="0" borderId="0" xfId="1" applyFont="1" applyAlignment="1">
      <alignment horizontal="left" wrapText="1"/>
    </xf>
    <xf numFmtId="43" fontId="29" fillId="0" borderId="0" xfId="1" applyFont="1" applyBorder="1" applyAlignment="1">
      <alignment horizontal="left" wrapText="1"/>
    </xf>
    <xf numFmtId="43" fontId="31" fillId="0" borderId="0" xfId="1" applyFont="1" applyBorder="1" applyAlignment="1">
      <alignment horizontal="left" wrapText="1"/>
    </xf>
    <xf numFmtId="43" fontId="31" fillId="0" borderId="15" xfId="1" applyFont="1" applyBorder="1" applyAlignment="1">
      <alignment horizontal="left" wrapText="1"/>
    </xf>
    <xf numFmtId="43" fontId="0" fillId="0" borderId="0" xfId="1" applyFont="1" applyAlignment="1">
      <alignment horizontal="right" wrapText="1"/>
    </xf>
    <xf numFmtId="43" fontId="0" fillId="0" borderId="15" xfId="0" applyNumberFormat="1" applyBorder="1"/>
    <xf numFmtId="43" fontId="0" fillId="0" borderId="0" xfId="1" applyFont="1" applyAlignment="1">
      <alignment wrapText="1"/>
    </xf>
    <xf numFmtId="43" fontId="16" fillId="0" borderId="15" xfId="1" applyFont="1" applyBorder="1" applyAlignment="1">
      <alignment horizontal="right" wrapText="1"/>
    </xf>
    <xf numFmtId="43" fontId="0" fillId="44" borderId="15" xfId="0" applyNumberFormat="1" applyFill="1" applyBorder="1"/>
    <xf numFmtId="43" fontId="31" fillId="0" borderId="0" xfId="1" applyFont="1" applyBorder="1" applyAlignment="1">
      <alignment horizontal="right" wrapText="1"/>
    </xf>
    <xf numFmtId="41" fontId="31" fillId="0" borderId="0" xfId="45" applyFont="1" applyBorder="1" applyAlignment="1">
      <alignment horizontal="left" wrapText="1"/>
    </xf>
    <xf numFmtId="0" fontId="0" fillId="0" borderId="27" xfId="0" applyBorder="1" applyAlignment="1">
      <alignment horizontal="center"/>
    </xf>
    <xf numFmtId="43" fontId="31" fillId="0" borderId="25" xfId="1" applyFont="1" applyBorder="1"/>
    <xf numFmtId="43" fontId="31" fillId="0" borderId="0" xfId="1" applyFont="1"/>
    <xf numFmtId="43" fontId="16" fillId="0" borderId="15" xfId="1" applyFont="1" applyBorder="1" applyAlignment="1">
      <alignment horizontal="left" wrapText="1"/>
    </xf>
    <xf numFmtId="4" fontId="31" fillId="0" borderId="0" xfId="1" applyNumberFormat="1" applyFont="1" applyBorder="1" applyAlignment="1">
      <alignment horizontal="left" wrapText="1"/>
    </xf>
    <xf numFmtId="4" fontId="29" fillId="0" borderId="0" xfId="1" applyNumberFormat="1" applyFont="1" applyBorder="1" applyAlignment="1">
      <alignment horizontal="left" wrapText="1"/>
    </xf>
    <xf numFmtId="4" fontId="29" fillId="0" borderId="0" xfId="1" applyNumberFormat="1" applyFont="1" applyBorder="1" applyAlignment="1"/>
    <xf numFmtId="1" fontId="0" fillId="0" borderId="0" xfId="0" applyNumberFormat="1" applyAlignment="1">
      <alignment horizontal="left" wrapText="1"/>
    </xf>
    <xf numFmtId="43" fontId="16" fillId="0" borderId="0" xfId="1" applyFont="1" applyAlignment="1">
      <alignment vertical="center"/>
    </xf>
    <xf numFmtId="43" fontId="16" fillId="0" borderId="0" xfId="1" applyFont="1" applyAlignment="1">
      <alignment horizontal="left" wrapText="1"/>
    </xf>
    <xf numFmtId="4" fontId="29" fillId="0" borderId="0" xfId="1" applyNumberFormat="1" applyFont="1" applyBorder="1" applyAlignment="1">
      <alignment horizontal="right"/>
    </xf>
    <xf numFmtId="4" fontId="29" fillId="0" borderId="0" xfId="1" applyNumberFormat="1" applyFont="1" applyBorder="1" applyAlignment="1">
      <alignment horizontal="right" wrapText="1"/>
    </xf>
    <xf numFmtId="4" fontId="31" fillId="0" borderId="0" xfId="1" applyNumberFormat="1" applyFont="1" applyBorder="1" applyAlignment="1">
      <alignment horizontal="right" wrapText="1"/>
    </xf>
    <xf numFmtId="4" fontId="29" fillId="0" borderId="0" xfId="1" applyNumberFormat="1" applyFont="1" applyBorder="1" applyAlignment="1">
      <alignment wrapText="1"/>
    </xf>
    <xf numFmtId="0" fontId="0" fillId="0" borderId="27" xfId="0" applyBorder="1" applyAlignment="1">
      <alignment horizontal="right"/>
    </xf>
    <xf numFmtId="43" fontId="0" fillId="0" borderId="0" xfId="1" applyFont="1" applyAlignment="1"/>
    <xf numFmtId="4" fontId="0" fillId="60" borderId="0" xfId="0" applyNumberFormat="1" applyFill="1"/>
    <xf numFmtId="4" fontId="0" fillId="51" borderId="0" xfId="0" applyNumberFormat="1" applyFill="1"/>
    <xf numFmtId="4" fontId="0" fillId="47" borderId="0" xfId="0" applyNumberFormat="1" applyFill="1"/>
    <xf numFmtId="43" fontId="16" fillId="0" borderId="0" xfId="1" applyFont="1" applyBorder="1" applyAlignment="1">
      <alignment horizontal="right"/>
    </xf>
    <xf numFmtId="43" fontId="0" fillId="47" borderId="0" xfId="1" applyFont="1" applyFill="1" applyAlignment="1"/>
    <xf numFmtId="43" fontId="0" fillId="0" borderId="0" xfId="1" applyFont="1" applyBorder="1" applyAlignment="1"/>
    <xf numFmtId="43" fontId="0" fillId="47" borderId="0" xfId="1" applyFont="1" applyFill="1" applyBorder="1" applyAlignment="1"/>
    <xf numFmtId="43" fontId="14" fillId="49" borderId="0" xfId="1" applyFont="1" applyFill="1" applyAlignment="1"/>
    <xf numFmtId="41" fontId="19" fillId="49" borderId="0" xfId="45" applyFont="1" applyFill="1" applyBorder="1" applyAlignment="1">
      <alignment horizontal="left" wrapText="1"/>
    </xf>
    <xf numFmtId="0" fontId="16" fillId="49" borderId="0" xfId="0" applyFont="1" applyFill="1"/>
    <xf numFmtId="1" fontId="16" fillId="49" borderId="0" xfId="0" applyNumberFormat="1" applyFont="1" applyFill="1" applyAlignment="1">
      <alignment horizontal="left"/>
    </xf>
    <xf numFmtId="43" fontId="0" fillId="51" borderId="0" xfId="1" applyFont="1" applyFill="1" applyAlignment="1"/>
    <xf numFmtId="43" fontId="0" fillId="0" borderId="23" xfId="1" applyFont="1" applyFill="1" applyBorder="1"/>
    <xf numFmtId="3" fontId="34" fillId="0" borderId="0" xfId="0" applyNumberFormat="1" applyFont="1" applyAlignment="1">
      <alignment horizontal="left"/>
    </xf>
    <xf numFmtId="3" fontId="34" fillId="0" borderId="0" xfId="0" applyNumberFormat="1" applyFont="1"/>
    <xf numFmtId="165" fontId="70" fillId="0" borderId="0" xfId="1" applyNumberFormat="1" applyFont="1" applyBorder="1"/>
    <xf numFmtId="165" fontId="72" fillId="0" borderId="0" xfId="1" applyNumberFormat="1" applyFont="1" applyFill="1" applyBorder="1"/>
    <xf numFmtId="41" fontId="22" fillId="0" borderId="0" xfId="45" applyFont="1" applyFill="1" applyBorder="1"/>
    <xf numFmtId="41" fontId="22" fillId="0" borderId="0" xfId="45" applyFont="1" applyBorder="1" applyAlignment="1">
      <alignment horizontal="center"/>
    </xf>
    <xf numFmtId="41" fontId="23" fillId="0" borderId="0" xfId="45" applyFont="1" applyBorder="1"/>
    <xf numFmtId="3" fontId="23" fillId="0" borderId="0" xfId="45" applyNumberFormat="1" applyFont="1" applyBorder="1"/>
    <xf numFmtId="165" fontId="1" fillId="0" borderId="0" xfId="1" applyNumberFormat="1" applyFont="1" applyBorder="1"/>
    <xf numFmtId="43" fontId="16" fillId="0" borderId="0" xfId="1" applyFont="1" applyBorder="1" applyAlignment="1">
      <alignment horizontal="left"/>
    </xf>
    <xf numFmtId="43" fontId="0" fillId="0" borderId="0" xfId="0" applyNumberFormat="1" applyAlignment="1">
      <alignment horizontal="left"/>
    </xf>
    <xf numFmtId="2" fontId="0" fillId="0" borderId="0" xfId="0" applyNumberFormat="1"/>
    <xf numFmtId="171" fontId="16" fillId="0" borderId="0" xfId="0" applyNumberFormat="1" applyFont="1"/>
    <xf numFmtId="171" fontId="0" fillId="0" borderId="0" xfId="0" applyNumberFormat="1"/>
    <xf numFmtId="171" fontId="16" fillId="0" borderId="20" xfId="0" applyNumberFormat="1" applyFont="1" applyBorder="1" applyAlignment="1">
      <alignment horizontal="center"/>
    </xf>
    <xf numFmtId="171" fontId="16" fillId="0" borderId="20" xfId="0" applyNumberFormat="1" applyFont="1" applyBorder="1" applyAlignment="1">
      <alignment horizontal="center" wrapText="1"/>
    </xf>
    <xf numFmtId="1" fontId="0" fillId="0" borderId="0" xfId="8183" applyNumberFormat="1" applyFont="1"/>
    <xf numFmtId="1" fontId="0" fillId="0" borderId="0" xfId="8183" applyNumberFormat="1" applyFont="1" applyFill="1"/>
    <xf numFmtId="171" fontId="0" fillId="61" borderId="0" xfId="0" applyNumberFormat="1" applyFill="1"/>
    <xf numFmtId="1" fontId="16" fillId="0" borderId="26" xfId="0" applyNumberFormat="1" applyFont="1" applyBorder="1"/>
    <xf numFmtId="171" fontId="16" fillId="0" borderId="25" xfId="0" applyNumberFormat="1" applyFont="1" applyBorder="1"/>
    <xf numFmtId="171" fontId="16" fillId="0" borderId="27" xfId="0" applyNumberFormat="1" applyFont="1" applyBorder="1"/>
    <xf numFmtId="171" fontId="16" fillId="0" borderId="26" xfId="0" applyNumberFormat="1" applyFont="1" applyBorder="1" applyAlignment="1">
      <alignment horizontal="center"/>
    </xf>
    <xf numFmtId="171" fontId="16" fillId="0" borderId="27" xfId="0" applyNumberFormat="1" applyFont="1" applyBorder="1" applyAlignment="1">
      <alignment horizontal="center"/>
    </xf>
    <xf numFmtId="1" fontId="16" fillId="0" borderId="25" xfId="0" applyNumberFormat="1" applyFont="1" applyBorder="1"/>
    <xf numFmtId="1" fontId="16" fillId="0" borderId="26" xfId="0" applyNumberFormat="1" applyFont="1" applyBorder="1" applyAlignment="1">
      <alignment horizontal="center"/>
    </xf>
    <xf numFmtId="1" fontId="16" fillId="0" borderId="20" xfId="0" applyNumberFormat="1" applyFont="1" applyBorder="1" applyAlignment="1">
      <alignment horizontal="center"/>
    </xf>
    <xf numFmtId="1" fontId="0" fillId="0" borderId="26" xfId="0" applyNumberFormat="1" applyBorder="1"/>
    <xf numFmtId="1" fontId="0" fillId="0" borderId="25" xfId="0" applyNumberFormat="1" applyBorder="1"/>
    <xf numFmtId="171" fontId="0" fillId="0" borderId="25" xfId="0" applyNumberFormat="1" applyBorder="1"/>
    <xf numFmtId="171" fontId="0" fillId="0" borderId="27" xfId="0" applyNumberFormat="1" applyBorder="1"/>
    <xf numFmtId="1" fontId="16" fillId="0" borderId="0" xfId="0" applyNumberFormat="1" applyFont="1"/>
    <xf numFmtId="1" fontId="16" fillId="0" borderId="0" xfId="0" applyNumberFormat="1" applyFont="1" applyAlignment="1">
      <alignment horizontal="center"/>
    </xf>
    <xf numFmtId="171" fontId="16" fillId="0" borderId="0" xfId="0" applyNumberFormat="1" applyFont="1" applyAlignment="1">
      <alignment horizontal="center"/>
    </xf>
    <xf numFmtId="171" fontId="16" fillId="0" borderId="0" xfId="0" applyNumberFormat="1" applyFont="1" applyAlignment="1">
      <alignment horizontal="center" wrapText="1"/>
    </xf>
    <xf numFmtId="171" fontId="16" fillId="0" borderId="25" xfId="8183" applyNumberFormat="1" applyFont="1" applyBorder="1"/>
    <xf numFmtId="0" fontId="77" fillId="0" borderId="0" xfId="0" applyFont="1" applyAlignment="1">
      <alignment horizontal="right" vertical="top" wrapText="1"/>
    </xf>
    <xf numFmtId="43" fontId="77" fillId="0" borderId="0" xfId="0" applyNumberFormat="1" applyFont="1" applyAlignment="1">
      <alignment horizontal="right" vertical="top" wrapText="1"/>
    </xf>
    <xf numFmtId="43" fontId="16" fillId="0" borderId="25" xfId="0" applyNumberFormat="1" applyFont="1" applyBorder="1"/>
    <xf numFmtId="43" fontId="16" fillId="0" borderId="27" xfId="0" applyNumberFormat="1" applyFont="1" applyBorder="1"/>
    <xf numFmtId="0" fontId="77" fillId="0" borderId="0" xfId="0" applyFont="1" applyAlignment="1">
      <alignment vertical="top" wrapText="1"/>
    </xf>
    <xf numFmtId="43" fontId="76" fillId="0" borderId="25" xfId="0" applyNumberFormat="1" applyFont="1" applyBorder="1" applyAlignment="1">
      <alignment horizontal="right" vertical="top" wrapText="1"/>
    </xf>
    <xf numFmtId="43" fontId="76" fillId="0" borderId="27" xfId="0" applyNumberFormat="1" applyFont="1" applyBorder="1" applyAlignment="1">
      <alignment horizontal="right" vertical="top" wrapText="1"/>
    </xf>
    <xf numFmtId="164" fontId="20" fillId="0" borderId="0" xfId="43" applyNumberFormat="1" applyFont="1"/>
    <xf numFmtId="164" fontId="0" fillId="62" borderId="0" xfId="0" applyNumberFormat="1" applyFill="1"/>
    <xf numFmtId="164" fontId="0" fillId="63" borderId="0" xfId="0" applyNumberFormat="1" applyFill="1"/>
    <xf numFmtId="164" fontId="0" fillId="64" borderId="0" xfId="0" applyNumberFormat="1" applyFill="1"/>
    <xf numFmtId="0" fontId="0" fillId="0" borderId="38" xfId="0" applyBorder="1" applyAlignment="1">
      <alignment horizontal="center" wrapText="1"/>
    </xf>
    <xf numFmtId="0" fontId="0" fillId="56" borderId="0" xfId="0" applyFill="1"/>
    <xf numFmtId="4" fontId="0" fillId="56" borderId="0" xfId="0" applyNumberFormat="1" applyFill="1"/>
    <xf numFmtId="4" fontId="0" fillId="44" borderId="0" xfId="0" applyNumberFormat="1" applyFill="1"/>
    <xf numFmtId="43" fontId="16" fillId="0" borderId="0" xfId="0" applyNumberFormat="1" applyFont="1" applyAlignment="1">
      <alignment horizontal="center"/>
    </xf>
    <xf numFmtId="0" fontId="48" fillId="0" borderId="0" xfId="0" applyFont="1" applyAlignment="1">
      <alignment horizontal="left"/>
    </xf>
    <xf numFmtId="0" fontId="48" fillId="0" borderId="0" xfId="0" applyFont="1" applyAlignment="1">
      <alignment horizontal="center" vertical="center"/>
    </xf>
    <xf numFmtId="0" fontId="48" fillId="0" borderId="0" xfId="0" quotePrefix="1" applyFont="1" applyAlignment="1">
      <alignment horizontal="center" vertical="center"/>
    </xf>
    <xf numFmtId="0" fontId="51" fillId="0" borderId="0" xfId="0" applyFont="1" applyAlignment="1">
      <alignment wrapText="1"/>
    </xf>
    <xf numFmtId="1" fontId="51" fillId="0" borderId="0" xfId="0" applyNumberFormat="1" applyFont="1"/>
    <xf numFmtId="0" fontId="51" fillId="0" borderId="21" xfId="0" applyFont="1" applyBorder="1" applyAlignment="1">
      <alignment horizontal="center"/>
    </xf>
    <xf numFmtId="0" fontId="51" fillId="0" borderId="21" xfId="0" applyFont="1" applyBorder="1" applyAlignment="1">
      <alignment horizontal="left"/>
    </xf>
    <xf numFmtId="0" fontId="51" fillId="0" borderId="38" xfId="0" applyFont="1" applyBorder="1" applyAlignment="1">
      <alignment horizontal="left"/>
    </xf>
    <xf numFmtId="0" fontId="51" fillId="0" borderId="21" xfId="0" applyFont="1" applyBorder="1"/>
    <xf numFmtId="0" fontId="48" fillId="0" borderId="21" xfId="0" applyFont="1" applyBorder="1" applyAlignment="1">
      <alignment horizontal="center" vertical="center" wrapText="1"/>
    </xf>
    <xf numFmtId="0" fontId="48" fillId="0" borderId="38" xfId="0" applyFont="1" applyBorder="1" applyAlignment="1">
      <alignment horizontal="center" vertical="center" wrapText="1"/>
    </xf>
    <xf numFmtId="0" fontId="48" fillId="0" borderId="21" xfId="0" applyFont="1" applyBorder="1" applyAlignment="1">
      <alignment horizontal="center" vertical="center"/>
    </xf>
    <xf numFmtId="1" fontId="51" fillId="0" borderId="21" xfId="0" applyNumberFormat="1" applyFont="1" applyBorder="1" applyAlignment="1">
      <alignment horizontal="left"/>
    </xf>
    <xf numFmtId="1" fontId="51" fillId="0" borderId="38" xfId="0" applyNumberFormat="1" applyFont="1" applyBorder="1" applyAlignment="1">
      <alignment horizontal="left"/>
    </xf>
    <xf numFmtId="49" fontId="41" fillId="0" borderId="21" xfId="0" applyNumberFormat="1" applyFont="1" applyBorder="1" applyAlignment="1">
      <alignment horizontal="center"/>
    </xf>
    <xf numFmtId="1" fontId="41" fillId="0" borderId="21" xfId="0" applyNumberFormat="1" applyFont="1" applyBorder="1" applyAlignment="1">
      <alignment horizontal="left"/>
    </xf>
    <xf numFmtId="1" fontId="58" fillId="0" borderId="21" xfId="0" applyNumberFormat="1" applyFont="1" applyBorder="1" applyAlignment="1">
      <alignment horizontal="center" vertical="center"/>
    </xf>
    <xf numFmtId="1" fontId="51" fillId="0" borderId="0" xfId="0" applyNumberFormat="1" applyFont="1" applyAlignment="1">
      <alignment horizontal="center"/>
    </xf>
    <xf numFmtId="1" fontId="58" fillId="0" borderId="0" xfId="0" applyNumberFormat="1" applyFont="1" applyAlignment="1">
      <alignment horizontal="center" vertical="center"/>
    </xf>
    <xf numFmtId="1" fontId="52" fillId="0" borderId="21" xfId="0" applyNumberFormat="1" applyFont="1" applyBorder="1" applyAlignment="1">
      <alignment horizontal="center"/>
    </xf>
    <xf numFmtId="1" fontId="52" fillId="0" borderId="21" xfId="0" applyNumberFormat="1" applyFont="1" applyBorder="1" applyAlignment="1">
      <alignment horizontal="left"/>
    </xf>
    <xf numFmtId="49" fontId="41" fillId="0" borderId="0" xfId="0" applyNumberFormat="1" applyFont="1" applyAlignment="1">
      <alignment horizontal="center"/>
    </xf>
    <xf numFmtId="1" fontId="51" fillId="0" borderId="21" xfId="0" quotePrefix="1" applyNumberFormat="1" applyFont="1" applyBorder="1" applyAlignment="1">
      <alignment horizontal="center"/>
    </xf>
    <xf numFmtId="49" fontId="0" fillId="0" borderId="21" xfId="0" applyNumberFormat="1" applyBorder="1" applyAlignment="1">
      <alignment horizontal="left"/>
    </xf>
    <xf numFmtId="49" fontId="41" fillId="0" borderId="0" xfId="8176" applyNumberFormat="1" applyFont="1" applyAlignment="1">
      <alignment horizontal="center"/>
    </xf>
    <xf numFmtId="0" fontId="41" fillId="0" borderId="21" xfId="8176" applyFont="1" applyBorder="1"/>
    <xf numFmtId="0" fontId="51" fillId="0" borderId="21" xfId="8176" applyFont="1" applyBorder="1"/>
    <xf numFmtId="0" fontId="51" fillId="0" borderId="38" xfId="8176" applyFont="1" applyBorder="1"/>
    <xf numFmtId="1" fontId="41" fillId="0" borderId="21" xfId="0" applyNumberFormat="1" applyFont="1" applyBorder="1" applyAlignment="1">
      <alignment horizontal="center"/>
    </xf>
    <xf numFmtId="0" fontId="16" fillId="0" borderId="21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0" fillId="0" borderId="38" xfId="8176" applyFont="1" applyBorder="1"/>
    <xf numFmtId="0" fontId="0" fillId="0" borderId="21" xfId="0" applyBorder="1" applyAlignment="1">
      <alignment horizontal="left"/>
    </xf>
    <xf numFmtId="0" fontId="0" fillId="0" borderId="38" xfId="0" applyBorder="1" applyAlignment="1">
      <alignment horizontal="left"/>
    </xf>
    <xf numFmtId="0" fontId="63" fillId="0" borderId="21" xfId="0" applyFont="1" applyBorder="1" applyAlignment="1">
      <alignment horizontal="center" vertical="center" wrapText="1"/>
    </xf>
    <xf numFmtId="49" fontId="0" fillId="0" borderId="21" xfId="0" applyNumberFormat="1" applyBorder="1" applyAlignment="1">
      <alignment horizontal="center"/>
    </xf>
    <xf numFmtId="1" fontId="63" fillId="0" borderId="21" xfId="0" applyNumberFormat="1" applyFont="1" applyBorder="1" applyAlignment="1">
      <alignment horizontal="center" vertical="center"/>
    </xf>
    <xf numFmtId="1" fontId="6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3" fontId="44" fillId="0" borderId="0" xfId="1" applyFont="1" applyFill="1" applyAlignment="1">
      <alignment vertical="center"/>
    </xf>
    <xf numFmtId="1" fontId="0" fillId="0" borderId="21" xfId="0" quotePrefix="1" applyNumberFormat="1" applyBorder="1" applyAlignment="1">
      <alignment horizontal="center"/>
    </xf>
    <xf numFmtId="1" fontId="0" fillId="0" borderId="24" xfId="0" applyNumberFormat="1" applyBorder="1" applyAlignment="1">
      <alignment horizontal="left"/>
    </xf>
    <xf numFmtId="43" fontId="28" fillId="0" borderId="21" xfId="1" applyFont="1" applyFill="1" applyBorder="1"/>
    <xf numFmtId="49" fontId="0" fillId="0" borderId="38" xfId="0" applyNumberFormat="1" applyBorder="1" applyAlignment="1">
      <alignment horizontal="center"/>
    </xf>
    <xf numFmtId="49" fontId="0" fillId="0" borderId="24" xfId="0" applyNumberFormat="1" applyBorder="1" applyAlignment="1">
      <alignment horizontal="left"/>
    </xf>
    <xf numFmtId="43" fontId="28" fillId="0" borderId="49" xfId="1" applyFont="1" applyFill="1" applyBorder="1"/>
    <xf numFmtId="43" fontId="28" fillId="0" borderId="10" xfId="1" applyFont="1" applyFill="1" applyBorder="1"/>
    <xf numFmtId="43" fontId="28" fillId="0" borderId="23" xfId="1" applyFont="1" applyFill="1" applyBorder="1"/>
    <xf numFmtId="0" fontId="0" fillId="0" borderId="24" xfId="0" applyBorder="1" applyAlignment="1">
      <alignment horizontal="left"/>
    </xf>
    <xf numFmtId="49" fontId="0" fillId="0" borderId="0" xfId="8176" applyNumberFormat="1" applyFont="1" applyAlignment="1">
      <alignment horizontal="center"/>
    </xf>
    <xf numFmtId="0" fontId="0" fillId="0" borderId="21" xfId="8176" applyFont="1" applyBorder="1"/>
    <xf numFmtId="0" fontId="64" fillId="0" borderId="0" xfId="43" applyFont="1" applyAlignment="1">
      <alignment horizontal="center" vertical="top"/>
    </xf>
    <xf numFmtId="15" fontId="64" fillId="0" borderId="32" xfId="43" quotePrefix="1" applyNumberFormat="1" applyFont="1" applyBorder="1" applyAlignment="1">
      <alignment horizontal="center" vertical="top"/>
    </xf>
    <xf numFmtId="0" fontId="20" fillId="0" borderId="24" xfId="43" applyFont="1" applyBorder="1"/>
    <xf numFmtId="0" fontId="20" fillId="0" borderId="14" xfId="43" applyFont="1" applyBorder="1"/>
    <xf numFmtId="0" fontId="20" fillId="0" borderId="11" xfId="43" applyFont="1" applyBorder="1"/>
    <xf numFmtId="3" fontId="20" fillId="0" borderId="10" xfId="43" applyNumberFormat="1" applyFont="1" applyBorder="1"/>
    <xf numFmtId="0" fontId="20" fillId="0" borderId="10" xfId="43" applyFont="1" applyBorder="1"/>
    <xf numFmtId="0" fontId="20" fillId="0" borderId="33" xfId="43" applyFont="1" applyBorder="1"/>
    <xf numFmtId="0" fontId="64" fillId="0" borderId="10" xfId="43" applyFont="1" applyBorder="1" applyAlignment="1">
      <alignment horizontal="center"/>
    </xf>
    <xf numFmtId="0" fontId="78" fillId="0" borderId="0" xfId="43" applyFont="1"/>
    <xf numFmtId="15" fontId="65" fillId="44" borderId="14" xfId="43" applyNumberFormat="1" applyFont="1" applyFill="1" applyBorder="1" applyAlignment="1">
      <alignment horizontal="center"/>
    </xf>
    <xf numFmtId="0" fontId="51" fillId="44" borderId="0" xfId="0" applyFont="1" applyFill="1" applyAlignment="1">
      <alignment wrapText="1"/>
    </xf>
    <xf numFmtId="15" fontId="64" fillId="44" borderId="14" xfId="43" applyNumberFormat="1" applyFont="1" applyFill="1" applyBorder="1" applyAlignment="1">
      <alignment horizontal="left"/>
    </xf>
    <xf numFmtId="168" fontId="16" fillId="0" borderId="0" xfId="0" applyNumberFormat="1" applyFont="1" applyAlignment="1">
      <alignment horizontal="center"/>
    </xf>
    <xf numFmtId="1" fontId="0" fillId="0" borderId="22" xfId="0" applyNumberFormat="1" applyBorder="1" applyAlignment="1">
      <alignment horizontal="left" vertical="center" wrapText="1"/>
    </xf>
    <xf numFmtId="1" fontId="0" fillId="0" borderId="23" xfId="0" applyNumberFormat="1" applyBorder="1" applyAlignment="1">
      <alignment horizontal="left" vertical="center" wrapText="1"/>
    </xf>
    <xf numFmtId="1" fontId="51" fillId="0" borderId="0" xfId="0" applyNumberFormat="1" applyFont="1" applyAlignment="1">
      <alignment horizontal="left" wrapText="1"/>
    </xf>
    <xf numFmtId="41" fontId="19" fillId="49" borderId="0" xfId="45" applyFont="1" applyFill="1" applyBorder="1" applyAlignment="1">
      <alignment horizontal="left" wrapText="1"/>
    </xf>
    <xf numFmtId="1" fontId="51" fillId="0" borderId="0" xfId="0" applyNumberFormat="1" applyFont="1" applyAlignment="1">
      <alignment wrapText="1"/>
    </xf>
    <xf numFmtId="1" fontId="0" fillId="0" borderId="0" xfId="0" applyNumberFormat="1" applyAlignment="1">
      <alignment horizontal="left" wrapText="1"/>
    </xf>
    <xf numFmtId="1" fontId="16" fillId="0" borderId="0" xfId="0" applyNumberFormat="1" applyFont="1" applyAlignment="1">
      <alignment horizontal="left" wrapText="1"/>
    </xf>
    <xf numFmtId="4" fontId="31" fillId="0" borderId="0" xfId="1" applyNumberFormat="1" applyFont="1" applyBorder="1" applyAlignment="1">
      <alignment horizontal="left" wrapText="1"/>
    </xf>
    <xf numFmtId="43" fontId="31" fillId="0" borderId="0" xfId="1" quotePrefix="1" applyFont="1" applyBorder="1" applyAlignment="1">
      <alignment horizontal="center" wrapText="1"/>
    </xf>
    <xf numFmtId="168" fontId="48" fillId="44" borderId="0" xfId="0" applyNumberFormat="1" applyFont="1" applyFill="1" applyAlignment="1">
      <alignment horizontal="center"/>
    </xf>
    <xf numFmtId="0" fontId="34" fillId="0" borderId="0" xfId="0" applyFont="1" applyAlignment="1">
      <alignment horizontal="left" wrapText="1"/>
    </xf>
    <xf numFmtId="0" fontId="16" fillId="0" borderId="26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16" fillId="0" borderId="27" xfId="0" applyFont="1" applyBorder="1" applyAlignment="1">
      <alignment horizontal="center" wrapText="1"/>
    </xf>
    <xf numFmtId="0" fontId="64" fillId="0" borderId="0" xfId="43" applyFont="1" applyAlignment="1">
      <alignment horizontal="left" wrapText="1"/>
    </xf>
    <xf numFmtId="49" fontId="65" fillId="0" borderId="0" xfId="43" applyNumberFormat="1" applyFont="1" applyAlignment="1">
      <alignment horizontal="left" wrapText="1"/>
    </xf>
    <xf numFmtId="165" fontId="64" fillId="0" borderId="19" xfId="1" quotePrefix="1" applyNumberFormat="1" applyFont="1" applyFill="1" applyBorder="1" applyAlignment="1">
      <alignment horizontal="center" vertical="center"/>
    </xf>
    <xf numFmtId="165" fontId="64" fillId="0" borderId="10" xfId="1" quotePrefix="1" applyNumberFormat="1" applyFont="1" applyFill="1" applyBorder="1" applyAlignment="1">
      <alignment horizontal="center" vertical="center"/>
    </xf>
    <xf numFmtId="0" fontId="65" fillId="0" borderId="19" xfId="43" quotePrefix="1" applyFont="1" applyBorder="1" applyAlignment="1">
      <alignment horizontal="right" vertical="center" wrapText="1"/>
    </xf>
    <xf numFmtId="0" fontId="65" fillId="0" borderId="10" xfId="43" applyFont="1" applyBorder="1" applyAlignment="1">
      <alignment horizontal="right" vertical="center" wrapText="1"/>
    </xf>
    <xf numFmtId="41" fontId="64" fillId="0" borderId="24" xfId="45" applyFont="1" applyBorder="1" applyAlignment="1">
      <alignment horizontal="left"/>
    </xf>
    <xf numFmtId="0" fontId="19" fillId="0" borderId="0" xfId="43" applyFont="1" applyAlignment="1">
      <alignment horizontal="left" wrapText="1"/>
    </xf>
    <xf numFmtId="0" fontId="64" fillId="0" borderId="10" xfId="43" applyFont="1" applyBorder="1" applyAlignment="1">
      <alignment horizontal="left" wrapText="1"/>
    </xf>
    <xf numFmtId="41" fontId="65" fillId="0" borderId="0" xfId="45" applyFont="1" applyBorder="1" applyAlignment="1">
      <alignment horizontal="left" wrapText="1"/>
    </xf>
    <xf numFmtId="0" fontId="66" fillId="0" borderId="0" xfId="0" applyFont="1" applyAlignment="1">
      <alignment horizontal="center" wrapText="1"/>
    </xf>
    <xf numFmtId="0" fontId="65" fillId="0" borderId="0" xfId="43" applyFont="1" applyAlignment="1">
      <alignment horizontal="left"/>
    </xf>
    <xf numFmtId="165" fontId="66" fillId="0" borderId="19" xfId="1" applyNumberFormat="1" applyFont="1" applyBorder="1" applyAlignment="1">
      <alignment horizontal="right" wrapText="1"/>
    </xf>
    <xf numFmtId="165" fontId="66" fillId="0" borderId="0" xfId="1" applyNumberFormat="1" applyFont="1" applyAlignment="1">
      <alignment horizontal="right" wrapText="1"/>
    </xf>
    <xf numFmtId="165" fontId="66" fillId="0" borderId="10" xfId="1" applyNumberFormat="1" applyFont="1" applyBorder="1" applyAlignment="1">
      <alignment horizontal="right" wrapText="1"/>
    </xf>
    <xf numFmtId="165" fontId="66" fillId="0" borderId="19" xfId="1" applyNumberFormat="1" applyFont="1" applyBorder="1" applyAlignment="1">
      <alignment horizontal="center" wrapText="1"/>
    </xf>
    <xf numFmtId="165" fontId="66" fillId="0" borderId="0" xfId="1" applyNumberFormat="1" applyFont="1" applyBorder="1" applyAlignment="1">
      <alignment horizontal="center" wrapText="1"/>
    </xf>
    <xf numFmtId="165" fontId="66" fillId="0" borderId="10" xfId="1" applyNumberFormat="1" applyFont="1" applyBorder="1" applyAlignment="1">
      <alignment horizontal="center" wrapText="1"/>
    </xf>
    <xf numFmtId="165" fontId="66" fillId="0" borderId="0" xfId="1" applyNumberFormat="1" applyFont="1" applyBorder="1" applyAlignment="1">
      <alignment horizontal="right" wrapText="1"/>
    </xf>
    <xf numFmtId="17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/>
    </xf>
    <xf numFmtId="0" fontId="76" fillId="0" borderId="0" xfId="0" applyFont="1" applyAlignment="1">
      <alignment horizontal="center"/>
    </xf>
    <xf numFmtId="0" fontId="16" fillId="0" borderId="0" xfId="0" applyFont="1" applyAlignment="1">
      <alignment horizontal="left" vertical="center" wrapText="1"/>
    </xf>
    <xf numFmtId="171" fontId="16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justify" vertical="center" wrapText="1"/>
    </xf>
    <xf numFmtId="0" fontId="47" fillId="0" borderId="28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43" fontId="26" fillId="51" borderId="22" xfId="8177" applyFont="1" applyFill="1" applyBorder="1" applyAlignment="1">
      <alignment horizontal="center" vertical="center" wrapText="1"/>
    </xf>
    <xf numFmtId="43" fontId="26" fillId="51" borderId="23" xfId="8177" applyFont="1" applyFill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43" fontId="26" fillId="0" borderId="22" xfId="8177" applyFont="1" applyFill="1" applyBorder="1" applyAlignment="1">
      <alignment horizontal="center" vertical="center" wrapText="1"/>
    </xf>
    <xf numFmtId="43" fontId="26" fillId="0" borderId="23" xfId="8177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wrapText="1"/>
    </xf>
    <xf numFmtId="0" fontId="16" fillId="0" borderId="54" xfId="0" applyFont="1" applyBorder="1" applyAlignment="1">
      <alignment horizontal="center" wrapText="1"/>
    </xf>
    <xf numFmtId="164" fontId="0" fillId="0" borderId="0" xfId="0" applyNumberFormat="1" applyAlignment="1">
      <alignment horizontal="left" wrapText="1"/>
    </xf>
    <xf numFmtId="0" fontId="0" fillId="49" borderId="0" xfId="0" applyFill="1" applyAlignment="1">
      <alignment horizontal="center" vertical="center" wrapText="1"/>
    </xf>
    <xf numFmtId="0" fontId="47" fillId="0" borderId="30" xfId="0" applyFont="1" applyBorder="1" applyAlignment="1">
      <alignment horizontal="center" wrapText="1"/>
    </xf>
    <xf numFmtId="0" fontId="47" fillId="0" borderId="32" xfId="0" applyFont="1" applyBorder="1" applyAlignment="1">
      <alignment horizontal="center" wrapText="1"/>
    </xf>
    <xf numFmtId="0" fontId="0" fillId="0" borderId="0" xfId="0" applyAlignment="1">
      <alignment horizontal="left" wrapText="1"/>
    </xf>
    <xf numFmtId="43" fontId="26" fillId="51" borderId="36" xfId="8177" applyFont="1" applyFill="1" applyBorder="1" applyAlignment="1">
      <alignment horizontal="center" vertical="center" wrapText="1"/>
    </xf>
    <xf numFmtId="0" fontId="19" fillId="0" borderId="0" xfId="46" applyFont="1" applyAlignment="1">
      <alignment wrapText="1"/>
    </xf>
    <xf numFmtId="0" fontId="19" fillId="0" borderId="15" xfId="46" applyFont="1" applyBorder="1" applyAlignment="1">
      <alignment wrapText="1"/>
    </xf>
    <xf numFmtId="0" fontId="19" fillId="0" borderId="0" xfId="46" applyFont="1" applyAlignment="1">
      <alignment horizontal="left" wrapText="1"/>
    </xf>
    <xf numFmtId="0" fontId="19" fillId="0" borderId="0" xfId="46" applyFont="1"/>
    <xf numFmtId="0" fontId="20" fillId="0" borderId="0" xfId="46" applyFont="1" applyAlignment="1">
      <alignment horizontal="left" wrapText="1"/>
    </xf>
    <xf numFmtId="0" fontId="20" fillId="0" borderId="0" xfId="43" applyFont="1" applyAlignment="1">
      <alignment horizontal="left"/>
    </xf>
    <xf numFmtId="0" fontId="19" fillId="0" borderId="0" xfId="46" applyFont="1" applyAlignment="1">
      <alignment horizontal="center"/>
    </xf>
    <xf numFmtId="0" fontId="0" fillId="0" borderId="0" xfId="0" applyAlignment="1">
      <alignment wrapText="1"/>
    </xf>
    <xf numFmtId="43" fontId="26" fillId="0" borderId="22" xfId="1" applyFont="1" applyFill="1" applyBorder="1" applyAlignment="1">
      <alignment horizontal="center" vertical="center" wrapText="1"/>
    </xf>
    <xf numFmtId="43" fontId="26" fillId="0" borderId="23" xfId="1" applyFont="1" applyFill="1" applyBorder="1" applyAlignment="1">
      <alignment horizontal="center" vertical="center" wrapText="1"/>
    </xf>
    <xf numFmtId="43" fontId="26" fillId="46" borderId="22" xfId="8177" applyFont="1" applyFill="1" applyBorder="1" applyAlignment="1">
      <alignment horizontal="center" vertical="center" wrapText="1"/>
    </xf>
    <xf numFmtId="43" fontId="26" fillId="46" borderId="36" xfId="8177" applyFont="1" applyFill="1" applyBorder="1" applyAlignment="1">
      <alignment horizontal="center" vertical="center" wrapText="1"/>
    </xf>
    <xf numFmtId="43" fontId="26" fillId="46" borderId="23" xfId="8177" applyFont="1" applyFill="1" applyBorder="1" applyAlignment="1">
      <alignment horizontal="center" vertical="center" wrapText="1"/>
    </xf>
    <xf numFmtId="43" fontId="26" fillId="0" borderId="36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1" fontId="14" fillId="0" borderId="21" xfId="0" applyNumberFormat="1" applyFont="1" applyBorder="1"/>
    <xf numFmtId="1" fontId="14" fillId="0" borderId="21" xfId="0" applyNumberFormat="1" applyFont="1" applyBorder="1" applyAlignment="1">
      <alignment horizontal="center"/>
    </xf>
    <xf numFmtId="1" fontId="14" fillId="0" borderId="21" xfId="0" applyNumberFormat="1" applyFont="1" applyBorder="1" applyAlignment="1">
      <alignment horizontal="left"/>
    </xf>
    <xf numFmtId="1" fontId="14" fillId="0" borderId="38" xfId="0" applyNumberFormat="1" applyFont="1" applyBorder="1" applyAlignment="1">
      <alignment horizontal="left"/>
    </xf>
    <xf numFmtId="43" fontId="14" fillId="0" borderId="21" xfId="1" applyFont="1" applyFill="1" applyBorder="1"/>
  </cellXfs>
  <cellStyles count="8184">
    <cellStyle name="20% - Accent1" xfId="20" builtinId="30" customBuiltin="1"/>
    <cellStyle name="20% - Accent1 10" xfId="49" xr:uid="{00000000-0005-0000-0000-000001000000}"/>
    <cellStyle name="20% - Accent1 10 10" xfId="50" xr:uid="{00000000-0005-0000-0000-000002000000}"/>
    <cellStyle name="20% - Accent1 10 11" xfId="51" xr:uid="{00000000-0005-0000-0000-000003000000}"/>
    <cellStyle name="20% - Accent1 10 12" xfId="52" xr:uid="{00000000-0005-0000-0000-000004000000}"/>
    <cellStyle name="20% - Accent1 10 13" xfId="53" xr:uid="{00000000-0005-0000-0000-000005000000}"/>
    <cellStyle name="20% - Accent1 10 14" xfId="54" xr:uid="{00000000-0005-0000-0000-000006000000}"/>
    <cellStyle name="20% - Accent1 10 15" xfId="55" xr:uid="{00000000-0005-0000-0000-000007000000}"/>
    <cellStyle name="20% - Accent1 10 16" xfId="56" xr:uid="{00000000-0005-0000-0000-000008000000}"/>
    <cellStyle name="20% - Accent1 10 17" xfId="57" xr:uid="{00000000-0005-0000-0000-000009000000}"/>
    <cellStyle name="20% - Accent1 10 18" xfId="58" xr:uid="{00000000-0005-0000-0000-00000A000000}"/>
    <cellStyle name="20% - Accent1 10 19" xfId="59" xr:uid="{00000000-0005-0000-0000-00000B000000}"/>
    <cellStyle name="20% - Accent1 10 2" xfId="60" xr:uid="{00000000-0005-0000-0000-00000C000000}"/>
    <cellStyle name="20% - Accent1 10 20" xfId="61" xr:uid="{00000000-0005-0000-0000-00000D000000}"/>
    <cellStyle name="20% - Accent1 10 21" xfId="62" xr:uid="{00000000-0005-0000-0000-00000E000000}"/>
    <cellStyle name="20% - Accent1 10 22" xfId="63" xr:uid="{00000000-0005-0000-0000-00000F000000}"/>
    <cellStyle name="20% - Accent1 10 23" xfId="64" xr:uid="{00000000-0005-0000-0000-000010000000}"/>
    <cellStyle name="20% - Accent1 10 24" xfId="65" xr:uid="{00000000-0005-0000-0000-000011000000}"/>
    <cellStyle name="20% - Accent1 10 25" xfId="66" xr:uid="{00000000-0005-0000-0000-000012000000}"/>
    <cellStyle name="20% - Accent1 10 26" xfId="67" xr:uid="{00000000-0005-0000-0000-000013000000}"/>
    <cellStyle name="20% - Accent1 10 27" xfId="68" xr:uid="{00000000-0005-0000-0000-000014000000}"/>
    <cellStyle name="20% - Accent1 10 28" xfId="69" xr:uid="{00000000-0005-0000-0000-000015000000}"/>
    <cellStyle name="20% - Accent1 10 29" xfId="70" xr:uid="{00000000-0005-0000-0000-000016000000}"/>
    <cellStyle name="20% - Accent1 10 3" xfId="71" xr:uid="{00000000-0005-0000-0000-000017000000}"/>
    <cellStyle name="20% - Accent1 10 30" xfId="72" xr:uid="{00000000-0005-0000-0000-000018000000}"/>
    <cellStyle name="20% - Accent1 10 31" xfId="73" xr:uid="{00000000-0005-0000-0000-000019000000}"/>
    <cellStyle name="20% - Accent1 10 32" xfId="74" xr:uid="{00000000-0005-0000-0000-00001A000000}"/>
    <cellStyle name="20% - Accent1 10 33" xfId="75" xr:uid="{00000000-0005-0000-0000-00001B000000}"/>
    <cellStyle name="20% - Accent1 10 34" xfId="76" xr:uid="{00000000-0005-0000-0000-00001C000000}"/>
    <cellStyle name="20% - Accent1 10 35" xfId="77" xr:uid="{00000000-0005-0000-0000-00001D000000}"/>
    <cellStyle name="20% - Accent1 10 36" xfId="78" xr:uid="{00000000-0005-0000-0000-00001E000000}"/>
    <cellStyle name="20% - Accent1 10 37" xfId="79" xr:uid="{00000000-0005-0000-0000-00001F000000}"/>
    <cellStyle name="20% - Accent1 10 38" xfId="80" xr:uid="{00000000-0005-0000-0000-000020000000}"/>
    <cellStyle name="20% - Accent1 10 39" xfId="81" xr:uid="{00000000-0005-0000-0000-000021000000}"/>
    <cellStyle name="20% - Accent1 10 4" xfId="82" xr:uid="{00000000-0005-0000-0000-000022000000}"/>
    <cellStyle name="20% - Accent1 10 5" xfId="83" xr:uid="{00000000-0005-0000-0000-000023000000}"/>
    <cellStyle name="20% - Accent1 10 6" xfId="84" xr:uid="{00000000-0005-0000-0000-000024000000}"/>
    <cellStyle name="20% - Accent1 10 7" xfId="85" xr:uid="{00000000-0005-0000-0000-000025000000}"/>
    <cellStyle name="20% - Accent1 10 8" xfId="86" xr:uid="{00000000-0005-0000-0000-000026000000}"/>
    <cellStyle name="20% - Accent1 10 9" xfId="87" xr:uid="{00000000-0005-0000-0000-000027000000}"/>
    <cellStyle name="20% - Accent1 11" xfId="88" xr:uid="{00000000-0005-0000-0000-000028000000}"/>
    <cellStyle name="20% - Accent1 11 10" xfId="89" xr:uid="{00000000-0005-0000-0000-000029000000}"/>
    <cellStyle name="20% - Accent1 11 11" xfId="90" xr:uid="{00000000-0005-0000-0000-00002A000000}"/>
    <cellStyle name="20% - Accent1 11 12" xfId="91" xr:uid="{00000000-0005-0000-0000-00002B000000}"/>
    <cellStyle name="20% - Accent1 11 13" xfId="92" xr:uid="{00000000-0005-0000-0000-00002C000000}"/>
    <cellStyle name="20% - Accent1 11 14" xfId="93" xr:uid="{00000000-0005-0000-0000-00002D000000}"/>
    <cellStyle name="20% - Accent1 11 15" xfId="94" xr:uid="{00000000-0005-0000-0000-00002E000000}"/>
    <cellStyle name="20% - Accent1 11 16" xfId="95" xr:uid="{00000000-0005-0000-0000-00002F000000}"/>
    <cellStyle name="20% - Accent1 11 17" xfId="96" xr:uid="{00000000-0005-0000-0000-000030000000}"/>
    <cellStyle name="20% - Accent1 11 18" xfId="97" xr:uid="{00000000-0005-0000-0000-000031000000}"/>
    <cellStyle name="20% - Accent1 11 19" xfId="98" xr:uid="{00000000-0005-0000-0000-000032000000}"/>
    <cellStyle name="20% - Accent1 11 2" xfId="99" xr:uid="{00000000-0005-0000-0000-000033000000}"/>
    <cellStyle name="20% - Accent1 11 20" xfId="100" xr:uid="{00000000-0005-0000-0000-000034000000}"/>
    <cellStyle name="20% - Accent1 11 21" xfId="101" xr:uid="{00000000-0005-0000-0000-000035000000}"/>
    <cellStyle name="20% - Accent1 11 22" xfId="102" xr:uid="{00000000-0005-0000-0000-000036000000}"/>
    <cellStyle name="20% - Accent1 11 23" xfId="103" xr:uid="{00000000-0005-0000-0000-000037000000}"/>
    <cellStyle name="20% - Accent1 11 24" xfId="104" xr:uid="{00000000-0005-0000-0000-000038000000}"/>
    <cellStyle name="20% - Accent1 11 25" xfId="105" xr:uid="{00000000-0005-0000-0000-000039000000}"/>
    <cellStyle name="20% - Accent1 11 26" xfId="106" xr:uid="{00000000-0005-0000-0000-00003A000000}"/>
    <cellStyle name="20% - Accent1 11 27" xfId="107" xr:uid="{00000000-0005-0000-0000-00003B000000}"/>
    <cellStyle name="20% - Accent1 11 28" xfId="108" xr:uid="{00000000-0005-0000-0000-00003C000000}"/>
    <cellStyle name="20% - Accent1 11 29" xfId="109" xr:uid="{00000000-0005-0000-0000-00003D000000}"/>
    <cellStyle name="20% - Accent1 11 3" xfId="110" xr:uid="{00000000-0005-0000-0000-00003E000000}"/>
    <cellStyle name="20% - Accent1 11 30" xfId="111" xr:uid="{00000000-0005-0000-0000-00003F000000}"/>
    <cellStyle name="20% - Accent1 11 31" xfId="112" xr:uid="{00000000-0005-0000-0000-000040000000}"/>
    <cellStyle name="20% - Accent1 11 32" xfId="113" xr:uid="{00000000-0005-0000-0000-000041000000}"/>
    <cellStyle name="20% - Accent1 11 33" xfId="114" xr:uid="{00000000-0005-0000-0000-000042000000}"/>
    <cellStyle name="20% - Accent1 11 34" xfId="115" xr:uid="{00000000-0005-0000-0000-000043000000}"/>
    <cellStyle name="20% - Accent1 11 35" xfId="116" xr:uid="{00000000-0005-0000-0000-000044000000}"/>
    <cellStyle name="20% - Accent1 11 36" xfId="117" xr:uid="{00000000-0005-0000-0000-000045000000}"/>
    <cellStyle name="20% - Accent1 11 37" xfId="118" xr:uid="{00000000-0005-0000-0000-000046000000}"/>
    <cellStyle name="20% - Accent1 11 38" xfId="119" xr:uid="{00000000-0005-0000-0000-000047000000}"/>
    <cellStyle name="20% - Accent1 11 39" xfId="120" xr:uid="{00000000-0005-0000-0000-000048000000}"/>
    <cellStyle name="20% - Accent1 11 4" xfId="121" xr:uid="{00000000-0005-0000-0000-000049000000}"/>
    <cellStyle name="20% - Accent1 11 5" xfId="122" xr:uid="{00000000-0005-0000-0000-00004A000000}"/>
    <cellStyle name="20% - Accent1 11 6" xfId="123" xr:uid="{00000000-0005-0000-0000-00004B000000}"/>
    <cellStyle name="20% - Accent1 11 7" xfId="124" xr:uid="{00000000-0005-0000-0000-00004C000000}"/>
    <cellStyle name="20% - Accent1 11 8" xfId="125" xr:uid="{00000000-0005-0000-0000-00004D000000}"/>
    <cellStyle name="20% - Accent1 11 9" xfId="126" xr:uid="{00000000-0005-0000-0000-00004E000000}"/>
    <cellStyle name="20% - Accent1 12" xfId="127" xr:uid="{00000000-0005-0000-0000-00004F000000}"/>
    <cellStyle name="20% - Accent1 13" xfId="128" xr:uid="{00000000-0005-0000-0000-000050000000}"/>
    <cellStyle name="20% - Accent1 14" xfId="129" xr:uid="{00000000-0005-0000-0000-000051000000}"/>
    <cellStyle name="20% - Accent1 15" xfId="130" xr:uid="{00000000-0005-0000-0000-000052000000}"/>
    <cellStyle name="20% - Accent1 16" xfId="131" xr:uid="{00000000-0005-0000-0000-000053000000}"/>
    <cellStyle name="20% - Accent1 17" xfId="132" xr:uid="{00000000-0005-0000-0000-000054000000}"/>
    <cellStyle name="20% - Accent1 18" xfId="133" xr:uid="{00000000-0005-0000-0000-000055000000}"/>
    <cellStyle name="20% - Accent1 19" xfId="134" xr:uid="{00000000-0005-0000-0000-000056000000}"/>
    <cellStyle name="20% - Accent1 2" xfId="135" xr:uid="{00000000-0005-0000-0000-000057000000}"/>
    <cellStyle name="20% - Accent1 2 10" xfId="136" xr:uid="{00000000-0005-0000-0000-000058000000}"/>
    <cellStyle name="20% - Accent1 2 11" xfId="137" xr:uid="{00000000-0005-0000-0000-000059000000}"/>
    <cellStyle name="20% - Accent1 2 12" xfId="138" xr:uid="{00000000-0005-0000-0000-00005A000000}"/>
    <cellStyle name="20% - Accent1 2 13" xfId="139" xr:uid="{00000000-0005-0000-0000-00005B000000}"/>
    <cellStyle name="20% - Accent1 2 14" xfId="140" xr:uid="{00000000-0005-0000-0000-00005C000000}"/>
    <cellStyle name="20% - Accent1 2 15" xfId="141" xr:uid="{00000000-0005-0000-0000-00005D000000}"/>
    <cellStyle name="20% - Accent1 2 16" xfId="142" xr:uid="{00000000-0005-0000-0000-00005E000000}"/>
    <cellStyle name="20% - Accent1 2 17" xfId="143" xr:uid="{00000000-0005-0000-0000-00005F000000}"/>
    <cellStyle name="20% - Accent1 2 18" xfId="144" xr:uid="{00000000-0005-0000-0000-000060000000}"/>
    <cellStyle name="20% - Accent1 2 19" xfId="145" xr:uid="{00000000-0005-0000-0000-000061000000}"/>
    <cellStyle name="20% - Accent1 2 2" xfId="146" xr:uid="{00000000-0005-0000-0000-000062000000}"/>
    <cellStyle name="20% - Accent1 2 2 2" xfId="147" xr:uid="{00000000-0005-0000-0000-000063000000}"/>
    <cellStyle name="20% - Accent1 2 20" xfId="148" xr:uid="{00000000-0005-0000-0000-000064000000}"/>
    <cellStyle name="20% - Accent1 2 21" xfId="149" xr:uid="{00000000-0005-0000-0000-000065000000}"/>
    <cellStyle name="20% - Accent1 2 22" xfId="150" xr:uid="{00000000-0005-0000-0000-000066000000}"/>
    <cellStyle name="20% - Accent1 2 23" xfId="151" xr:uid="{00000000-0005-0000-0000-000067000000}"/>
    <cellStyle name="20% - Accent1 2 24" xfId="152" xr:uid="{00000000-0005-0000-0000-000068000000}"/>
    <cellStyle name="20% - Accent1 2 25" xfId="153" xr:uid="{00000000-0005-0000-0000-000069000000}"/>
    <cellStyle name="20% - Accent1 2 26" xfId="154" xr:uid="{00000000-0005-0000-0000-00006A000000}"/>
    <cellStyle name="20% - Accent1 2 27" xfId="155" xr:uid="{00000000-0005-0000-0000-00006B000000}"/>
    <cellStyle name="20% - Accent1 2 28" xfId="156" xr:uid="{00000000-0005-0000-0000-00006C000000}"/>
    <cellStyle name="20% - Accent1 2 29" xfId="157" xr:uid="{00000000-0005-0000-0000-00006D000000}"/>
    <cellStyle name="20% - Accent1 2 3" xfId="158" xr:uid="{00000000-0005-0000-0000-00006E000000}"/>
    <cellStyle name="20% - Accent1 2 3 2" xfId="159" xr:uid="{00000000-0005-0000-0000-00006F000000}"/>
    <cellStyle name="20% - Accent1 2 30" xfId="160" xr:uid="{00000000-0005-0000-0000-000070000000}"/>
    <cellStyle name="20% - Accent1 2 31" xfId="161" xr:uid="{00000000-0005-0000-0000-000071000000}"/>
    <cellStyle name="20% - Accent1 2 32" xfId="162" xr:uid="{00000000-0005-0000-0000-000072000000}"/>
    <cellStyle name="20% - Accent1 2 33" xfId="163" xr:uid="{00000000-0005-0000-0000-000073000000}"/>
    <cellStyle name="20% - Accent1 2 34" xfId="164" xr:uid="{00000000-0005-0000-0000-000074000000}"/>
    <cellStyle name="20% - Accent1 2 35" xfId="165" xr:uid="{00000000-0005-0000-0000-000075000000}"/>
    <cellStyle name="20% - Accent1 2 36" xfId="166" xr:uid="{00000000-0005-0000-0000-000076000000}"/>
    <cellStyle name="20% - Accent1 2 37" xfId="167" xr:uid="{00000000-0005-0000-0000-000077000000}"/>
    <cellStyle name="20% - Accent1 2 38" xfId="168" xr:uid="{00000000-0005-0000-0000-000078000000}"/>
    <cellStyle name="20% - Accent1 2 39" xfId="169" xr:uid="{00000000-0005-0000-0000-000079000000}"/>
    <cellStyle name="20% - Accent1 2 4" xfId="170" xr:uid="{00000000-0005-0000-0000-00007A000000}"/>
    <cellStyle name="20% - Accent1 2 4 2" xfId="171" xr:uid="{00000000-0005-0000-0000-00007B000000}"/>
    <cellStyle name="20% - Accent1 2 40" xfId="172" xr:uid="{00000000-0005-0000-0000-00007C000000}"/>
    <cellStyle name="20% - Accent1 2 41" xfId="173" xr:uid="{00000000-0005-0000-0000-00007D000000}"/>
    <cellStyle name="20% - Accent1 2 42" xfId="174" xr:uid="{00000000-0005-0000-0000-00007E000000}"/>
    <cellStyle name="20% - Accent1 2 43" xfId="175" xr:uid="{00000000-0005-0000-0000-00007F000000}"/>
    <cellStyle name="20% - Accent1 2 44" xfId="176" xr:uid="{00000000-0005-0000-0000-000080000000}"/>
    <cellStyle name="20% - Accent1 2 45" xfId="177" xr:uid="{00000000-0005-0000-0000-000081000000}"/>
    <cellStyle name="20% - Accent1 2 46" xfId="178" xr:uid="{00000000-0005-0000-0000-000082000000}"/>
    <cellStyle name="20% - Accent1 2 47" xfId="179" xr:uid="{00000000-0005-0000-0000-000083000000}"/>
    <cellStyle name="20% - Accent1 2 48" xfId="180" xr:uid="{00000000-0005-0000-0000-000084000000}"/>
    <cellStyle name="20% - Accent1 2 49" xfId="181" xr:uid="{00000000-0005-0000-0000-000085000000}"/>
    <cellStyle name="20% - Accent1 2 5" xfId="182" xr:uid="{00000000-0005-0000-0000-000086000000}"/>
    <cellStyle name="20% - Accent1 2 5 2" xfId="183" xr:uid="{00000000-0005-0000-0000-000087000000}"/>
    <cellStyle name="20% - Accent1 2 50" xfId="184" xr:uid="{00000000-0005-0000-0000-000088000000}"/>
    <cellStyle name="20% - Accent1 2 51" xfId="185" xr:uid="{00000000-0005-0000-0000-000089000000}"/>
    <cellStyle name="20% - Accent1 2 52" xfId="186" xr:uid="{00000000-0005-0000-0000-00008A000000}"/>
    <cellStyle name="20% - Accent1 2 53" xfId="187" xr:uid="{00000000-0005-0000-0000-00008B000000}"/>
    <cellStyle name="20% - Accent1 2 54" xfId="188" xr:uid="{00000000-0005-0000-0000-00008C000000}"/>
    <cellStyle name="20% - Accent1 2 55" xfId="189" xr:uid="{00000000-0005-0000-0000-00008D000000}"/>
    <cellStyle name="20% - Accent1 2 56" xfId="190" xr:uid="{00000000-0005-0000-0000-00008E000000}"/>
    <cellStyle name="20% - Accent1 2 57" xfId="191" xr:uid="{00000000-0005-0000-0000-00008F000000}"/>
    <cellStyle name="20% - Accent1 2 58" xfId="192" xr:uid="{00000000-0005-0000-0000-000090000000}"/>
    <cellStyle name="20% - Accent1 2 59" xfId="193" xr:uid="{00000000-0005-0000-0000-000091000000}"/>
    <cellStyle name="20% - Accent1 2 6" xfId="194" xr:uid="{00000000-0005-0000-0000-000092000000}"/>
    <cellStyle name="20% - Accent1 2 6 2" xfId="195" xr:uid="{00000000-0005-0000-0000-000093000000}"/>
    <cellStyle name="20% - Accent1 2 60" xfId="196" xr:uid="{00000000-0005-0000-0000-000094000000}"/>
    <cellStyle name="20% - Accent1 2 61" xfId="197" xr:uid="{00000000-0005-0000-0000-000095000000}"/>
    <cellStyle name="20% - Accent1 2 62" xfId="198" xr:uid="{00000000-0005-0000-0000-000096000000}"/>
    <cellStyle name="20% - Accent1 2 63" xfId="199" xr:uid="{00000000-0005-0000-0000-000097000000}"/>
    <cellStyle name="20% - Accent1 2 64" xfId="200" xr:uid="{00000000-0005-0000-0000-000098000000}"/>
    <cellStyle name="20% - Accent1 2 65" xfId="201" xr:uid="{00000000-0005-0000-0000-000099000000}"/>
    <cellStyle name="20% - Accent1 2 66" xfId="202" xr:uid="{00000000-0005-0000-0000-00009A000000}"/>
    <cellStyle name="20% - Accent1 2 67" xfId="203" xr:uid="{00000000-0005-0000-0000-00009B000000}"/>
    <cellStyle name="20% - Accent1 2 68" xfId="204" xr:uid="{00000000-0005-0000-0000-00009C000000}"/>
    <cellStyle name="20% - Accent1 2 69" xfId="205" xr:uid="{00000000-0005-0000-0000-00009D000000}"/>
    <cellStyle name="20% - Accent1 2 7" xfId="206" xr:uid="{00000000-0005-0000-0000-00009E000000}"/>
    <cellStyle name="20% - Accent1 2 7 2" xfId="207" xr:uid="{00000000-0005-0000-0000-00009F000000}"/>
    <cellStyle name="20% - Accent1 2 70" xfId="208" xr:uid="{00000000-0005-0000-0000-0000A0000000}"/>
    <cellStyle name="20% - Accent1 2 71" xfId="209" xr:uid="{00000000-0005-0000-0000-0000A1000000}"/>
    <cellStyle name="20% - Accent1 2 72" xfId="210" xr:uid="{00000000-0005-0000-0000-0000A2000000}"/>
    <cellStyle name="20% - Accent1 2 73" xfId="211" xr:uid="{00000000-0005-0000-0000-0000A3000000}"/>
    <cellStyle name="20% - Accent1 2 74" xfId="212" xr:uid="{00000000-0005-0000-0000-0000A4000000}"/>
    <cellStyle name="20% - Accent1 2 75" xfId="213" xr:uid="{00000000-0005-0000-0000-0000A5000000}"/>
    <cellStyle name="20% - Accent1 2 8" xfId="214" xr:uid="{00000000-0005-0000-0000-0000A6000000}"/>
    <cellStyle name="20% - Accent1 2 8 2" xfId="215" xr:uid="{00000000-0005-0000-0000-0000A7000000}"/>
    <cellStyle name="20% - Accent1 2 9" xfId="216" xr:uid="{00000000-0005-0000-0000-0000A8000000}"/>
    <cellStyle name="20% - Accent1 2 9 2" xfId="217" xr:uid="{00000000-0005-0000-0000-0000A9000000}"/>
    <cellStyle name="20% - Accent1 20" xfId="218" xr:uid="{00000000-0005-0000-0000-0000AA000000}"/>
    <cellStyle name="20% - Accent1 21" xfId="219" xr:uid="{00000000-0005-0000-0000-0000AB000000}"/>
    <cellStyle name="20% - Accent1 22" xfId="220" xr:uid="{00000000-0005-0000-0000-0000AC000000}"/>
    <cellStyle name="20% - Accent1 23" xfId="221" xr:uid="{00000000-0005-0000-0000-0000AD000000}"/>
    <cellStyle name="20% - Accent1 24" xfId="222" xr:uid="{00000000-0005-0000-0000-0000AE000000}"/>
    <cellStyle name="20% - Accent1 25" xfId="223" xr:uid="{00000000-0005-0000-0000-0000AF000000}"/>
    <cellStyle name="20% - Accent1 26" xfId="224" xr:uid="{00000000-0005-0000-0000-0000B0000000}"/>
    <cellStyle name="20% - Accent1 27" xfId="225" xr:uid="{00000000-0005-0000-0000-0000B1000000}"/>
    <cellStyle name="20% - Accent1 28" xfId="226" xr:uid="{00000000-0005-0000-0000-0000B2000000}"/>
    <cellStyle name="20% - Accent1 29" xfId="227" xr:uid="{00000000-0005-0000-0000-0000B3000000}"/>
    <cellStyle name="20% - Accent1 3" xfId="228" xr:uid="{00000000-0005-0000-0000-0000B4000000}"/>
    <cellStyle name="20% - Accent1 3 10" xfId="229" xr:uid="{00000000-0005-0000-0000-0000B5000000}"/>
    <cellStyle name="20% - Accent1 3 11" xfId="230" xr:uid="{00000000-0005-0000-0000-0000B6000000}"/>
    <cellStyle name="20% - Accent1 3 12" xfId="231" xr:uid="{00000000-0005-0000-0000-0000B7000000}"/>
    <cellStyle name="20% - Accent1 3 13" xfId="232" xr:uid="{00000000-0005-0000-0000-0000B8000000}"/>
    <cellStyle name="20% - Accent1 3 14" xfId="233" xr:uid="{00000000-0005-0000-0000-0000B9000000}"/>
    <cellStyle name="20% - Accent1 3 15" xfId="234" xr:uid="{00000000-0005-0000-0000-0000BA000000}"/>
    <cellStyle name="20% - Accent1 3 16" xfId="235" xr:uid="{00000000-0005-0000-0000-0000BB000000}"/>
    <cellStyle name="20% - Accent1 3 17" xfId="236" xr:uid="{00000000-0005-0000-0000-0000BC000000}"/>
    <cellStyle name="20% - Accent1 3 18" xfId="237" xr:uid="{00000000-0005-0000-0000-0000BD000000}"/>
    <cellStyle name="20% - Accent1 3 19" xfId="238" xr:uid="{00000000-0005-0000-0000-0000BE000000}"/>
    <cellStyle name="20% - Accent1 3 2" xfId="239" xr:uid="{00000000-0005-0000-0000-0000BF000000}"/>
    <cellStyle name="20% - Accent1 3 2 2" xfId="240" xr:uid="{00000000-0005-0000-0000-0000C0000000}"/>
    <cellStyle name="20% - Accent1 3 20" xfId="241" xr:uid="{00000000-0005-0000-0000-0000C1000000}"/>
    <cellStyle name="20% - Accent1 3 21" xfId="242" xr:uid="{00000000-0005-0000-0000-0000C2000000}"/>
    <cellStyle name="20% - Accent1 3 22" xfId="243" xr:uid="{00000000-0005-0000-0000-0000C3000000}"/>
    <cellStyle name="20% - Accent1 3 23" xfId="244" xr:uid="{00000000-0005-0000-0000-0000C4000000}"/>
    <cellStyle name="20% - Accent1 3 24" xfId="245" xr:uid="{00000000-0005-0000-0000-0000C5000000}"/>
    <cellStyle name="20% - Accent1 3 25" xfId="246" xr:uid="{00000000-0005-0000-0000-0000C6000000}"/>
    <cellStyle name="20% - Accent1 3 26" xfId="247" xr:uid="{00000000-0005-0000-0000-0000C7000000}"/>
    <cellStyle name="20% - Accent1 3 27" xfId="248" xr:uid="{00000000-0005-0000-0000-0000C8000000}"/>
    <cellStyle name="20% - Accent1 3 28" xfId="249" xr:uid="{00000000-0005-0000-0000-0000C9000000}"/>
    <cellStyle name="20% - Accent1 3 29" xfId="250" xr:uid="{00000000-0005-0000-0000-0000CA000000}"/>
    <cellStyle name="20% - Accent1 3 3" xfId="251" xr:uid="{00000000-0005-0000-0000-0000CB000000}"/>
    <cellStyle name="20% - Accent1 3 3 2" xfId="252" xr:uid="{00000000-0005-0000-0000-0000CC000000}"/>
    <cellStyle name="20% - Accent1 3 30" xfId="253" xr:uid="{00000000-0005-0000-0000-0000CD000000}"/>
    <cellStyle name="20% - Accent1 3 31" xfId="254" xr:uid="{00000000-0005-0000-0000-0000CE000000}"/>
    <cellStyle name="20% - Accent1 3 32" xfId="255" xr:uid="{00000000-0005-0000-0000-0000CF000000}"/>
    <cellStyle name="20% - Accent1 3 33" xfId="256" xr:uid="{00000000-0005-0000-0000-0000D0000000}"/>
    <cellStyle name="20% - Accent1 3 34" xfId="257" xr:uid="{00000000-0005-0000-0000-0000D1000000}"/>
    <cellStyle name="20% - Accent1 3 35" xfId="258" xr:uid="{00000000-0005-0000-0000-0000D2000000}"/>
    <cellStyle name="20% - Accent1 3 36" xfId="259" xr:uid="{00000000-0005-0000-0000-0000D3000000}"/>
    <cellStyle name="20% - Accent1 3 37" xfId="260" xr:uid="{00000000-0005-0000-0000-0000D4000000}"/>
    <cellStyle name="20% - Accent1 3 38" xfId="261" xr:uid="{00000000-0005-0000-0000-0000D5000000}"/>
    <cellStyle name="20% - Accent1 3 39" xfId="262" xr:uid="{00000000-0005-0000-0000-0000D6000000}"/>
    <cellStyle name="20% - Accent1 3 4" xfId="263" xr:uid="{00000000-0005-0000-0000-0000D7000000}"/>
    <cellStyle name="20% - Accent1 3 4 2" xfId="264" xr:uid="{00000000-0005-0000-0000-0000D8000000}"/>
    <cellStyle name="20% - Accent1 3 40" xfId="265" xr:uid="{00000000-0005-0000-0000-0000D9000000}"/>
    <cellStyle name="20% - Accent1 3 41" xfId="266" xr:uid="{00000000-0005-0000-0000-0000DA000000}"/>
    <cellStyle name="20% - Accent1 3 42" xfId="267" xr:uid="{00000000-0005-0000-0000-0000DB000000}"/>
    <cellStyle name="20% - Accent1 3 43" xfId="268" xr:uid="{00000000-0005-0000-0000-0000DC000000}"/>
    <cellStyle name="20% - Accent1 3 44" xfId="269" xr:uid="{00000000-0005-0000-0000-0000DD000000}"/>
    <cellStyle name="20% - Accent1 3 45" xfId="270" xr:uid="{00000000-0005-0000-0000-0000DE000000}"/>
    <cellStyle name="20% - Accent1 3 46" xfId="271" xr:uid="{00000000-0005-0000-0000-0000DF000000}"/>
    <cellStyle name="20% - Accent1 3 47" xfId="272" xr:uid="{00000000-0005-0000-0000-0000E0000000}"/>
    <cellStyle name="20% - Accent1 3 48" xfId="273" xr:uid="{00000000-0005-0000-0000-0000E1000000}"/>
    <cellStyle name="20% - Accent1 3 49" xfId="274" xr:uid="{00000000-0005-0000-0000-0000E2000000}"/>
    <cellStyle name="20% - Accent1 3 5" xfId="275" xr:uid="{00000000-0005-0000-0000-0000E3000000}"/>
    <cellStyle name="20% - Accent1 3 5 2" xfId="276" xr:uid="{00000000-0005-0000-0000-0000E4000000}"/>
    <cellStyle name="20% - Accent1 3 50" xfId="277" xr:uid="{00000000-0005-0000-0000-0000E5000000}"/>
    <cellStyle name="20% - Accent1 3 51" xfId="278" xr:uid="{00000000-0005-0000-0000-0000E6000000}"/>
    <cellStyle name="20% - Accent1 3 52" xfId="279" xr:uid="{00000000-0005-0000-0000-0000E7000000}"/>
    <cellStyle name="20% - Accent1 3 53" xfId="280" xr:uid="{00000000-0005-0000-0000-0000E8000000}"/>
    <cellStyle name="20% - Accent1 3 54" xfId="281" xr:uid="{00000000-0005-0000-0000-0000E9000000}"/>
    <cellStyle name="20% - Accent1 3 55" xfId="282" xr:uid="{00000000-0005-0000-0000-0000EA000000}"/>
    <cellStyle name="20% - Accent1 3 56" xfId="283" xr:uid="{00000000-0005-0000-0000-0000EB000000}"/>
    <cellStyle name="20% - Accent1 3 57" xfId="284" xr:uid="{00000000-0005-0000-0000-0000EC000000}"/>
    <cellStyle name="20% - Accent1 3 58" xfId="285" xr:uid="{00000000-0005-0000-0000-0000ED000000}"/>
    <cellStyle name="20% - Accent1 3 59" xfId="286" xr:uid="{00000000-0005-0000-0000-0000EE000000}"/>
    <cellStyle name="20% - Accent1 3 6" xfId="287" xr:uid="{00000000-0005-0000-0000-0000EF000000}"/>
    <cellStyle name="20% - Accent1 3 6 2" xfId="288" xr:uid="{00000000-0005-0000-0000-0000F0000000}"/>
    <cellStyle name="20% - Accent1 3 60" xfId="289" xr:uid="{00000000-0005-0000-0000-0000F1000000}"/>
    <cellStyle name="20% - Accent1 3 61" xfId="290" xr:uid="{00000000-0005-0000-0000-0000F2000000}"/>
    <cellStyle name="20% - Accent1 3 62" xfId="291" xr:uid="{00000000-0005-0000-0000-0000F3000000}"/>
    <cellStyle name="20% - Accent1 3 63" xfId="292" xr:uid="{00000000-0005-0000-0000-0000F4000000}"/>
    <cellStyle name="20% - Accent1 3 64" xfId="293" xr:uid="{00000000-0005-0000-0000-0000F5000000}"/>
    <cellStyle name="20% - Accent1 3 65" xfId="294" xr:uid="{00000000-0005-0000-0000-0000F6000000}"/>
    <cellStyle name="20% - Accent1 3 66" xfId="295" xr:uid="{00000000-0005-0000-0000-0000F7000000}"/>
    <cellStyle name="20% - Accent1 3 67" xfId="296" xr:uid="{00000000-0005-0000-0000-0000F8000000}"/>
    <cellStyle name="20% - Accent1 3 68" xfId="297" xr:uid="{00000000-0005-0000-0000-0000F9000000}"/>
    <cellStyle name="20% - Accent1 3 69" xfId="298" xr:uid="{00000000-0005-0000-0000-0000FA000000}"/>
    <cellStyle name="20% - Accent1 3 7" xfId="299" xr:uid="{00000000-0005-0000-0000-0000FB000000}"/>
    <cellStyle name="20% - Accent1 3 7 2" xfId="300" xr:uid="{00000000-0005-0000-0000-0000FC000000}"/>
    <cellStyle name="20% - Accent1 3 70" xfId="301" xr:uid="{00000000-0005-0000-0000-0000FD000000}"/>
    <cellStyle name="20% - Accent1 3 71" xfId="302" xr:uid="{00000000-0005-0000-0000-0000FE000000}"/>
    <cellStyle name="20% - Accent1 3 72" xfId="303" xr:uid="{00000000-0005-0000-0000-0000FF000000}"/>
    <cellStyle name="20% - Accent1 3 73" xfId="304" xr:uid="{00000000-0005-0000-0000-000000010000}"/>
    <cellStyle name="20% - Accent1 3 74" xfId="305" xr:uid="{00000000-0005-0000-0000-000001010000}"/>
    <cellStyle name="20% - Accent1 3 75" xfId="306" xr:uid="{00000000-0005-0000-0000-000002010000}"/>
    <cellStyle name="20% - Accent1 3 8" xfId="307" xr:uid="{00000000-0005-0000-0000-000003010000}"/>
    <cellStyle name="20% - Accent1 3 8 2" xfId="308" xr:uid="{00000000-0005-0000-0000-000004010000}"/>
    <cellStyle name="20% - Accent1 3 9" xfId="309" xr:uid="{00000000-0005-0000-0000-000005010000}"/>
    <cellStyle name="20% - Accent1 3 9 2" xfId="310" xr:uid="{00000000-0005-0000-0000-000006010000}"/>
    <cellStyle name="20% - Accent1 30" xfId="311" xr:uid="{00000000-0005-0000-0000-000007010000}"/>
    <cellStyle name="20% - Accent1 31" xfId="312" xr:uid="{00000000-0005-0000-0000-000008010000}"/>
    <cellStyle name="20% - Accent1 32" xfId="313" xr:uid="{00000000-0005-0000-0000-000009010000}"/>
    <cellStyle name="20% - Accent1 33" xfId="314" xr:uid="{00000000-0005-0000-0000-00000A010000}"/>
    <cellStyle name="20% - Accent1 34" xfId="315" xr:uid="{00000000-0005-0000-0000-00000B010000}"/>
    <cellStyle name="20% - Accent1 35" xfId="316" xr:uid="{00000000-0005-0000-0000-00000C010000}"/>
    <cellStyle name="20% - Accent1 36" xfId="317" xr:uid="{00000000-0005-0000-0000-00000D010000}"/>
    <cellStyle name="20% - Accent1 37" xfId="318" xr:uid="{00000000-0005-0000-0000-00000E010000}"/>
    <cellStyle name="20% - Accent1 38" xfId="319" xr:uid="{00000000-0005-0000-0000-00000F010000}"/>
    <cellStyle name="20% - Accent1 39" xfId="320" xr:uid="{00000000-0005-0000-0000-000010010000}"/>
    <cellStyle name="20% - Accent1 4" xfId="321" xr:uid="{00000000-0005-0000-0000-000011010000}"/>
    <cellStyle name="20% - Accent1 4 10" xfId="322" xr:uid="{00000000-0005-0000-0000-000012010000}"/>
    <cellStyle name="20% - Accent1 4 11" xfId="323" xr:uid="{00000000-0005-0000-0000-000013010000}"/>
    <cellStyle name="20% - Accent1 4 12" xfId="324" xr:uid="{00000000-0005-0000-0000-000014010000}"/>
    <cellStyle name="20% - Accent1 4 13" xfId="325" xr:uid="{00000000-0005-0000-0000-000015010000}"/>
    <cellStyle name="20% - Accent1 4 14" xfId="326" xr:uid="{00000000-0005-0000-0000-000016010000}"/>
    <cellStyle name="20% - Accent1 4 15" xfId="327" xr:uid="{00000000-0005-0000-0000-000017010000}"/>
    <cellStyle name="20% - Accent1 4 16" xfId="328" xr:uid="{00000000-0005-0000-0000-000018010000}"/>
    <cellStyle name="20% - Accent1 4 17" xfId="329" xr:uid="{00000000-0005-0000-0000-000019010000}"/>
    <cellStyle name="20% - Accent1 4 18" xfId="330" xr:uid="{00000000-0005-0000-0000-00001A010000}"/>
    <cellStyle name="20% - Accent1 4 19" xfId="331" xr:uid="{00000000-0005-0000-0000-00001B010000}"/>
    <cellStyle name="20% - Accent1 4 2" xfId="332" xr:uid="{00000000-0005-0000-0000-00001C010000}"/>
    <cellStyle name="20% - Accent1 4 2 2" xfId="333" xr:uid="{00000000-0005-0000-0000-00001D010000}"/>
    <cellStyle name="20% - Accent1 4 20" xfId="334" xr:uid="{00000000-0005-0000-0000-00001E010000}"/>
    <cellStyle name="20% - Accent1 4 21" xfId="335" xr:uid="{00000000-0005-0000-0000-00001F010000}"/>
    <cellStyle name="20% - Accent1 4 22" xfId="336" xr:uid="{00000000-0005-0000-0000-000020010000}"/>
    <cellStyle name="20% - Accent1 4 23" xfId="337" xr:uid="{00000000-0005-0000-0000-000021010000}"/>
    <cellStyle name="20% - Accent1 4 24" xfId="338" xr:uid="{00000000-0005-0000-0000-000022010000}"/>
    <cellStyle name="20% - Accent1 4 25" xfId="339" xr:uid="{00000000-0005-0000-0000-000023010000}"/>
    <cellStyle name="20% - Accent1 4 26" xfId="340" xr:uid="{00000000-0005-0000-0000-000024010000}"/>
    <cellStyle name="20% - Accent1 4 27" xfId="341" xr:uid="{00000000-0005-0000-0000-000025010000}"/>
    <cellStyle name="20% - Accent1 4 28" xfId="342" xr:uid="{00000000-0005-0000-0000-000026010000}"/>
    <cellStyle name="20% - Accent1 4 29" xfId="343" xr:uid="{00000000-0005-0000-0000-000027010000}"/>
    <cellStyle name="20% - Accent1 4 3" xfId="344" xr:uid="{00000000-0005-0000-0000-000028010000}"/>
    <cellStyle name="20% - Accent1 4 3 2" xfId="345" xr:uid="{00000000-0005-0000-0000-000029010000}"/>
    <cellStyle name="20% - Accent1 4 30" xfId="346" xr:uid="{00000000-0005-0000-0000-00002A010000}"/>
    <cellStyle name="20% - Accent1 4 31" xfId="347" xr:uid="{00000000-0005-0000-0000-00002B010000}"/>
    <cellStyle name="20% - Accent1 4 32" xfId="348" xr:uid="{00000000-0005-0000-0000-00002C010000}"/>
    <cellStyle name="20% - Accent1 4 33" xfId="349" xr:uid="{00000000-0005-0000-0000-00002D010000}"/>
    <cellStyle name="20% - Accent1 4 34" xfId="350" xr:uid="{00000000-0005-0000-0000-00002E010000}"/>
    <cellStyle name="20% - Accent1 4 35" xfId="351" xr:uid="{00000000-0005-0000-0000-00002F010000}"/>
    <cellStyle name="20% - Accent1 4 36" xfId="352" xr:uid="{00000000-0005-0000-0000-000030010000}"/>
    <cellStyle name="20% - Accent1 4 37" xfId="353" xr:uid="{00000000-0005-0000-0000-000031010000}"/>
    <cellStyle name="20% - Accent1 4 38" xfId="354" xr:uid="{00000000-0005-0000-0000-000032010000}"/>
    <cellStyle name="20% - Accent1 4 39" xfId="355" xr:uid="{00000000-0005-0000-0000-000033010000}"/>
    <cellStyle name="20% - Accent1 4 4" xfId="356" xr:uid="{00000000-0005-0000-0000-000034010000}"/>
    <cellStyle name="20% - Accent1 4 4 2" xfId="357" xr:uid="{00000000-0005-0000-0000-000035010000}"/>
    <cellStyle name="20% - Accent1 4 40" xfId="358" xr:uid="{00000000-0005-0000-0000-000036010000}"/>
    <cellStyle name="20% - Accent1 4 41" xfId="359" xr:uid="{00000000-0005-0000-0000-000037010000}"/>
    <cellStyle name="20% - Accent1 4 42" xfId="360" xr:uid="{00000000-0005-0000-0000-000038010000}"/>
    <cellStyle name="20% - Accent1 4 43" xfId="361" xr:uid="{00000000-0005-0000-0000-000039010000}"/>
    <cellStyle name="20% - Accent1 4 44" xfId="362" xr:uid="{00000000-0005-0000-0000-00003A010000}"/>
    <cellStyle name="20% - Accent1 4 45" xfId="363" xr:uid="{00000000-0005-0000-0000-00003B010000}"/>
    <cellStyle name="20% - Accent1 4 46" xfId="364" xr:uid="{00000000-0005-0000-0000-00003C010000}"/>
    <cellStyle name="20% - Accent1 4 47" xfId="365" xr:uid="{00000000-0005-0000-0000-00003D010000}"/>
    <cellStyle name="20% - Accent1 4 48" xfId="366" xr:uid="{00000000-0005-0000-0000-00003E010000}"/>
    <cellStyle name="20% - Accent1 4 49" xfId="367" xr:uid="{00000000-0005-0000-0000-00003F010000}"/>
    <cellStyle name="20% - Accent1 4 5" xfId="368" xr:uid="{00000000-0005-0000-0000-000040010000}"/>
    <cellStyle name="20% - Accent1 4 5 2" xfId="369" xr:uid="{00000000-0005-0000-0000-000041010000}"/>
    <cellStyle name="20% - Accent1 4 50" xfId="370" xr:uid="{00000000-0005-0000-0000-000042010000}"/>
    <cellStyle name="20% - Accent1 4 51" xfId="371" xr:uid="{00000000-0005-0000-0000-000043010000}"/>
    <cellStyle name="20% - Accent1 4 52" xfId="372" xr:uid="{00000000-0005-0000-0000-000044010000}"/>
    <cellStyle name="20% - Accent1 4 53" xfId="373" xr:uid="{00000000-0005-0000-0000-000045010000}"/>
    <cellStyle name="20% - Accent1 4 54" xfId="374" xr:uid="{00000000-0005-0000-0000-000046010000}"/>
    <cellStyle name="20% - Accent1 4 55" xfId="375" xr:uid="{00000000-0005-0000-0000-000047010000}"/>
    <cellStyle name="20% - Accent1 4 56" xfId="376" xr:uid="{00000000-0005-0000-0000-000048010000}"/>
    <cellStyle name="20% - Accent1 4 57" xfId="377" xr:uid="{00000000-0005-0000-0000-000049010000}"/>
    <cellStyle name="20% - Accent1 4 58" xfId="378" xr:uid="{00000000-0005-0000-0000-00004A010000}"/>
    <cellStyle name="20% - Accent1 4 59" xfId="379" xr:uid="{00000000-0005-0000-0000-00004B010000}"/>
    <cellStyle name="20% - Accent1 4 6" xfId="380" xr:uid="{00000000-0005-0000-0000-00004C010000}"/>
    <cellStyle name="20% - Accent1 4 6 2" xfId="381" xr:uid="{00000000-0005-0000-0000-00004D010000}"/>
    <cellStyle name="20% - Accent1 4 60" xfId="382" xr:uid="{00000000-0005-0000-0000-00004E010000}"/>
    <cellStyle name="20% - Accent1 4 61" xfId="383" xr:uid="{00000000-0005-0000-0000-00004F010000}"/>
    <cellStyle name="20% - Accent1 4 62" xfId="384" xr:uid="{00000000-0005-0000-0000-000050010000}"/>
    <cellStyle name="20% - Accent1 4 63" xfId="385" xr:uid="{00000000-0005-0000-0000-000051010000}"/>
    <cellStyle name="20% - Accent1 4 64" xfId="386" xr:uid="{00000000-0005-0000-0000-000052010000}"/>
    <cellStyle name="20% - Accent1 4 65" xfId="387" xr:uid="{00000000-0005-0000-0000-000053010000}"/>
    <cellStyle name="20% - Accent1 4 66" xfId="388" xr:uid="{00000000-0005-0000-0000-000054010000}"/>
    <cellStyle name="20% - Accent1 4 67" xfId="389" xr:uid="{00000000-0005-0000-0000-000055010000}"/>
    <cellStyle name="20% - Accent1 4 68" xfId="390" xr:uid="{00000000-0005-0000-0000-000056010000}"/>
    <cellStyle name="20% - Accent1 4 69" xfId="391" xr:uid="{00000000-0005-0000-0000-000057010000}"/>
    <cellStyle name="20% - Accent1 4 7" xfId="392" xr:uid="{00000000-0005-0000-0000-000058010000}"/>
    <cellStyle name="20% - Accent1 4 7 2" xfId="393" xr:uid="{00000000-0005-0000-0000-000059010000}"/>
    <cellStyle name="20% - Accent1 4 70" xfId="394" xr:uid="{00000000-0005-0000-0000-00005A010000}"/>
    <cellStyle name="20% - Accent1 4 71" xfId="395" xr:uid="{00000000-0005-0000-0000-00005B010000}"/>
    <cellStyle name="20% - Accent1 4 72" xfId="396" xr:uid="{00000000-0005-0000-0000-00005C010000}"/>
    <cellStyle name="20% - Accent1 4 73" xfId="397" xr:uid="{00000000-0005-0000-0000-00005D010000}"/>
    <cellStyle name="20% - Accent1 4 74" xfId="398" xr:uid="{00000000-0005-0000-0000-00005E010000}"/>
    <cellStyle name="20% - Accent1 4 75" xfId="399" xr:uid="{00000000-0005-0000-0000-00005F010000}"/>
    <cellStyle name="20% - Accent1 4 8" xfId="400" xr:uid="{00000000-0005-0000-0000-000060010000}"/>
    <cellStyle name="20% - Accent1 4 8 2" xfId="401" xr:uid="{00000000-0005-0000-0000-000061010000}"/>
    <cellStyle name="20% - Accent1 4 9" xfId="402" xr:uid="{00000000-0005-0000-0000-000062010000}"/>
    <cellStyle name="20% - Accent1 4 9 2" xfId="403" xr:uid="{00000000-0005-0000-0000-000063010000}"/>
    <cellStyle name="20% - Accent1 40" xfId="404" xr:uid="{00000000-0005-0000-0000-000064010000}"/>
    <cellStyle name="20% - Accent1 41" xfId="405" xr:uid="{00000000-0005-0000-0000-000065010000}"/>
    <cellStyle name="20% - Accent1 42" xfId="406" xr:uid="{00000000-0005-0000-0000-000066010000}"/>
    <cellStyle name="20% - Accent1 43" xfId="407" xr:uid="{00000000-0005-0000-0000-000067010000}"/>
    <cellStyle name="20% - Accent1 44" xfId="408" xr:uid="{00000000-0005-0000-0000-000068010000}"/>
    <cellStyle name="20% - Accent1 45" xfId="409" xr:uid="{00000000-0005-0000-0000-000069010000}"/>
    <cellStyle name="20% - Accent1 46" xfId="410" xr:uid="{00000000-0005-0000-0000-00006A010000}"/>
    <cellStyle name="20% - Accent1 47" xfId="411" xr:uid="{00000000-0005-0000-0000-00006B010000}"/>
    <cellStyle name="20% - Accent1 48" xfId="412" xr:uid="{00000000-0005-0000-0000-00006C010000}"/>
    <cellStyle name="20% - Accent1 49" xfId="413" xr:uid="{00000000-0005-0000-0000-00006D010000}"/>
    <cellStyle name="20% - Accent1 5" xfId="414" xr:uid="{00000000-0005-0000-0000-00006E010000}"/>
    <cellStyle name="20% - Accent1 5 10" xfId="415" xr:uid="{00000000-0005-0000-0000-00006F010000}"/>
    <cellStyle name="20% - Accent1 5 11" xfId="416" xr:uid="{00000000-0005-0000-0000-000070010000}"/>
    <cellStyle name="20% - Accent1 5 12" xfId="417" xr:uid="{00000000-0005-0000-0000-000071010000}"/>
    <cellStyle name="20% - Accent1 5 13" xfId="418" xr:uid="{00000000-0005-0000-0000-000072010000}"/>
    <cellStyle name="20% - Accent1 5 14" xfId="419" xr:uid="{00000000-0005-0000-0000-000073010000}"/>
    <cellStyle name="20% - Accent1 5 15" xfId="420" xr:uid="{00000000-0005-0000-0000-000074010000}"/>
    <cellStyle name="20% - Accent1 5 16" xfId="421" xr:uid="{00000000-0005-0000-0000-000075010000}"/>
    <cellStyle name="20% - Accent1 5 17" xfId="422" xr:uid="{00000000-0005-0000-0000-000076010000}"/>
    <cellStyle name="20% - Accent1 5 18" xfId="423" xr:uid="{00000000-0005-0000-0000-000077010000}"/>
    <cellStyle name="20% - Accent1 5 19" xfId="424" xr:uid="{00000000-0005-0000-0000-000078010000}"/>
    <cellStyle name="20% - Accent1 5 2" xfId="425" xr:uid="{00000000-0005-0000-0000-000079010000}"/>
    <cellStyle name="20% - Accent1 5 2 2" xfId="426" xr:uid="{00000000-0005-0000-0000-00007A010000}"/>
    <cellStyle name="20% - Accent1 5 20" xfId="427" xr:uid="{00000000-0005-0000-0000-00007B010000}"/>
    <cellStyle name="20% - Accent1 5 21" xfId="428" xr:uid="{00000000-0005-0000-0000-00007C010000}"/>
    <cellStyle name="20% - Accent1 5 22" xfId="429" xr:uid="{00000000-0005-0000-0000-00007D010000}"/>
    <cellStyle name="20% - Accent1 5 23" xfId="430" xr:uid="{00000000-0005-0000-0000-00007E010000}"/>
    <cellStyle name="20% - Accent1 5 24" xfId="431" xr:uid="{00000000-0005-0000-0000-00007F010000}"/>
    <cellStyle name="20% - Accent1 5 25" xfId="432" xr:uid="{00000000-0005-0000-0000-000080010000}"/>
    <cellStyle name="20% - Accent1 5 26" xfId="433" xr:uid="{00000000-0005-0000-0000-000081010000}"/>
    <cellStyle name="20% - Accent1 5 27" xfId="434" xr:uid="{00000000-0005-0000-0000-000082010000}"/>
    <cellStyle name="20% - Accent1 5 28" xfId="435" xr:uid="{00000000-0005-0000-0000-000083010000}"/>
    <cellStyle name="20% - Accent1 5 29" xfId="436" xr:uid="{00000000-0005-0000-0000-000084010000}"/>
    <cellStyle name="20% - Accent1 5 3" xfId="437" xr:uid="{00000000-0005-0000-0000-000085010000}"/>
    <cellStyle name="20% - Accent1 5 30" xfId="438" xr:uid="{00000000-0005-0000-0000-000086010000}"/>
    <cellStyle name="20% - Accent1 5 31" xfId="439" xr:uid="{00000000-0005-0000-0000-000087010000}"/>
    <cellStyle name="20% - Accent1 5 32" xfId="440" xr:uid="{00000000-0005-0000-0000-000088010000}"/>
    <cellStyle name="20% - Accent1 5 33" xfId="441" xr:uid="{00000000-0005-0000-0000-000089010000}"/>
    <cellStyle name="20% - Accent1 5 34" xfId="442" xr:uid="{00000000-0005-0000-0000-00008A010000}"/>
    <cellStyle name="20% - Accent1 5 35" xfId="443" xr:uid="{00000000-0005-0000-0000-00008B010000}"/>
    <cellStyle name="20% - Accent1 5 36" xfId="444" xr:uid="{00000000-0005-0000-0000-00008C010000}"/>
    <cellStyle name="20% - Accent1 5 37" xfId="445" xr:uid="{00000000-0005-0000-0000-00008D010000}"/>
    <cellStyle name="20% - Accent1 5 38" xfId="446" xr:uid="{00000000-0005-0000-0000-00008E010000}"/>
    <cellStyle name="20% - Accent1 5 39" xfId="447" xr:uid="{00000000-0005-0000-0000-00008F010000}"/>
    <cellStyle name="20% - Accent1 5 4" xfId="448" xr:uid="{00000000-0005-0000-0000-000090010000}"/>
    <cellStyle name="20% - Accent1 5 5" xfId="449" xr:uid="{00000000-0005-0000-0000-000091010000}"/>
    <cellStyle name="20% - Accent1 5 6" xfId="450" xr:uid="{00000000-0005-0000-0000-000092010000}"/>
    <cellStyle name="20% - Accent1 5 7" xfId="451" xr:uid="{00000000-0005-0000-0000-000093010000}"/>
    <cellStyle name="20% - Accent1 5 8" xfId="452" xr:uid="{00000000-0005-0000-0000-000094010000}"/>
    <cellStyle name="20% - Accent1 5 9" xfId="453" xr:uid="{00000000-0005-0000-0000-000095010000}"/>
    <cellStyle name="20% - Accent1 50" xfId="454" xr:uid="{00000000-0005-0000-0000-000096010000}"/>
    <cellStyle name="20% - Accent1 51" xfId="455" xr:uid="{00000000-0005-0000-0000-000097010000}"/>
    <cellStyle name="20% - Accent1 52" xfId="456" xr:uid="{00000000-0005-0000-0000-000098010000}"/>
    <cellStyle name="20% - Accent1 53" xfId="457" xr:uid="{00000000-0005-0000-0000-000099010000}"/>
    <cellStyle name="20% - Accent1 54" xfId="458" xr:uid="{00000000-0005-0000-0000-00009A010000}"/>
    <cellStyle name="20% - Accent1 55" xfId="459" xr:uid="{00000000-0005-0000-0000-00009B010000}"/>
    <cellStyle name="20% - Accent1 56" xfId="460" xr:uid="{00000000-0005-0000-0000-00009C010000}"/>
    <cellStyle name="20% - Accent1 57" xfId="461" xr:uid="{00000000-0005-0000-0000-00009D010000}"/>
    <cellStyle name="20% - Accent1 58" xfId="462" xr:uid="{00000000-0005-0000-0000-00009E010000}"/>
    <cellStyle name="20% - Accent1 59" xfId="463" xr:uid="{00000000-0005-0000-0000-00009F010000}"/>
    <cellStyle name="20% - Accent1 6" xfId="464" xr:uid="{00000000-0005-0000-0000-0000A0010000}"/>
    <cellStyle name="20% - Accent1 6 10" xfId="465" xr:uid="{00000000-0005-0000-0000-0000A1010000}"/>
    <cellStyle name="20% - Accent1 6 11" xfId="466" xr:uid="{00000000-0005-0000-0000-0000A2010000}"/>
    <cellStyle name="20% - Accent1 6 12" xfId="467" xr:uid="{00000000-0005-0000-0000-0000A3010000}"/>
    <cellStyle name="20% - Accent1 6 13" xfId="468" xr:uid="{00000000-0005-0000-0000-0000A4010000}"/>
    <cellStyle name="20% - Accent1 6 14" xfId="469" xr:uid="{00000000-0005-0000-0000-0000A5010000}"/>
    <cellStyle name="20% - Accent1 6 15" xfId="470" xr:uid="{00000000-0005-0000-0000-0000A6010000}"/>
    <cellStyle name="20% - Accent1 6 16" xfId="471" xr:uid="{00000000-0005-0000-0000-0000A7010000}"/>
    <cellStyle name="20% - Accent1 6 17" xfId="472" xr:uid="{00000000-0005-0000-0000-0000A8010000}"/>
    <cellStyle name="20% - Accent1 6 18" xfId="473" xr:uid="{00000000-0005-0000-0000-0000A9010000}"/>
    <cellStyle name="20% - Accent1 6 19" xfId="474" xr:uid="{00000000-0005-0000-0000-0000AA010000}"/>
    <cellStyle name="20% - Accent1 6 2" xfId="475" xr:uid="{00000000-0005-0000-0000-0000AB010000}"/>
    <cellStyle name="20% - Accent1 6 20" xfId="476" xr:uid="{00000000-0005-0000-0000-0000AC010000}"/>
    <cellStyle name="20% - Accent1 6 21" xfId="477" xr:uid="{00000000-0005-0000-0000-0000AD010000}"/>
    <cellStyle name="20% - Accent1 6 22" xfId="478" xr:uid="{00000000-0005-0000-0000-0000AE010000}"/>
    <cellStyle name="20% - Accent1 6 23" xfId="479" xr:uid="{00000000-0005-0000-0000-0000AF010000}"/>
    <cellStyle name="20% - Accent1 6 24" xfId="480" xr:uid="{00000000-0005-0000-0000-0000B0010000}"/>
    <cellStyle name="20% - Accent1 6 25" xfId="481" xr:uid="{00000000-0005-0000-0000-0000B1010000}"/>
    <cellStyle name="20% - Accent1 6 26" xfId="482" xr:uid="{00000000-0005-0000-0000-0000B2010000}"/>
    <cellStyle name="20% - Accent1 6 27" xfId="483" xr:uid="{00000000-0005-0000-0000-0000B3010000}"/>
    <cellStyle name="20% - Accent1 6 28" xfId="484" xr:uid="{00000000-0005-0000-0000-0000B4010000}"/>
    <cellStyle name="20% - Accent1 6 29" xfId="485" xr:uid="{00000000-0005-0000-0000-0000B5010000}"/>
    <cellStyle name="20% - Accent1 6 3" xfId="486" xr:uid="{00000000-0005-0000-0000-0000B6010000}"/>
    <cellStyle name="20% - Accent1 6 30" xfId="487" xr:uid="{00000000-0005-0000-0000-0000B7010000}"/>
    <cellStyle name="20% - Accent1 6 31" xfId="488" xr:uid="{00000000-0005-0000-0000-0000B8010000}"/>
    <cellStyle name="20% - Accent1 6 32" xfId="489" xr:uid="{00000000-0005-0000-0000-0000B9010000}"/>
    <cellStyle name="20% - Accent1 6 33" xfId="490" xr:uid="{00000000-0005-0000-0000-0000BA010000}"/>
    <cellStyle name="20% - Accent1 6 34" xfId="491" xr:uid="{00000000-0005-0000-0000-0000BB010000}"/>
    <cellStyle name="20% - Accent1 6 35" xfId="492" xr:uid="{00000000-0005-0000-0000-0000BC010000}"/>
    <cellStyle name="20% - Accent1 6 36" xfId="493" xr:uid="{00000000-0005-0000-0000-0000BD010000}"/>
    <cellStyle name="20% - Accent1 6 37" xfId="494" xr:uid="{00000000-0005-0000-0000-0000BE010000}"/>
    <cellStyle name="20% - Accent1 6 38" xfId="495" xr:uid="{00000000-0005-0000-0000-0000BF010000}"/>
    <cellStyle name="20% - Accent1 6 39" xfId="496" xr:uid="{00000000-0005-0000-0000-0000C0010000}"/>
    <cellStyle name="20% - Accent1 6 4" xfId="497" xr:uid="{00000000-0005-0000-0000-0000C1010000}"/>
    <cellStyle name="20% - Accent1 6 5" xfId="498" xr:uid="{00000000-0005-0000-0000-0000C2010000}"/>
    <cellStyle name="20% - Accent1 6 6" xfId="499" xr:uid="{00000000-0005-0000-0000-0000C3010000}"/>
    <cellStyle name="20% - Accent1 6 7" xfId="500" xr:uid="{00000000-0005-0000-0000-0000C4010000}"/>
    <cellStyle name="20% - Accent1 6 8" xfId="501" xr:uid="{00000000-0005-0000-0000-0000C5010000}"/>
    <cellStyle name="20% - Accent1 6 9" xfId="502" xr:uid="{00000000-0005-0000-0000-0000C6010000}"/>
    <cellStyle name="20% - Accent1 60" xfId="503" xr:uid="{00000000-0005-0000-0000-0000C7010000}"/>
    <cellStyle name="20% - Accent1 61" xfId="504" xr:uid="{00000000-0005-0000-0000-0000C8010000}"/>
    <cellStyle name="20% - Accent1 62" xfId="505" xr:uid="{00000000-0005-0000-0000-0000C9010000}"/>
    <cellStyle name="20% - Accent1 63" xfId="506" xr:uid="{00000000-0005-0000-0000-0000CA010000}"/>
    <cellStyle name="20% - Accent1 64" xfId="507" xr:uid="{00000000-0005-0000-0000-0000CB010000}"/>
    <cellStyle name="20% - Accent1 65" xfId="508" xr:uid="{00000000-0005-0000-0000-0000CC010000}"/>
    <cellStyle name="20% - Accent1 66" xfId="509" xr:uid="{00000000-0005-0000-0000-0000CD010000}"/>
    <cellStyle name="20% - Accent1 67" xfId="510" xr:uid="{00000000-0005-0000-0000-0000CE010000}"/>
    <cellStyle name="20% - Accent1 68" xfId="511" xr:uid="{00000000-0005-0000-0000-0000CF010000}"/>
    <cellStyle name="20% - Accent1 69" xfId="512" xr:uid="{00000000-0005-0000-0000-0000D0010000}"/>
    <cellStyle name="20% - Accent1 7" xfId="513" xr:uid="{00000000-0005-0000-0000-0000D1010000}"/>
    <cellStyle name="20% - Accent1 7 10" xfId="514" xr:uid="{00000000-0005-0000-0000-0000D2010000}"/>
    <cellStyle name="20% - Accent1 7 11" xfId="515" xr:uid="{00000000-0005-0000-0000-0000D3010000}"/>
    <cellStyle name="20% - Accent1 7 12" xfId="516" xr:uid="{00000000-0005-0000-0000-0000D4010000}"/>
    <cellStyle name="20% - Accent1 7 13" xfId="517" xr:uid="{00000000-0005-0000-0000-0000D5010000}"/>
    <cellStyle name="20% - Accent1 7 14" xfId="518" xr:uid="{00000000-0005-0000-0000-0000D6010000}"/>
    <cellStyle name="20% - Accent1 7 15" xfId="519" xr:uid="{00000000-0005-0000-0000-0000D7010000}"/>
    <cellStyle name="20% - Accent1 7 16" xfId="520" xr:uid="{00000000-0005-0000-0000-0000D8010000}"/>
    <cellStyle name="20% - Accent1 7 17" xfId="521" xr:uid="{00000000-0005-0000-0000-0000D9010000}"/>
    <cellStyle name="20% - Accent1 7 18" xfId="522" xr:uid="{00000000-0005-0000-0000-0000DA010000}"/>
    <cellStyle name="20% - Accent1 7 19" xfId="523" xr:uid="{00000000-0005-0000-0000-0000DB010000}"/>
    <cellStyle name="20% - Accent1 7 2" xfId="524" xr:uid="{00000000-0005-0000-0000-0000DC010000}"/>
    <cellStyle name="20% - Accent1 7 20" xfId="525" xr:uid="{00000000-0005-0000-0000-0000DD010000}"/>
    <cellStyle name="20% - Accent1 7 21" xfId="526" xr:uid="{00000000-0005-0000-0000-0000DE010000}"/>
    <cellStyle name="20% - Accent1 7 22" xfId="527" xr:uid="{00000000-0005-0000-0000-0000DF010000}"/>
    <cellStyle name="20% - Accent1 7 23" xfId="528" xr:uid="{00000000-0005-0000-0000-0000E0010000}"/>
    <cellStyle name="20% - Accent1 7 24" xfId="529" xr:uid="{00000000-0005-0000-0000-0000E1010000}"/>
    <cellStyle name="20% - Accent1 7 25" xfId="530" xr:uid="{00000000-0005-0000-0000-0000E2010000}"/>
    <cellStyle name="20% - Accent1 7 26" xfId="531" xr:uid="{00000000-0005-0000-0000-0000E3010000}"/>
    <cellStyle name="20% - Accent1 7 27" xfId="532" xr:uid="{00000000-0005-0000-0000-0000E4010000}"/>
    <cellStyle name="20% - Accent1 7 28" xfId="533" xr:uid="{00000000-0005-0000-0000-0000E5010000}"/>
    <cellStyle name="20% - Accent1 7 29" xfId="534" xr:uid="{00000000-0005-0000-0000-0000E6010000}"/>
    <cellStyle name="20% - Accent1 7 3" xfId="535" xr:uid="{00000000-0005-0000-0000-0000E7010000}"/>
    <cellStyle name="20% - Accent1 7 30" xfId="536" xr:uid="{00000000-0005-0000-0000-0000E8010000}"/>
    <cellStyle name="20% - Accent1 7 31" xfId="537" xr:uid="{00000000-0005-0000-0000-0000E9010000}"/>
    <cellStyle name="20% - Accent1 7 32" xfId="538" xr:uid="{00000000-0005-0000-0000-0000EA010000}"/>
    <cellStyle name="20% - Accent1 7 33" xfId="539" xr:uid="{00000000-0005-0000-0000-0000EB010000}"/>
    <cellStyle name="20% - Accent1 7 34" xfId="540" xr:uid="{00000000-0005-0000-0000-0000EC010000}"/>
    <cellStyle name="20% - Accent1 7 35" xfId="541" xr:uid="{00000000-0005-0000-0000-0000ED010000}"/>
    <cellStyle name="20% - Accent1 7 36" xfId="542" xr:uid="{00000000-0005-0000-0000-0000EE010000}"/>
    <cellStyle name="20% - Accent1 7 37" xfId="543" xr:uid="{00000000-0005-0000-0000-0000EF010000}"/>
    <cellStyle name="20% - Accent1 7 38" xfId="544" xr:uid="{00000000-0005-0000-0000-0000F0010000}"/>
    <cellStyle name="20% - Accent1 7 39" xfId="545" xr:uid="{00000000-0005-0000-0000-0000F1010000}"/>
    <cellStyle name="20% - Accent1 7 4" xfId="546" xr:uid="{00000000-0005-0000-0000-0000F2010000}"/>
    <cellStyle name="20% - Accent1 7 5" xfId="547" xr:uid="{00000000-0005-0000-0000-0000F3010000}"/>
    <cellStyle name="20% - Accent1 7 6" xfId="548" xr:uid="{00000000-0005-0000-0000-0000F4010000}"/>
    <cellStyle name="20% - Accent1 7 7" xfId="549" xr:uid="{00000000-0005-0000-0000-0000F5010000}"/>
    <cellStyle name="20% - Accent1 7 8" xfId="550" xr:uid="{00000000-0005-0000-0000-0000F6010000}"/>
    <cellStyle name="20% - Accent1 7 9" xfId="551" xr:uid="{00000000-0005-0000-0000-0000F7010000}"/>
    <cellStyle name="20% - Accent1 70" xfId="552" xr:uid="{00000000-0005-0000-0000-0000F8010000}"/>
    <cellStyle name="20% - Accent1 71" xfId="553" xr:uid="{00000000-0005-0000-0000-0000F9010000}"/>
    <cellStyle name="20% - Accent1 72" xfId="554" xr:uid="{00000000-0005-0000-0000-0000FA010000}"/>
    <cellStyle name="20% - Accent1 73" xfId="555" xr:uid="{00000000-0005-0000-0000-0000FB010000}"/>
    <cellStyle name="20% - Accent1 74" xfId="556" xr:uid="{00000000-0005-0000-0000-0000FC010000}"/>
    <cellStyle name="20% - Accent1 75" xfId="557" xr:uid="{00000000-0005-0000-0000-0000FD010000}"/>
    <cellStyle name="20% - Accent1 76" xfId="558" xr:uid="{00000000-0005-0000-0000-0000FE010000}"/>
    <cellStyle name="20% - Accent1 77" xfId="559" xr:uid="{00000000-0005-0000-0000-0000FF010000}"/>
    <cellStyle name="20% - Accent1 78" xfId="560" xr:uid="{00000000-0005-0000-0000-000000020000}"/>
    <cellStyle name="20% - Accent1 79" xfId="561" xr:uid="{00000000-0005-0000-0000-000001020000}"/>
    <cellStyle name="20% - Accent1 8" xfId="562" xr:uid="{00000000-0005-0000-0000-000002020000}"/>
    <cellStyle name="20% - Accent1 8 10" xfId="563" xr:uid="{00000000-0005-0000-0000-000003020000}"/>
    <cellStyle name="20% - Accent1 8 11" xfId="564" xr:uid="{00000000-0005-0000-0000-000004020000}"/>
    <cellStyle name="20% - Accent1 8 12" xfId="565" xr:uid="{00000000-0005-0000-0000-000005020000}"/>
    <cellStyle name="20% - Accent1 8 13" xfId="566" xr:uid="{00000000-0005-0000-0000-000006020000}"/>
    <cellStyle name="20% - Accent1 8 14" xfId="567" xr:uid="{00000000-0005-0000-0000-000007020000}"/>
    <cellStyle name="20% - Accent1 8 15" xfId="568" xr:uid="{00000000-0005-0000-0000-000008020000}"/>
    <cellStyle name="20% - Accent1 8 16" xfId="569" xr:uid="{00000000-0005-0000-0000-000009020000}"/>
    <cellStyle name="20% - Accent1 8 17" xfId="570" xr:uid="{00000000-0005-0000-0000-00000A020000}"/>
    <cellStyle name="20% - Accent1 8 18" xfId="571" xr:uid="{00000000-0005-0000-0000-00000B020000}"/>
    <cellStyle name="20% - Accent1 8 19" xfId="572" xr:uid="{00000000-0005-0000-0000-00000C020000}"/>
    <cellStyle name="20% - Accent1 8 2" xfId="573" xr:uid="{00000000-0005-0000-0000-00000D020000}"/>
    <cellStyle name="20% - Accent1 8 20" xfId="574" xr:uid="{00000000-0005-0000-0000-00000E020000}"/>
    <cellStyle name="20% - Accent1 8 21" xfId="575" xr:uid="{00000000-0005-0000-0000-00000F020000}"/>
    <cellStyle name="20% - Accent1 8 22" xfId="576" xr:uid="{00000000-0005-0000-0000-000010020000}"/>
    <cellStyle name="20% - Accent1 8 23" xfId="577" xr:uid="{00000000-0005-0000-0000-000011020000}"/>
    <cellStyle name="20% - Accent1 8 24" xfId="578" xr:uid="{00000000-0005-0000-0000-000012020000}"/>
    <cellStyle name="20% - Accent1 8 25" xfId="579" xr:uid="{00000000-0005-0000-0000-000013020000}"/>
    <cellStyle name="20% - Accent1 8 26" xfId="580" xr:uid="{00000000-0005-0000-0000-000014020000}"/>
    <cellStyle name="20% - Accent1 8 27" xfId="581" xr:uid="{00000000-0005-0000-0000-000015020000}"/>
    <cellStyle name="20% - Accent1 8 28" xfId="582" xr:uid="{00000000-0005-0000-0000-000016020000}"/>
    <cellStyle name="20% - Accent1 8 29" xfId="583" xr:uid="{00000000-0005-0000-0000-000017020000}"/>
    <cellStyle name="20% - Accent1 8 3" xfId="584" xr:uid="{00000000-0005-0000-0000-000018020000}"/>
    <cellStyle name="20% - Accent1 8 30" xfId="585" xr:uid="{00000000-0005-0000-0000-000019020000}"/>
    <cellStyle name="20% - Accent1 8 31" xfId="586" xr:uid="{00000000-0005-0000-0000-00001A020000}"/>
    <cellStyle name="20% - Accent1 8 32" xfId="587" xr:uid="{00000000-0005-0000-0000-00001B020000}"/>
    <cellStyle name="20% - Accent1 8 33" xfId="588" xr:uid="{00000000-0005-0000-0000-00001C020000}"/>
    <cellStyle name="20% - Accent1 8 34" xfId="589" xr:uid="{00000000-0005-0000-0000-00001D020000}"/>
    <cellStyle name="20% - Accent1 8 35" xfId="590" xr:uid="{00000000-0005-0000-0000-00001E020000}"/>
    <cellStyle name="20% - Accent1 8 36" xfId="591" xr:uid="{00000000-0005-0000-0000-00001F020000}"/>
    <cellStyle name="20% - Accent1 8 37" xfId="592" xr:uid="{00000000-0005-0000-0000-000020020000}"/>
    <cellStyle name="20% - Accent1 8 38" xfId="593" xr:uid="{00000000-0005-0000-0000-000021020000}"/>
    <cellStyle name="20% - Accent1 8 39" xfId="594" xr:uid="{00000000-0005-0000-0000-000022020000}"/>
    <cellStyle name="20% - Accent1 8 4" xfId="595" xr:uid="{00000000-0005-0000-0000-000023020000}"/>
    <cellStyle name="20% - Accent1 8 5" xfId="596" xr:uid="{00000000-0005-0000-0000-000024020000}"/>
    <cellStyle name="20% - Accent1 8 6" xfId="597" xr:uid="{00000000-0005-0000-0000-000025020000}"/>
    <cellStyle name="20% - Accent1 8 7" xfId="598" xr:uid="{00000000-0005-0000-0000-000026020000}"/>
    <cellStyle name="20% - Accent1 8 8" xfId="599" xr:uid="{00000000-0005-0000-0000-000027020000}"/>
    <cellStyle name="20% - Accent1 8 9" xfId="600" xr:uid="{00000000-0005-0000-0000-000028020000}"/>
    <cellStyle name="20% - Accent1 9" xfId="601" xr:uid="{00000000-0005-0000-0000-000029020000}"/>
    <cellStyle name="20% - Accent1 9 10" xfId="602" xr:uid="{00000000-0005-0000-0000-00002A020000}"/>
    <cellStyle name="20% - Accent1 9 11" xfId="603" xr:uid="{00000000-0005-0000-0000-00002B020000}"/>
    <cellStyle name="20% - Accent1 9 12" xfId="604" xr:uid="{00000000-0005-0000-0000-00002C020000}"/>
    <cellStyle name="20% - Accent1 9 13" xfId="605" xr:uid="{00000000-0005-0000-0000-00002D020000}"/>
    <cellStyle name="20% - Accent1 9 14" xfId="606" xr:uid="{00000000-0005-0000-0000-00002E020000}"/>
    <cellStyle name="20% - Accent1 9 15" xfId="607" xr:uid="{00000000-0005-0000-0000-00002F020000}"/>
    <cellStyle name="20% - Accent1 9 16" xfId="608" xr:uid="{00000000-0005-0000-0000-000030020000}"/>
    <cellStyle name="20% - Accent1 9 17" xfId="609" xr:uid="{00000000-0005-0000-0000-000031020000}"/>
    <cellStyle name="20% - Accent1 9 18" xfId="610" xr:uid="{00000000-0005-0000-0000-000032020000}"/>
    <cellStyle name="20% - Accent1 9 19" xfId="611" xr:uid="{00000000-0005-0000-0000-000033020000}"/>
    <cellStyle name="20% - Accent1 9 2" xfId="612" xr:uid="{00000000-0005-0000-0000-000034020000}"/>
    <cellStyle name="20% - Accent1 9 20" xfId="613" xr:uid="{00000000-0005-0000-0000-000035020000}"/>
    <cellStyle name="20% - Accent1 9 21" xfId="614" xr:uid="{00000000-0005-0000-0000-000036020000}"/>
    <cellStyle name="20% - Accent1 9 22" xfId="615" xr:uid="{00000000-0005-0000-0000-000037020000}"/>
    <cellStyle name="20% - Accent1 9 23" xfId="616" xr:uid="{00000000-0005-0000-0000-000038020000}"/>
    <cellStyle name="20% - Accent1 9 24" xfId="617" xr:uid="{00000000-0005-0000-0000-000039020000}"/>
    <cellStyle name="20% - Accent1 9 25" xfId="618" xr:uid="{00000000-0005-0000-0000-00003A020000}"/>
    <cellStyle name="20% - Accent1 9 26" xfId="619" xr:uid="{00000000-0005-0000-0000-00003B020000}"/>
    <cellStyle name="20% - Accent1 9 27" xfId="620" xr:uid="{00000000-0005-0000-0000-00003C020000}"/>
    <cellStyle name="20% - Accent1 9 28" xfId="621" xr:uid="{00000000-0005-0000-0000-00003D020000}"/>
    <cellStyle name="20% - Accent1 9 29" xfId="622" xr:uid="{00000000-0005-0000-0000-00003E020000}"/>
    <cellStyle name="20% - Accent1 9 3" xfId="623" xr:uid="{00000000-0005-0000-0000-00003F020000}"/>
    <cellStyle name="20% - Accent1 9 30" xfId="624" xr:uid="{00000000-0005-0000-0000-000040020000}"/>
    <cellStyle name="20% - Accent1 9 31" xfId="625" xr:uid="{00000000-0005-0000-0000-000041020000}"/>
    <cellStyle name="20% - Accent1 9 32" xfId="626" xr:uid="{00000000-0005-0000-0000-000042020000}"/>
    <cellStyle name="20% - Accent1 9 33" xfId="627" xr:uid="{00000000-0005-0000-0000-000043020000}"/>
    <cellStyle name="20% - Accent1 9 34" xfId="628" xr:uid="{00000000-0005-0000-0000-000044020000}"/>
    <cellStyle name="20% - Accent1 9 35" xfId="629" xr:uid="{00000000-0005-0000-0000-000045020000}"/>
    <cellStyle name="20% - Accent1 9 36" xfId="630" xr:uid="{00000000-0005-0000-0000-000046020000}"/>
    <cellStyle name="20% - Accent1 9 37" xfId="631" xr:uid="{00000000-0005-0000-0000-000047020000}"/>
    <cellStyle name="20% - Accent1 9 38" xfId="632" xr:uid="{00000000-0005-0000-0000-000048020000}"/>
    <cellStyle name="20% - Accent1 9 39" xfId="633" xr:uid="{00000000-0005-0000-0000-000049020000}"/>
    <cellStyle name="20% - Accent1 9 4" xfId="634" xr:uid="{00000000-0005-0000-0000-00004A020000}"/>
    <cellStyle name="20% - Accent1 9 5" xfId="635" xr:uid="{00000000-0005-0000-0000-00004B020000}"/>
    <cellStyle name="20% - Accent1 9 6" xfId="636" xr:uid="{00000000-0005-0000-0000-00004C020000}"/>
    <cellStyle name="20% - Accent1 9 7" xfId="637" xr:uid="{00000000-0005-0000-0000-00004D020000}"/>
    <cellStyle name="20% - Accent1 9 8" xfId="638" xr:uid="{00000000-0005-0000-0000-00004E020000}"/>
    <cellStyle name="20% - Accent1 9 9" xfId="639" xr:uid="{00000000-0005-0000-0000-00004F020000}"/>
    <cellStyle name="20% - Accent2" xfId="24" builtinId="34" customBuiltin="1"/>
    <cellStyle name="20% - Accent2 10" xfId="640" xr:uid="{00000000-0005-0000-0000-000051020000}"/>
    <cellStyle name="20% - Accent2 10 10" xfId="641" xr:uid="{00000000-0005-0000-0000-000052020000}"/>
    <cellStyle name="20% - Accent2 10 11" xfId="642" xr:uid="{00000000-0005-0000-0000-000053020000}"/>
    <cellStyle name="20% - Accent2 10 12" xfId="643" xr:uid="{00000000-0005-0000-0000-000054020000}"/>
    <cellStyle name="20% - Accent2 10 13" xfId="644" xr:uid="{00000000-0005-0000-0000-000055020000}"/>
    <cellStyle name="20% - Accent2 10 14" xfId="645" xr:uid="{00000000-0005-0000-0000-000056020000}"/>
    <cellStyle name="20% - Accent2 10 15" xfId="646" xr:uid="{00000000-0005-0000-0000-000057020000}"/>
    <cellStyle name="20% - Accent2 10 16" xfId="647" xr:uid="{00000000-0005-0000-0000-000058020000}"/>
    <cellStyle name="20% - Accent2 10 17" xfId="648" xr:uid="{00000000-0005-0000-0000-000059020000}"/>
    <cellStyle name="20% - Accent2 10 18" xfId="649" xr:uid="{00000000-0005-0000-0000-00005A020000}"/>
    <cellStyle name="20% - Accent2 10 19" xfId="650" xr:uid="{00000000-0005-0000-0000-00005B020000}"/>
    <cellStyle name="20% - Accent2 10 2" xfId="651" xr:uid="{00000000-0005-0000-0000-00005C020000}"/>
    <cellStyle name="20% - Accent2 10 20" xfId="652" xr:uid="{00000000-0005-0000-0000-00005D020000}"/>
    <cellStyle name="20% - Accent2 10 21" xfId="653" xr:uid="{00000000-0005-0000-0000-00005E020000}"/>
    <cellStyle name="20% - Accent2 10 22" xfId="654" xr:uid="{00000000-0005-0000-0000-00005F020000}"/>
    <cellStyle name="20% - Accent2 10 23" xfId="655" xr:uid="{00000000-0005-0000-0000-000060020000}"/>
    <cellStyle name="20% - Accent2 10 24" xfId="656" xr:uid="{00000000-0005-0000-0000-000061020000}"/>
    <cellStyle name="20% - Accent2 10 25" xfId="657" xr:uid="{00000000-0005-0000-0000-000062020000}"/>
    <cellStyle name="20% - Accent2 10 26" xfId="658" xr:uid="{00000000-0005-0000-0000-000063020000}"/>
    <cellStyle name="20% - Accent2 10 27" xfId="659" xr:uid="{00000000-0005-0000-0000-000064020000}"/>
    <cellStyle name="20% - Accent2 10 28" xfId="660" xr:uid="{00000000-0005-0000-0000-000065020000}"/>
    <cellStyle name="20% - Accent2 10 29" xfId="661" xr:uid="{00000000-0005-0000-0000-000066020000}"/>
    <cellStyle name="20% - Accent2 10 3" xfId="662" xr:uid="{00000000-0005-0000-0000-000067020000}"/>
    <cellStyle name="20% - Accent2 10 30" xfId="663" xr:uid="{00000000-0005-0000-0000-000068020000}"/>
    <cellStyle name="20% - Accent2 10 31" xfId="664" xr:uid="{00000000-0005-0000-0000-000069020000}"/>
    <cellStyle name="20% - Accent2 10 32" xfId="665" xr:uid="{00000000-0005-0000-0000-00006A020000}"/>
    <cellStyle name="20% - Accent2 10 33" xfId="666" xr:uid="{00000000-0005-0000-0000-00006B020000}"/>
    <cellStyle name="20% - Accent2 10 34" xfId="667" xr:uid="{00000000-0005-0000-0000-00006C020000}"/>
    <cellStyle name="20% - Accent2 10 35" xfId="668" xr:uid="{00000000-0005-0000-0000-00006D020000}"/>
    <cellStyle name="20% - Accent2 10 36" xfId="669" xr:uid="{00000000-0005-0000-0000-00006E020000}"/>
    <cellStyle name="20% - Accent2 10 37" xfId="670" xr:uid="{00000000-0005-0000-0000-00006F020000}"/>
    <cellStyle name="20% - Accent2 10 38" xfId="671" xr:uid="{00000000-0005-0000-0000-000070020000}"/>
    <cellStyle name="20% - Accent2 10 39" xfId="672" xr:uid="{00000000-0005-0000-0000-000071020000}"/>
    <cellStyle name="20% - Accent2 10 4" xfId="673" xr:uid="{00000000-0005-0000-0000-000072020000}"/>
    <cellStyle name="20% - Accent2 10 5" xfId="674" xr:uid="{00000000-0005-0000-0000-000073020000}"/>
    <cellStyle name="20% - Accent2 10 6" xfId="675" xr:uid="{00000000-0005-0000-0000-000074020000}"/>
    <cellStyle name="20% - Accent2 10 7" xfId="676" xr:uid="{00000000-0005-0000-0000-000075020000}"/>
    <cellStyle name="20% - Accent2 10 8" xfId="677" xr:uid="{00000000-0005-0000-0000-000076020000}"/>
    <cellStyle name="20% - Accent2 10 9" xfId="678" xr:uid="{00000000-0005-0000-0000-000077020000}"/>
    <cellStyle name="20% - Accent2 11" xfId="679" xr:uid="{00000000-0005-0000-0000-000078020000}"/>
    <cellStyle name="20% - Accent2 11 10" xfId="680" xr:uid="{00000000-0005-0000-0000-000079020000}"/>
    <cellStyle name="20% - Accent2 11 11" xfId="681" xr:uid="{00000000-0005-0000-0000-00007A020000}"/>
    <cellStyle name="20% - Accent2 11 12" xfId="682" xr:uid="{00000000-0005-0000-0000-00007B020000}"/>
    <cellStyle name="20% - Accent2 11 13" xfId="683" xr:uid="{00000000-0005-0000-0000-00007C020000}"/>
    <cellStyle name="20% - Accent2 11 14" xfId="684" xr:uid="{00000000-0005-0000-0000-00007D020000}"/>
    <cellStyle name="20% - Accent2 11 15" xfId="685" xr:uid="{00000000-0005-0000-0000-00007E020000}"/>
    <cellStyle name="20% - Accent2 11 16" xfId="686" xr:uid="{00000000-0005-0000-0000-00007F020000}"/>
    <cellStyle name="20% - Accent2 11 17" xfId="687" xr:uid="{00000000-0005-0000-0000-000080020000}"/>
    <cellStyle name="20% - Accent2 11 18" xfId="688" xr:uid="{00000000-0005-0000-0000-000081020000}"/>
    <cellStyle name="20% - Accent2 11 19" xfId="689" xr:uid="{00000000-0005-0000-0000-000082020000}"/>
    <cellStyle name="20% - Accent2 11 2" xfId="690" xr:uid="{00000000-0005-0000-0000-000083020000}"/>
    <cellStyle name="20% - Accent2 11 20" xfId="691" xr:uid="{00000000-0005-0000-0000-000084020000}"/>
    <cellStyle name="20% - Accent2 11 21" xfId="692" xr:uid="{00000000-0005-0000-0000-000085020000}"/>
    <cellStyle name="20% - Accent2 11 22" xfId="693" xr:uid="{00000000-0005-0000-0000-000086020000}"/>
    <cellStyle name="20% - Accent2 11 23" xfId="694" xr:uid="{00000000-0005-0000-0000-000087020000}"/>
    <cellStyle name="20% - Accent2 11 24" xfId="695" xr:uid="{00000000-0005-0000-0000-000088020000}"/>
    <cellStyle name="20% - Accent2 11 25" xfId="696" xr:uid="{00000000-0005-0000-0000-000089020000}"/>
    <cellStyle name="20% - Accent2 11 26" xfId="697" xr:uid="{00000000-0005-0000-0000-00008A020000}"/>
    <cellStyle name="20% - Accent2 11 27" xfId="698" xr:uid="{00000000-0005-0000-0000-00008B020000}"/>
    <cellStyle name="20% - Accent2 11 28" xfId="699" xr:uid="{00000000-0005-0000-0000-00008C020000}"/>
    <cellStyle name="20% - Accent2 11 29" xfId="700" xr:uid="{00000000-0005-0000-0000-00008D020000}"/>
    <cellStyle name="20% - Accent2 11 3" xfId="701" xr:uid="{00000000-0005-0000-0000-00008E020000}"/>
    <cellStyle name="20% - Accent2 11 30" xfId="702" xr:uid="{00000000-0005-0000-0000-00008F020000}"/>
    <cellStyle name="20% - Accent2 11 31" xfId="703" xr:uid="{00000000-0005-0000-0000-000090020000}"/>
    <cellStyle name="20% - Accent2 11 32" xfId="704" xr:uid="{00000000-0005-0000-0000-000091020000}"/>
    <cellStyle name="20% - Accent2 11 33" xfId="705" xr:uid="{00000000-0005-0000-0000-000092020000}"/>
    <cellStyle name="20% - Accent2 11 34" xfId="706" xr:uid="{00000000-0005-0000-0000-000093020000}"/>
    <cellStyle name="20% - Accent2 11 35" xfId="707" xr:uid="{00000000-0005-0000-0000-000094020000}"/>
    <cellStyle name="20% - Accent2 11 36" xfId="708" xr:uid="{00000000-0005-0000-0000-000095020000}"/>
    <cellStyle name="20% - Accent2 11 37" xfId="709" xr:uid="{00000000-0005-0000-0000-000096020000}"/>
    <cellStyle name="20% - Accent2 11 38" xfId="710" xr:uid="{00000000-0005-0000-0000-000097020000}"/>
    <cellStyle name="20% - Accent2 11 39" xfId="711" xr:uid="{00000000-0005-0000-0000-000098020000}"/>
    <cellStyle name="20% - Accent2 11 4" xfId="712" xr:uid="{00000000-0005-0000-0000-000099020000}"/>
    <cellStyle name="20% - Accent2 11 5" xfId="713" xr:uid="{00000000-0005-0000-0000-00009A020000}"/>
    <cellStyle name="20% - Accent2 11 6" xfId="714" xr:uid="{00000000-0005-0000-0000-00009B020000}"/>
    <cellStyle name="20% - Accent2 11 7" xfId="715" xr:uid="{00000000-0005-0000-0000-00009C020000}"/>
    <cellStyle name="20% - Accent2 11 8" xfId="716" xr:uid="{00000000-0005-0000-0000-00009D020000}"/>
    <cellStyle name="20% - Accent2 11 9" xfId="717" xr:uid="{00000000-0005-0000-0000-00009E020000}"/>
    <cellStyle name="20% - Accent2 12" xfId="718" xr:uid="{00000000-0005-0000-0000-00009F020000}"/>
    <cellStyle name="20% - Accent2 13" xfId="719" xr:uid="{00000000-0005-0000-0000-0000A0020000}"/>
    <cellStyle name="20% - Accent2 14" xfId="720" xr:uid="{00000000-0005-0000-0000-0000A1020000}"/>
    <cellStyle name="20% - Accent2 15" xfId="721" xr:uid="{00000000-0005-0000-0000-0000A2020000}"/>
    <cellStyle name="20% - Accent2 16" xfId="722" xr:uid="{00000000-0005-0000-0000-0000A3020000}"/>
    <cellStyle name="20% - Accent2 17" xfId="723" xr:uid="{00000000-0005-0000-0000-0000A4020000}"/>
    <cellStyle name="20% - Accent2 18" xfId="724" xr:uid="{00000000-0005-0000-0000-0000A5020000}"/>
    <cellStyle name="20% - Accent2 19" xfId="725" xr:uid="{00000000-0005-0000-0000-0000A6020000}"/>
    <cellStyle name="20% - Accent2 2" xfId="726" xr:uid="{00000000-0005-0000-0000-0000A7020000}"/>
    <cellStyle name="20% - Accent2 2 10" xfId="727" xr:uid="{00000000-0005-0000-0000-0000A8020000}"/>
    <cellStyle name="20% - Accent2 2 11" xfId="728" xr:uid="{00000000-0005-0000-0000-0000A9020000}"/>
    <cellStyle name="20% - Accent2 2 12" xfId="729" xr:uid="{00000000-0005-0000-0000-0000AA020000}"/>
    <cellStyle name="20% - Accent2 2 13" xfId="730" xr:uid="{00000000-0005-0000-0000-0000AB020000}"/>
    <cellStyle name="20% - Accent2 2 14" xfId="731" xr:uid="{00000000-0005-0000-0000-0000AC020000}"/>
    <cellStyle name="20% - Accent2 2 15" xfId="732" xr:uid="{00000000-0005-0000-0000-0000AD020000}"/>
    <cellStyle name="20% - Accent2 2 16" xfId="733" xr:uid="{00000000-0005-0000-0000-0000AE020000}"/>
    <cellStyle name="20% - Accent2 2 17" xfId="734" xr:uid="{00000000-0005-0000-0000-0000AF020000}"/>
    <cellStyle name="20% - Accent2 2 18" xfId="735" xr:uid="{00000000-0005-0000-0000-0000B0020000}"/>
    <cellStyle name="20% - Accent2 2 19" xfId="736" xr:uid="{00000000-0005-0000-0000-0000B1020000}"/>
    <cellStyle name="20% - Accent2 2 2" xfId="737" xr:uid="{00000000-0005-0000-0000-0000B2020000}"/>
    <cellStyle name="20% - Accent2 2 2 2" xfId="738" xr:uid="{00000000-0005-0000-0000-0000B3020000}"/>
    <cellStyle name="20% - Accent2 2 20" xfId="739" xr:uid="{00000000-0005-0000-0000-0000B4020000}"/>
    <cellStyle name="20% - Accent2 2 21" xfId="740" xr:uid="{00000000-0005-0000-0000-0000B5020000}"/>
    <cellStyle name="20% - Accent2 2 22" xfId="741" xr:uid="{00000000-0005-0000-0000-0000B6020000}"/>
    <cellStyle name="20% - Accent2 2 23" xfId="742" xr:uid="{00000000-0005-0000-0000-0000B7020000}"/>
    <cellStyle name="20% - Accent2 2 24" xfId="743" xr:uid="{00000000-0005-0000-0000-0000B8020000}"/>
    <cellStyle name="20% - Accent2 2 25" xfId="744" xr:uid="{00000000-0005-0000-0000-0000B9020000}"/>
    <cellStyle name="20% - Accent2 2 26" xfId="745" xr:uid="{00000000-0005-0000-0000-0000BA020000}"/>
    <cellStyle name="20% - Accent2 2 27" xfId="746" xr:uid="{00000000-0005-0000-0000-0000BB020000}"/>
    <cellStyle name="20% - Accent2 2 28" xfId="747" xr:uid="{00000000-0005-0000-0000-0000BC020000}"/>
    <cellStyle name="20% - Accent2 2 29" xfId="748" xr:uid="{00000000-0005-0000-0000-0000BD020000}"/>
    <cellStyle name="20% - Accent2 2 3" xfId="749" xr:uid="{00000000-0005-0000-0000-0000BE020000}"/>
    <cellStyle name="20% - Accent2 2 3 2" xfId="750" xr:uid="{00000000-0005-0000-0000-0000BF020000}"/>
    <cellStyle name="20% - Accent2 2 30" xfId="751" xr:uid="{00000000-0005-0000-0000-0000C0020000}"/>
    <cellStyle name="20% - Accent2 2 31" xfId="752" xr:uid="{00000000-0005-0000-0000-0000C1020000}"/>
    <cellStyle name="20% - Accent2 2 32" xfId="753" xr:uid="{00000000-0005-0000-0000-0000C2020000}"/>
    <cellStyle name="20% - Accent2 2 33" xfId="754" xr:uid="{00000000-0005-0000-0000-0000C3020000}"/>
    <cellStyle name="20% - Accent2 2 34" xfId="755" xr:uid="{00000000-0005-0000-0000-0000C4020000}"/>
    <cellStyle name="20% - Accent2 2 35" xfId="756" xr:uid="{00000000-0005-0000-0000-0000C5020000}"/>
    <cellStyle name="20% - Accent2 2 36" xfId="757" xr:uid="{00000000-0005-0000-0000-0000C6020000}"/>
    <cellStyle name="20% - Accent2 2 37" xfId="758" xr:uid="{00000000-0005-0000-0000-0000C7020000}"/>
    <cellStyle name="20% - Accent2 2 38" xfId="759" xr:uid="{00000000-0005-0000-0000-0000C8020000}"/>
    <cellStyle name="20% - Accent2 2 39" xfId="760" xr:uid="{00000000-0005-0000-0000-0000C9020000}"/>
    <cellStyle name="20% - Accent2 2 4" xfId="761" xr:uid="{00000000-0005-0000-0000-0000CA020000}"/>
    <cellStyle name="20% - Accent2 2 4 2" xfId="762" xr:uid="{00000000-0005-0000-0000-0000CB020000}"/>
    <cellStyle name="20% - Accent2 2 40" xfId="763" xr:uid="{00000000-0005-0000-0000-0000CC020000}"/>
    <cellStyle name="20% - Accent2 2 41" xfId="764" xr:uid="{00000000-0005-0000-0000-0000CD020000}"/>
    <cellStyle name="20% - Accent2 2 42" xfId="765" xr:uid="{00000000-0005-0000-0000-0000CE020000}"/>
    <cellStyle name="20% - Accent2 2 43" xfId="766" xr:uid="{00000000-0005-0000-0000-0000CF020000}"/>
    <cellStyle name="20% - Accent2 2 44" xfId="767" xr:uid="{00000000-0005-0000-0000-0000D0020000}"/>
    <cellStyle name="20% - Accent2 2 45" xfId="768" xr:uid="{00000000-0005-0000-0000-0000D1020000}"/>
    <cellStyle name="20% - Accent2 2 46" xfId="769" xr:uid="{00000000-0005-0000-0000-0000D2020000}"/>
    <cellStyle name="20% - Accent2 2 47" xfId="770" xr:uid="{00000000-0005-0000-0000-0000D3020000}"/>
    <cellStyle name="20% - Accent2 2 48" xfId="771" xr:uid="{00000000-0005-0000-0000-0000D4020000}"/>
    <cellStyle name="20% - Accent2 2 49" xfId="772" xr:uid="{00000000-0005-0000-0000-0000D5020000}"/>
    <cellStyle name="20% - Accent2 2 5" xfId="773" xr:uid="{00000000-0005-0000-0000-0000D6020000}"/>
    <cellStyle name="20% - Accent2 2 5 2" xfId="774" xr:uid="{00000000-0005-0000-0000-0000D7020000}"/>
    <cellStyle name="20% - Accent2 2 50" xfId="775" xr:uid="{00000000-0005-0000-0000-0000D8020000}"/>
    <cellStyle name="20% - Accent2 2 51" xfId="776" xr:uid="{00000000-0005-0000-0000-0000D9020000}"/>
    <cellStyle name="20% - Accent2 2 52" xfId="777" xr:uid="{00000000-0005-0000-0000-0000DA020000}"/>
    <cellStyle name="20% - Accent2 2 53" xfId="778" xr:uid="{00000000-0005-0000-0000-0000DB020000}"/>
    <cellStyle name="20% - Accent2 2 54" xfId="779" xr:uid="{00000000-0005-0000-0000-0000DC020000}"/>
    <cellStyle name="20% - Accent2 2 55" xfId="780" xr:uid="{00000000-0005-0000-0000-0000DD020000}"/>
    <cellStyle name="20% - Accent2 2 56" xfId="781" xr:uid="{00000000-0005-0000-0000-0000DE020000}"/>
    <cellStyle name="20% - Accent2 2 57" xfId="782" xr:uid="{00000000-0005-0000-0000-0000DF020000}"/>
    <cellStyle name="20% - Accent2 2 58" xfId="783" xr:uid="{00000000-0005-0000-0000-0000E0020000}"/>
    <cellStyle name="20% - Accent2 2 59" xfId="784" xr:uid="{00000000-0005-0000-0000-0000E1020000}"/>
    <cellStyle name="20% - Accent2 2 6" xfId="785" xr:uid="{00000000-0005-0000-0000-0000E2020000}"/>
    <cellStyle name="20% - Accent2 2 6 2" xfId="786" xr:uid="{00000000-0005-0000-0000-0000E3020000}"/>
    <cellStyle name="20% - Accent2 2 60" xfId="787" xr:uid="{00000000-0005-0000-0000-0000E4020000}"/>
    <cellStyle name="20% - Accent2 2 61" xfId="788" xr:uid="{00000000-0005-0000-0000-0000E5020000}"/>
    <cellStyle name="20% - Accent2 2 62" xfId="789" xr:uid="{00000000-0005-0000-0000-0000E6020000}"/>
    <cellStyle name="20% - Accent2 2 63" xfId="790" xr:uid="{00000000-0005-0000-0000-0000E7020000}"/>
    <cellStyle name="20% - Accent2 2 64" xfId="791" xr:uid="{00000000-0005-0000-0000-0000E8020000}"/>
    <cellStyle name="20% - Accent2 2 65" xfId="792" xr:uid="{00000000-0005-0000-0000-0000E9020000}"/>
    <cellStyle name="20% - Accent2 2 66" xfId="793" xr:uid="{00000000-0005-0000-0000-0000EA020000}"/>
    <cellStyle name="20% - Accent2 2 67" xfId="794" xr:uid="{00000000-0005-0000-0000-0000EB020000}"/>
    <cellStyle name="20% - Accent2 2 68" xfId="795" xr:uid="{00000000-0005-0000-0000-0000EC020000}"/>
    <cellStyle name="20% - Accent2 2 69" xfId="796" xr:uid="{00000000-0005-0000-0000-0000ED020000}"/>
    <cellStyle name="20% - Accent2 2 7" xfId="797" xr:uid="{00000000-0005-0000-0000-0000EE020000}"/>
    <cellStyle name="20% - Accent2 2 7 2" xfId="798" xr:uid="{00000000-0005-0000-0000-0000EF020000}"/>
    <cellStyle name="20% - Accent2 2 70" xfId="799" xr:uid="{00000000-0005-0000-0000-0000F0020000}"/>
    <cellStyle name="20% - Accent2 2 71" xfId="800" xr:uid="{00000000-0005-0000-0000-0000F1020000}"/>
    <cellStyle name="20% - Accent2 2 72" xfId="801" xr:uid="{00000000-0005-0000-0000-0000F2020000}"/>
    <cellStyle name="20% - Accent2 2 73" xfId="802" xr:uid="{00000000-0005-0000-0000-0000F3020000}"/>
    <cellStyle name="20% - Accent2 2 74" xfId="803" xr:uid="{00000000-0005-0000-0000-0000F4020000}"/>
    <cellStyle name="20% - Accent2 2 75" xfId="804" xr:uid="{00000000-0005-0000-0000-0000F5020000}"/>
    <cellStyle name="20% - Accent2 2 8" xfId="805" xr:uid="{00000000-0005-0000-0000-0000F6020000}"/>
    <cellStyle name="20% - Accent2 2 8 2" xfId="806" xr:uid="{00000000-0005-0000-0000-0000F7020000}"/>
    <cellStyle name="20% - Accent2 2 9" xfId="807" xr:uid="{00000000-0005-0000-0000-0000F8020000}"/>
    <cellStyle name="20% - Accent2 2 9 2" xfId="808" xr:uid="{00000000-0005-0000-0000-0000F9020000}"/>
    <cellStyle name="20% - Accent2 20" xfId="809" xr:uid="{00000000-0005-0000-0000-0000FA020000}"/>
    <cellStyle name="20% - Accent2 21" xfId="810" xr:uid="{00000000-0005-0000-0000-0000FB020000}"/>
    <cellStyle name="20% - Accent2 22" xfId="811" xr:uid="{00000000-0005-0000-0000-0000FC020000}"/>
    <cellStyle name="20% - Accent2 23" xfId="812" xr:uid="{00000000-0005-0000-0000-0000FD020000}"/>
    <cellStyle name="20% - Accent2 24" xfId="813" xr:uid="{00000000-0005-0000-0000-0000FE020000}"/>
    <cellStyle name="20% - Accent2 25" xfId="814" xr:uid="{00000000-0005-0000-0000-0000FF020000}"/>
    <cellStyle name="20% - Accent2 26" xfId="815" xr:uid="{00000000-0005-0000-0000-000000030000}"/>
    <cellStyle name="20% - Accent2 27" xfId="816" xr:uid="{00000000-0005-0000-0000-000001030000}"/>
    <cellStyle name="20% - Accent2 28" xfId="817" xr:uid="{00000000-0005-0000-0000-000002030000}"/>
    <cellStyle name="20% - Accent2 29" xfId="818" xr:uid="{00000000-0005-0000-0000-000003030000}"/>
    <cellStyle name="20% - Accent2 3" xfId="819" xr:uid="{00000000-0005-0000-0000-000004030000}"/>
    <cellStyle name="20% - Accent2 3 10" xfId="820" xr:uid="{00000000-0005-0000-0000-000005030000}"/>
    <cellStyle name="20% - Accent2 3 11" xfId="821" xr:uid="{00000000-0005-0000-0000-000006030000}"/>
    <cellStyle name="20% - Accent2 3 12" xfId="822" xr:uid="{00000000-0005-0000-0000-000007030000}"/>
    <cellStyle name="20% - Accent2 3 13" xfId="823" xr:uid="{00000000-0005-0000-0000-000008030000}"/>
    <cellStyle name="20% - Accent2 3 14" xfId="824" xr:uid="{00000000-0005-0000-0000-000009030000}"/>
    <cellStyle name="20% - Accent2 3 15" xfId="825" xr:uid="{00000000-0005-0000-0000-00000A030000}"/>
    <cellStyle name="20% - Accent2 3 16" xfId="826" xr:uid="{00000000-0005-0000-0000-00000B030000}"/>
    <cellStyle name="20% - Accent2 3 17" xfId="827" xr:uid="{00000000-0005-0000-0000-00000C030000}"/>
    <cellStyle name="20% - Accent2 3 18" xfId="828" xr:uid="{00000000-0005-0000-0000-00000D030000}"/>
    <cellStyle name="20% - Accent2 3 19" xfId="829" xr:uid="{00000000-0005-0000-0000-00000E030000}"/>
    <cellStyle name="20% - Accent2 3 2" xfId="830" xr:uid="{00000000-0005-0000-0000-00000F030000}"/>
    <cellStyle name="20% - Accent2 3 2 2" xfId="831" xr:uid="{00000000-0005-0000-0000-000010030000}"/>
    <cellStyle name="20% - Accent2 3 20" xfId="832" xr:uid="{00000000-0005-0000-0000-000011030000}"/>
    <cellStyle name="20% - Accent2 3 21" xfId="833" xr:uid="{00000000-0005-0000-0000-000012030000}"/>
    <cellStyle name="20% - Accent2 3 22" xfId="834" xr:uid="{00000000-0005-0000-0000-000013030000}"/>
    <cellStyle name="20% - Accent2 3 23" xfId="835" xr:uid="{00000000-0005-0000-0000-000014030000}"/>
    <cellStyle name="20% - Accent2 3 24" xfId="836" xr:uid="{00000000-0005-0000-0000-000015030000}"/>
    <cellStyle name="20% - Accent2 3 25" xfId="837" xr:uid="{00000000-0005-0000-0000-000016030000}"/>
    <cellStyle name="20% - Accent2 3 26" xfId="838" xr:uid="{00000000-0005-0000-0000-000017030000}"/>
    <cellStyle name="20% - Accent2 3 27" xfId="839" xr:uid="{00000000-0005-0000-0000-000018030000}"/>
    <cellStyle name="20% - Accent2 3 28" xfId="840" xr:uid="{00000000-0005-0000-0000-000019030000}"/>
    <cellStyle name="20% - Accent2 3 29" xfId="841" xr:uid="{00000000-0005-0000-0000-00001A030000}"/>
    <cellStyle name="20% - Accent2 3 3" xfId="842" xr:uid="{00000000-0005-0000-0000-00001B030000}"/>
    <cellStyle name="20% - Accent2 3 3 2" xfId="843" xr:uid="{00000000-0005-0000-0000-00001C030000}"/>
    <cellStyle name="20% - Accent2 3 30" xfId="844" xr:uid="{00000000-0005-0000-0000-00001D030000}"/>
    <cellStyle name="20% - Accent2 3 31" xfId="845" xr:uid="{00000000-0005-0000-0000-00001E030000}"/>
    <cellStyle name="20% - Accent2 3 32" xfId="846" xr:uid="{00000000-0005-0000-0000-00001F030000}"/>
    <cellStyle name="20% - Accent2 3 33" xfId="847" xr:uid="{00000000-0005-0000-0000-000020030000}"/>
    <cellStyle name="20% - Accent2 3 34" xfId="848" xr:uid="{00000000-0005-0000-0000-000021030000}"/>
    <cellStyle name="20% - Accent2 3 35" xfId="849" xr:uid="{00000000-0005-0000-0000-000022030000}"/>
    <cellStyle name="20% - Accent2 3 36" xfId="850" xr:uid="{00000000-0005-0000-0000-000023030000}"/>
    <cellStyle name="20% - Accent2 3 37" xfId="851" xr:uid="{00000000-0005-0000-0000-000024030000}"/>
    <cellStyle name="20% - Accent2 3 38" xfId="852" xr:uid="{00000000-0005-0000-0000-000025030000}"/>
    <cellStyle name="20% - Accent2 3 39" xfId="853" xr:uid="{00000000-0005-0000-0000-000026030000}"/>
    <cellStyle name="20% - Accent2 3 4" xfId="854" xr:uid="{00000000-0005-0000-0000-000027030000}"/>
    <cellStyle name="20% - Accent2 3 4 2" xfId="855" xr:uid="{00000000-0005-0000-0000-000028030000}"/>
    <cellStyle name="20% - Accent2 3 40" xfId="856" xr:uid="{00000000-0005-0000-0000-000029030000}"/>
    <cellStyle name="20% - Accent2 3 41" xfId="857" xr:uid="{00000000-0005-0000-0000-00002A030000}"/>
    <cellStyle name="20% - Accent2 3 42" xfId="858" xr:uid="{00000000-0005-0000-0000-00002B030000}"/>
    <cellStyle name="20% - Accent2 3 43" xfId="859" xr:uid="{00000000-0005-0000-0000-00002C030000}"/>
    <cellStyle name="20% - Accent2 3 44" xfId="860" xr:uid="{00000000-0005-0000-0000-00002D030000}"/>
    <cellStyle name="20% - Accent2 3 45" xfId="861" xr:uid="{00000000-0005-0000-0000-00002E030000}"/>
    <cellStyle name="20% - Accent2 3 46" xfId="862" xr:uid="{00000000-0005-0000-0000-00002F030000}"/>
    <cellStyle name="20% - Accent2 3 47" xfId="863" xr:uid="{00000000-0005-0000-0000-000030030000}"/>
    <cellStyle name="20% - Accent2 3 48" xfId="864" xr:uid="{00000000-0005-0000-0000-000031030000}"/>
    <cellStyle name="20% - Accent2 3 49" xfId="865" xr:uid="{00000000-0005-0000-0000-000032030000}"/>
    <cellStyle name="20% - Accent2 3 5" xfId="866" xr:uid="{00000000-0005-0000-0000-000033030000}"/>
    <cellStyle name="20% - Accent2 3 5 2" xfId="867" xr:uid="{00000000-0005-0000-0000-000034030000}"/>
    <cellStyle name="20% - Accent2 3 50" xfId="868" xr:uid="{00000000-0005-0000-0000-000035030000}"/>
    <cellStyle name="20% - Accent2 3 51" xfId="869" xr:uid="{00000000-0005-0000-0000-000036030000}"/>
    <cellStyle name="20% - Accent2 3 52" xfId="870" xr:uid="{00000000-0005-0000-0000-000037030000}"/>
    <cellStyle name="20% - Accent2 3 53" xfId="871" xr:uid="{00000000-0005-0000-0000-000038030000}"/>
    <cellStyle name="20% - Accent2 3 54" xfId="872" xr:uid="{00000000-0005-0000-0000-000039030000}"/>
    <cellStyle name="20% - Accent2 3 55" xfId="873" xr:uid="{00000000-0005-0000-0000-00003A030000}"/>
    <cellStyle name="20% - Accent2 3 56" xfId="874" xr:uid="{00000000-0005-0000-0000-00003B030000}"/>
    <cellStyle name="20% - Accent2 3 57" xfId="875" xr:uid="{00000000-0005-0000-0000-00003C030000}"/>
    <cellStyle name="20% - Accent2 3 58" xfId="876" xr:uid="{00000000-0005-0000-0000-00003D030000}"/>
    <cellStyle name="20% - Accent2 3 59" xfId="877" xr:uid="{00000000-0005-0000-0000-00003E030000}"/>
    <cellStyle name="20% - Accent2 3 6" xfId="878" xr:uid="{00000000-0005-0000-0000-00003F030000}"/>
    <cellStyle name="20% - Accent2 3 6 2" xfId="879" xr:uid="{00000000-0005-0000-0000-000040030000}"/>
    <cellStyle name="20% - Accent2 3 60" xfId="880" xr:uid="{00000000-0005-0000-0000-000041030000}"/>
    <cellStyle name="20% - Accent2 3 61" xfId="881" xr:uid="{00000000-0005-0000-0000-000042030000}"/>
    <cellStyle name="20% - Accent2 3 62" xfId="882" xr:uid="{00000000-0005-0000-0000-000043030000}"/>
    <cellStyle name="20% - Accent2 3 63" xfId="883" xr:uid="{00000000-0005-0000-0000-000044030000}"/>
    <cellStyle name="20% - Accent2 3 64" xfId="884" xr:uid="{00000000-0005-0000-0000-000045030000}"/>
    <cellStyle name="20% - Accent2 3 65" xfId="885" xr:uid="{00000000-0005-0000-0000-000046030000}"/>
    <cellStyle name="20% - Accent2 3 66" xfId="886" xr:uid="{00000000-0005-0000-0000-000047030000}"/>
    <cellStyle name="20% - Accent2 3 67" xfId="887" xr:uid="{00000000-0005-0000-0000-000048030000}"/>
    <cellStyle name="20% - Accent2 3 68" xfId="888" xr:uid="{00000000-0005-0000-0000-000049030000}"/>
    <cellStyle name="20% - Accent2 3 69" xfId="889" xr:uid="{00000000-0005-0000-0000-00004A030000}"/>
    <cellStyle name="20% - Accent2 3 7" xfId="890" xr:uid="{00000000-0005-0000-0000-00004B030000}"/>
    <cellStyle name="20% - Accent2 3 7 2" xfId="891" xr:uid="{00000000-0005-0000-0000-00004C030000}"/>
    <cellStyle name="20% - Accent2 3 70" xfId="892" xr:uid="{00000000-0005-0000-0000-00004D030000}"/>
    <cellStyle name="20% - Accent2 3 71" xfId="893" xr:uid="{00000000-0005-0000-0000-00004E030000}"/>
    <cellStyle name="20% - Accent2 3 72" xfId="894" xr:uid="{00000000-0005-0000-0000-00004F030000}"/>
    <cellStyle name="20% - Accent2 3 73" xfId="895" xr:uid="{00000000-0005-0000-0000-000050030000}"/>
    <cellStyle name="20% - Accent2 3 74" xfId="896" xr:uid="{00000000-0005-0000-0000-000051030000}"/>
    <cellStyle name="20% - Accent2 3 75" xfId="897" xr:uid="{00000000-0005-0000-0000-000052030000}"/>
    <cellStyle name="20% - Accent2 3 8" xfId="898" xr:uid="{00000000-0005-0000-0000-000053030000}"/>
    <cellStyle name="20% - Accent2 3 8 2" xfId="899" xr:uid="{00000000-0005-0000-0000-000054030000}"/>
    <cellStyle name="20% - Accent2 3 9" xfId="900" xr:uid="{00000000-0005-0000-0000-000055030000}"/>
    <cellStyle name="20% - Accent2 3 9 2" xfId="901" xr:uid="{00000000-0005-0000-0000-000056030000}"/>
    <cellStyle name="20% - Accent2 30" xfId="902" xr:uid="{00000000-0005-0000-0000-000057030000}"/>
    <cellStyle name="20% - Accent2 31" xfId="903" xr:uid="{00000000-0005-0000-0000-000058030000}"/>
    <cellStyle name="20% - Accent2 32" xfId="904" xr:uid="{00000000-0005-0000-0000-000059030000}"/>
    <cellStyle name="20% - Accent2 33" xfId="905" xr:uid="{00000000-0005-0000-0000-00005A030000}"/>
    <cellStyle name="20% - Accent2 34" xfId="906" xr:uid="{00000000-0005-0000-0000-00005B030000}"/>
    <cellStyle name="20% - Accent2 35" xfId="907" xr:uid="{00000000-0005-0000-0000-00005C030000}"/>
    <cellStyle name="20% - Accent2 36" xfId="908" xr:uid="{00000000-0005-0000-0000-00005D030000}"/>
    <cellStyle name="20% - Accent2 37" xfId="909" xr:uid="{00000000-0005-0000-0000-00005E030000}"/>
    <cellStyle name="20% - Accent2 38" xfId="910" xr:uid="{00000000-0005-0000-0000-00005F030000}"/>
    <cellStyle name="20% - Accent2 39" xfId="911" xr:uid="{00000000-0005-0000-0000-000060030000}"/>
    <cellStyle name="20% - Accent2 4" xfId="912" xr:uid="{00000000-0005-0000-0000-000061030000}"/>
    <cellStyle name="20% - Accent2 4 10" xfId="913" xr:uid="{00000000-0005-0000-0000-000062030000}"/>
    <cellStyle name="20% - Accent2 4 11" xfId="914" xr:uid="{00000000-0005-0000-0000-000063030000}"/>
    <cellStyle name="20% - Accent2 4 12" xfId="915" xr:uid="{00000000-0005-0000-0000-000064030000}"/>
    <cellStyle name="20% - Accent2 4 13" xfId="916" xr:uid="{00000000-0005-0000-0000-000065030000}"/>
    <cellStyle name="20% - Accent2 4 14" xfId="917" xr:uid="{00000000-0005-0000-0000-000066030000}"/>
    <cellStyle name="20% - Accent2 4 15" xfId="918" xr:uid="{00000000-0005-0000-0000-000067030000}"/>
    <cellStyle name="20% - Accent2 4 16" xfId="919" xr:uid="{00000000-0005-0000-0000-000068030000}"/>
    <cellStyle name="20% - Accent2 4 17" xfId="920" xr:uid="{00000000-0005-0000-0000-000069030000}"/>
    <cellStyle name="20% - Accent2 4 18" xfId="921" xr:uid="{00000000-0005-0000-0000-00006A030000}"/>
    <cellStyle name="20% - Accent2 4 19" xfId="922" xr:uid="{00000000-0005-0000-0000-00006B030000}"/>
    <cellStyle name="20% - Accent2 4 2" xfId="923" xr:uid="{00000000-0005-0000-0000-00006C030000}"/>
    <cellStyle name="20% - Accent2 4 2 2" xfId="924" xr:uid="{00000000-0005-0000-0000-00006D030000}"/>
    <cellStyle name="20% - Accent2 4 20" xfId="925" xr:uid="{00000000-0005-0000-0000-00006E030000}"/>
    <cellStyle name="20% - Accent2 4 21" xfId="926" xr:uid="{00000000-0005-0000-0000-00006F030000}"/>
    <cellStyle name="20% - Accent2 4 22" xfId="927" xr:uid="{00000000-0005-0000-0000-000070030000}"/>
    <cellStyle name="20% - Accent2 4 23" xfId="928" xr:uid="{00000000-0005-0000-0000-000071030000}"/>
    <cellStyle name="20% - Accent2 4 24" xfId="929" xr:uid="{00000000-0005-0000-0000-000072030000}"/>
    <cellStyle name="20% - Accent2 4 25" xfId="930" xr:uid="{00000000-0005-0000-0000-000073030000}"/>
    <cellStyle name="20% - Accent2 4 26" xfId="931" xr:uid="{00000000-0005-0000-0000-000074030000}"/>
    <cellStyle name="20% - Accent2 4 27" xfId="932" xr:uid="{00000000-0005-0000-0000-000075030000}"/>
    <cellStyle name="20% - Accent2 4 28" xfId="933" xr:uid="{00000000-0005-0000-0000-000076030000}"/>
    <cellStyle name="20% - Accent2 4 29" xfId="934" xr:uid="{00000000-0005-0000-0000-000077030000}"/>
    <cellStyle name="20% - Accent2 4 3" xfId="935" xr:uid="{00000000-0005-0000-0000-000078030000}"/>
    <cellStyle name="20% - Accent2 4 3 2" xfId="936" xr:uid="{00000000-0005-0000-0000-000079030000}"/>
    <cellStyle name="20% - Accent2 4 30" xfId="937" xr:uid="{00000000-0005-0000-0000-00007A030000}"/>
    <cellStyle name="20% - Accent2 4 31" xfId="938" xr:uid="{00000000-0005-0000-0000-00007B030000}"/>
    <cellStyle name="20% - Accent2 4 32" xfId="939" xr:uid="{00000000-0005-0000-0000-00007C030000}"/>
    <cellStyle name="20% - Accent2 4 33" xfId="940" xr:uid="{00000000-0005-0000-0000-00007D030000}"/>
    <cellStyle name="20% - Accent2 4 34" xfId="941" xr:uid="{00000000-0005-0000-0000-00007E030000}"/>
    <cellStyle name="20% - Accent2 4 35" xfId="942" xr:uid="{00000000-0005-0000-0000-00007F030000}"/>
    <cellStyle name="20% - Accent2 4 36" xfId="943" xr:uid="{00000000-0005-0000-0000-000080030000}"/>
    <cellStyle name="20% - Accent2 4 37" xfId="944" xr:uid="{00000000-0005-0000-0000-000081030000}"/>
    <cellStyle name="20% - Accent2 4 38" xfId="945" xr:uid="{00000000-0005-0000-0000-000082030000}"/>
    <cellStyle name="20% - Accent2 4 39" xfId="946" xr:uid="{00000000-0005-0000-0000-000083030000}"/>
    <cellStyle name="20% - Accent2 4 4" xfId="947" xr:uid="{00000000-0005-0000-0000-000084030000}"/>
    <cellStyle name="20% - Accent2 4 4 2" xfId="948" xr:uid="{00000000-0005-0000-0000-000085030000}"/>
    <cellStyle name="20% - Accent2 4 40" xfId="949" xr:uid="{00000000-0005-0000-0000-000086030000}"/>
    <cellStyle name="20% - Accent2 4 41" xfId="950" xr:uid="{00000000-0005-0000-0000-000087030000}"/>
    <cellStyle name="20% - Accent2 4 42" xfId="951" xr:uid="{00000000-0005-0000-0000-000088030000}"/>
    <cellStyle name="20% - Accent2 4 43" xfId="952" xr:uid="{00000000-0005-0000-0000-000089030000}"/>
    <cellStyle name="20% - Accent2 4 44" xfId="953" xr:uid="{00000000-0005-0000-0000-00008A030000}"/>
    <cellStyle name="20% - Accent2 4 45" xfId="954" xr:uid="{00000000-0005-0000-0000-00008B030000}"/>
    <cellStyle name="20% - Accent2 4 46" xfId="955" xr:uid="{00000000-0005-0000-0000-00008C030000}"/>
    <cellStyle name="20% - Accent2 4 47" xfId="956" xr:uid="{00000000-0005-0000-0000-00008D030000}"/>
    <cellStyle name="20% - Accent2 4 48" xfId="957" xr:uid="{00000000-0005-0000-0000-00008E030000}"/>
    <cellStyle name="20% - Accent2 4 49" xfId="958" xr:uid="{00000000-0005-0000-0000-00008F030000}"/>
    <cellStyle name="20% - Accent2 4 5" xfId="959" xr:uid="{00000000-0005-0000-0000-000090030000}"/>
    <cellStyle name="20% - Accent2 4 5 2" xfId="960" xr:uid="{00000000-0005-0000-0000-000091030000}"/>
    <cellStyle name="20% - Accent2 4 50" xfId="961" xr:uid="{00000000-0005-0000-0000-000092030000}"/>
    <cellStyle name="20% - Accent2 4 51" xfId="962" xr:uid="{00000000-0005-0000-0000-000093030000}"/>
    <cellStyle name="20% - Accent2 4 52" xfId="963" xr:uid="{00000000-0005-0000-0000-000094030000}"/>
    <cellStyle name="20% - Accent2 4 53" xfId="964" xr:uid="{00000000-0005-0000-0000-000095030000}"/>
    <cellStyle name="20% - Accent2 4 54" xfId="965" xr:uid="{00000000-0005-0000-0000-000096030000}"/>
    <cellStyle name="20% - Accent2 4 55" xfId="966" xr:uid="{00000000-0005-0000-0000-000097030000}"/>
    <cellStyle name="20% - Accent2 4 56" xfId="967" xr:uid="{00000000-0005-0000-0000-000098030000}"/>
    <cellStyle name="20% - Accent2 4 57" xfId="968" xr:uid="{00000000-0005-0000-0000-000099030000}"/>
    <cellStyle name="20% - Accent2 4 58" xfId="969" xr:uid="{00000000-0005-0000-0000-00009A030000}"/>
    <cellStyle name="20% - Accent2 4 59" xfId="970" xr:uid="{00000000-0005-0000-0000-00009B030000}"/>
    <cellStyle name="20% - Accent2 4 6" xfId="971" xr:uid="{00000000-0005-0000-0000-00009C030000}"/>
    <cellStyle name="20% - Accent2 4 6 2" xfId="972" xr:uid="{00000000-0005-0000-0000-00009D030000}"/>
    <cellStyle name="20% - Accent2 4 60" xfId="973" xr:uid="{00000000-0005-0000-0000-00009E030000}"/>
    <cellStyle name="20% - Accent2 4 61" xfId="974" xr:uid="{00000000-0005-0000-0000-00009F030000}"/>
    <cellStyle name="20% - Accent2 4 62" xfId="975" xr:uid="{00000000-0005-0000-0000-0000A0030000}"/>
    <cellStyle name="20% - Accent2 4 63" xfId="976" xr:uid="{00000000-0005-0000-0000-0000A1030000}"/>
    <cellStyle name="20% - Accent2 4 64" xfId="977" xr:uid="{00000000-0005-0000-0000-0000A2030000}"/>
    <cellStyle name="20% - Accent2 4 65" xfId="978" xr:uid="{00000000-0005-0000-0000-0000A3030000}"/>
    <cellStyle name="20% - Accent2 4 66" xfId="979" xr:uid="{00000000-0005-0000-0000-0000A4030000}"/>
    <cellStyle name="20% - Accent2 4 67" xfId="980" xr:uid="{00000000-0005-0000-0000-0000A5030000}"/>
    <cellStyle name="20% - Accent2 4 68" xfId="981" xr:uid="{00000000-0005-0000-0000-0000A6030000}"/>
    <cellStyle name="20% - Accent2 4 69" xfId="982" xr:uid="{00000000-0005-0000-0000-0000A7030000}"/>
    <cellStyle name="20% - Accent2 4 7" xfId="983" xr:uid="{00000000-0005-0000-0000-0000A8030000}"/>
    <cellStyle name="20% - Accent2 4 7 2" xfId="984" xr:uid="{00000000-0005-0000-0000-0000A9030000}"/>
    <cellStyle name="20% - Accent2 4 70" xfId="985" xr:uid="{00000000-0005-0000-0000-0000AA030000}"/>
    <cellStyle name="20% - Accent2 4 71" xfId="986" xr:uid="{00000000-0005-0000-0000-0000AB030000}"/>
    <cellStyle name="20% - Accent2 4 72" xfId="987" xr:uid="{00000000-0005-0000-0000-0000AC030000}"/>
    <cellStyle name="20% - Accent2 4 73" xfId="988" xr:uid="{00000000-0005-0000-0000-0000AD030000}"/>
    <cellStyle name="20% - Accent2 4 74" xfId="989" xr:uid="{00000000-0005-0000-0000-0000AE030000}"/>
    <cellStyle name="20% - Accent2 4 75" xfId="990" xr:uid="{00000000-0005-0000-0000-0000AF030000}"/>
    <cellStyle name="20% - Accent2 4 8" xfId="991" xr:uid="{00000000-0005-0000-0000-0000B0030000}"/>
    <cellStyle name="20% - Accent2 4 8 2" xfId="992" xr:uid="{00000000-0005-0000-0000-0000B1030000}"/>
    <cellStyle name="20% - Accent2 4 9" xfId="993" xr:uid="{00000000-0005-0000-0000-0000B2030000}"/>
    <cellStyle name="20% - Accent2 4 9 2" xfId="994" xr:uid="{00000000-0005-0000-0000-0000B3030000}"/>
    <cellStyle name="20% - Accent2 40" xfId="995" xr:uid="{00000000-0005-0000-0000-0000B4030000}"/>
    <cellStyle name="20% - Accent2 41" xfId="996" xr:uid="{00000000-0005-0000-0000-0000B5030000}"/>
    <cellStyle name="20% - Accent2 42" xfId="997" xr:uid="{00000000-0005-0000-0000-0000B6030000}"/>
    <cellStyle name="20% - Accent2 43" xfId="998" xr:uid="{00000000-0005-0000-0000-0000B7030000}"/>
    <cellStyle name="20% - Accent2 44" xfId="999" xr:uid="{00000000-0005-0000-0000-0000B8030000}"/>
    <cellStyle name="20% - Accent2 45" xfId="1000" xr:uid="{00000000-0005-0000-0000-0000B9030000}"/>
    <cellStyle name="20% - Accent2 46" xfId="1001" xr:uid="{00000000-0005-0000-0000-0000BA030000}"/>
    <cellStyle name="20% - Accent2 47" xfId="1002" xr:uid="{00000000-0005-0000-0000-0000BB030000}"/>
    <cellStyle name="20% - Accent2 48" xfId="1003" xr:uid="{00000000-0005-0000-0000-0000BC030000}"/>
    <cellStyle name="20% - Accent2 49" xfId="1004" xr:uid="{00000000-0005-0000-0000-0000BD030000}"/>
    <cellStyle name="20% - Accent2 5" xfId="1005" xr:uid="{00000000-0005-0000-0000-0000BE030000}"/>
    <cellStyle name="20% - Accent2 5 10" xfId="1006" xr:uid="{00000000-0005-0000-0000-0000BF030000}"/>
    <cellStyle name="20% - Accent2 5 11" xfId="1007" xr:uid="{00000000-0005-0000-0000-0000C0030000}"/>
    <cellStyle name="20% - Accent2 5 12" xfId="1008" xr:uid="{00000000-0005-0000-0000-0000C1030000}"/>
    <cellStyle name="20% - Accent2 5 13" xfId="1009" xr:uid="{00000000-0005-0000-0000-0000C2030000}"/>
    <cellStyle name="20% - Accent2 5 14" xfId="1010" xr:uid="{00000000-0005-0000-0000-0000C3030000}"/>
    <cellStyle name="20% - Accent2 5 15" xfId="1011" xr:uid="{00000000-0005-0000-0000-0000C4030000}"/>
    <cellStyle name="20% - Accent2 5 16" xfId="1012" xr:uid="{00000000-0005-0000-0000-0000C5030000}"/>
    <cellStyle name="20% - Accent2 5 17" xfId="1013" xr:uid="{00000000-0005-0000-0000-0000C6030000}"/>
    <cellStyle name="20% - Accent2 5 18" xfId="1014" xr:uid="{00000000-0005-0000-0000-0000C7030000}"/>
    <cellStyle name="20% - Accent2 5 19" xfId="1015" xr:uid="{00000000-0005-0000-0000-0000C8030000}"/>
    <cellStyle name="20% - Accent2 5 2" xfId="1016" xr:uid="{00000000-0005-0000-0000-0000C9030000}"/>
    <cellStyle name="20% - Accent2 5 2 2" xfId="1017" xr:uid="{00000000-0005-0000-0000-0000CA030000}"/>
    <cellStyle name="20% - Accent2 5 20" xfId="1018" xr:uid="{00000000-0005-0000-0000-0000CB030000}"/>
    <cellStyle name="20% - Accent2 5 21" xfId="1019" xr:uid="{00000000-0005-0000-0000-0000CC030000}"/>
    <cellStyle name="20% - Accent2 5 22" xfId="1020" xr:uid="{00000000-0005-0000-0000-0000CD030000}"/>
    <cellStyle name="20% - Accent2 5 23" xfId="1021" xr:uid="{00000000-0005-0000-0000-0000CE030000}"/>
    <cellStyle name="20% - Accent2 5 24" xfId="1022" xr:uid="{00000000-0005-0000-0000-0000CF030000}"/>
    <cellStyle name="20% - Accent2 5 25" xfId="1023" xr:uid="{00000000-0005-0000-0000-0000D0030000}"/>
    <cellStyle name="20% - Accent2 5 26" xfId="1024" xr:uid="{00000000-0005-0000-0000-0000D1030000}"/>
    <cellStyle name="20% - Accent2 5 27" xfId="1025" xr:uid="{00000000-0005-0000-0000-0000D2030000}"/>
    <cellStyle name="20% - Accent2 5 28" xfId="1026" xr:uid="{00000000-0005-0000-0000-0000D3030000}"/>
    <cellStyle name="20% - Accent2 5 29" xfId="1027" xr:uid="{00000000-0005-0000-0000-0000D4030000}"/>
    <cellStyle name="20% - Accent2 5 3" xfId="1028" xr:uid="{00000000-0005-0000-0000-0000D5030000}"/>
    <cellStyle name="20% - Accent2 5 30" xfId="1029" xr:uid="{00000000-0005-0000-0000-0000D6030000}"/>
    <cellStyle name="20% - Accent2 5 31" xfId="1030" xr:uid="{00000000-0005-0000-0000-0000D7030000}"/>
    <cellStyle name="20% - Accent2 5 32" xfId="1031" xr:uid="{00000000-0005-0000-0000-0000D8030000}"/>
    <cellStyle name="20% - Accent2 5 33" xfId="1032" xr:uid="{00000000-0005-0000-0000-0000D9030000}"/>
    <cellStyle name="20% - Accent2 5 34" xfId="1033" xr:uid="{00000000-0005-0000-0000-0000DA030000}"/>
    <cellStyle name="20% - Accent2 5 35" xfId="1034" xr:uid="{00000000-0005-0000-0000-0000DB030000}"/>
    <cellStyle name="20% - Accent2 5 36" xfId="1035" xr:uid="{00000000-0005-0000-0000-0000DC030000}"/>
    <cellStyle name="20% - Accent2 5 37" xfId="1036" xr:uid="{00000000-0005-0000-0000-0000DD030000}"/>
    <cellStyle name="20% - Accent2 5 38" xfId="1037" xr:uid="{00000000-0005-0000-0000-0000DE030000}"/>
    <cellStyle name="20% - Accent2 5 39" xfId="1038" xr:uid="{00000000-0005-0000-0000-0000DF030000}"/>
    <cellStyle name="20% - Accent2 5 4" xfId="1039" xr:uid="{00000000-0005-0000-0000-0000E0030000}"/>
    <cellStyle name="20% - Accent2 5 5" xfId="1040" xr:uid="{00000000-0005-0000-0000-0000E1030000}"/>
    <cellStyle name="20% - Accent2 5 6" xfId="1041" xr:uid="{00000000-0005-0000-0000-0000E2030000}"/>
    <cellStyle name="20% - Accent2 5 7" xfId="1042" xr:uid="{00000000-0005-0000-0000-0000E3030000}"/>
    <cellStyle name="20% - Accent2 5 8" xfId="1043" xr:uid="{00000000-0005-0000-0000-0000E4030000}"/>
    <cellStyle name="20% - Accent2 5 9" xfId="1044" xr:uid="{00000000-0005-0000-0000-0000E5030000}"/>
    <cellStyle name="20% - Accent2 50" xfId="1045" xr:uid="{00000000-0005-0000-0000-0000E6030000}"/>
    <cellStyle name="20% - Accent2 51" xfId="1046" xr:uid="{00000000-0005-0000-0000-0000E7030000}"/>
    <cellStyle name="20% - Accent2 52" xfId="1047" xr:uid="{00000000-0005-0000-0000-0000E8030000}"/>
    <cellStyle name="20% - Accent2 53" xfId="1048" xr:uid="{00000000-0005-0000-0000-0000E9030000}"/>
    <cellStyle name="20% - Accent2 54" xfId="1049" xr:uid="{00000000-0005-0000-0000-0000EA030000}"/>
    <cellStyle name="20% - Accent2 55" xfId="1050" xr:uid="{00000000-0005-0000-0000-0000EB030000}"/>
    <cellStyle name="20% - Accent2 56" xfId="1051" xr:uid="{00000000-0005-0000-0000-0000EC030000}"/>
    <cellStyle name="20% - Accent2 57" xfId="1052" xr:uid="{00000000-0005-0000-0000-0000ED030000}"/>
    <cellStyle name="20% - Accent2 58" xfId="1053" xr:uid="{00000000-0005-0000-0000-0000EE030000}"/>
    <cellStyle name="20% - Accent2 59" xfId="1054" xr:uid="{00000000-0005-0000-0000-0000EF030000}"/>
    <cellStyle name="20% - Accent2 6" xfId="1055" xr:uid="{00000000-0005-0000-0000-0000F0030000}"/>
    <cellStyle name="20% - Accent2 6 10" xfId="1056" xr:uid="{00000000-0005-0000-0000-0000F1030000}"/>
    <cellStyle name="20% - Accent2 6 11" xfId="1057" xr:uid="{00000000-0005-0000-0000-0000F2030000}"/>
    <cellStyle name="20% - Accent2 6 12" xfId="1058" xr:uid="{00000000-0005-0000-0000-0000F3030000}"/>
    <cellStyle name="20% - Accent2 6 13" xfId="1059" xr:uid="{00000000-0005-0000-0000-0000F4030000}"/>
    <cellStyle name="20% - Accent2 6 14" xfId="1060" xr:uid="{00000000-0005-0000-0000-0000F5030000}"/>
    <cellStyle name="20% - Accent2 6 15" xfId="1061" xr:uid="{00000000-0005-0000-0000-0000F6030000}"/>
    <cellStyle name="20% - Accent2 6 16" xfId="1062" xr:uid="{00000000-0005-0000-0000-0000F7030000}"/>
    <cellStyle name="20% - Accent2 6 17" xfId="1063" xr:uid="{00000000-0005-0000-0000-0000F8030000}"/>
    <cellStyle name="20% - Accent2 6 18" xfId="1064" xr:uid="{00000000-0005-0000-0000-0000F9030000}"/>
    <cellStyle name="20% - Accent2 6 19" xfId="1065" xr:uid="{00000000-0005-0000-0000-0000FA030000}"/>
    <cellStyle name="20% - Accent2 6 2" xfId="1066" xr:uid="{00000000-0005-0000-0000-0000FB030000}"/>
    <cellStyle name="20% - Accent2 6 20" xfId="1067" xr:uid="{00000000-0005-0000-0000-0000FC030000}"/>
    <cellStyle name="20% - Accent2 6 21" xfId="1068" xr:uid="{00000000-0005-0000-0000-0000FD030000}"/>
    <cellStyle name="20% - Accent2 6 22" xfId="1069" xr:uid="{00000000-0005-0000-0000-0000FE030000}"/>
    <cellStyle name="20% - Accent2 6 23" xfId="1070" xr:uid="{00000000-0005-0000-0000-0000FF030000}"/>
    <cellStyle name="20% - Accent2 6 24" xfId="1071" xr:uid="{00000000-0005-0000-0000-000000040000}"/>
    <cellStyle name="20% - Accent2 6 25" xfId="1072" xr:uid="{00000000-0005-0000-0000-000001040000}"/>
    <cellStyle name="20% - Accent2 6 26" xfId="1073" xr:uid="{00000000-0005-0000-0000-000002040000}"/>
    <cellStyle name="20% - Accent2 6 27" xfId="1074" xr:uid="{00000000-0005-0000-0000-000003040000}"/>
    <cellStyle name="20% - Accent2 6 28" xfId="1075" xr:uid="{00000000-0005-0000-0000-000004040000}"/>
    <cellStyle name="20% - Accent2 6 29" xfId="1076" xr:uid="{00000000-0005-0000-0000-000005040000}"/>
    <cellStyle name="20% - Accent2 6 3" xfId="1077" xr:uid="{00000000-0005-0000-0000-000006040000}"/>
    <cellStyle name="20% - Accent2 6 30" xfId="1078" xr:uid="{00000000-0005-0000-0000-000007040000}"/>
    <cellStyle name="20% - Accent2 6 31" xfId="1079" xr:uid="{00000000-0005-0000-0000-000008040000}"/>
    <cellStyle name="20% - Accent2 6 32" xfId="1080" xr:uid="{00000000-0005-0000-0000-000009040000}"/>
    <cellStyle name="20% - Accent2 6 33" xfId="1081" xr:uid="{00000000-0005-0000-0000-00000A040000}"/>
    <cellStyle name="20% - Accent2 6 34" xfId="1082" xr:uid="{00000000-0005-0000-0000-00000B040000}"/>
    <cellStyle name="20% - Accent2 6 35" xfId="1083" xr:uid="{00000000-0005-0000-0000-00000C040000}"/>
    <cellStyle name="20% - Accent2 6 36" xfId="1084" xr:uid="{00000000-0005-0000-0000-00000D040000}"/>
    <cellStyle name="20% - Accent2 6 37" xfId="1085" xr:uid="{00000000-0005-0000-0000-00000E040000}"/>
    <cellStyle name="20% - Accent2 6 38" xfId="1086" xr:uid="{00000000-0005-0000-0000-00000F040000}"/>
    <cellStyle name="20% - Accent2 6 39" xfId="1087" xr:uid="{00000000-0005-0000-0000-000010040000}"/>
    <cellStyle name="20% - Accent2 6 4" xfId="1088" xr:uid="{00000000-0005-0000-0000-000011040000}"/>
    <cellStyle name="20% - Accent2 6 5" xfId="1089" xr:uid="{00000000-0005-0000-0000-000012040000}"/>
    <cellStyle name="20% - Accent2 6 6" xfId="1090" xr:uid="{00000000-0005-0000-0000-000013040000}"/>
    <cellStyle name="20% - Accent2 6 7" xfId="1091" xr:uid="{00000000-0005-0000-0000-000014040000}"/>
    <cellStyle name="20% - Accent2 6 8" xfId="1092" xr:uid="{00000000-0005-0000-0000-000015040000}"/>
    <cellStyle name="20% - Accent2 6 9" xfId="1093" xr:uid="{00000000-0005-0000-0000-000016040000}"/>
    <cellStyle name="20% - Accent2 60" xfId="1094" xr:uid="{00000000-0005-0000-0000-000017040000}"/>
    <cellStyle name="20% - Accent2 61" xfId="1095" xr:uid="{00000000-0005-0000-0000-000018040000}"/>
    <cellStyle name="20% - Accent2 62" xfId="1096" xr:uid="{00000000-0005-0000-0000-000019040000}"/>
    <cellStyle name="20% - Accent2 63" xfId="1097" xr:uid="{00000000-0005-0000-0000-00001A040000}"/>
    <cellStyle name="20% - Accent2 64" xfId="1098" xr:uid="{00000000-0005-0000-0000-00001B040000}"/>
    <cellStyle name="20% - Accent2 65" xfId="1099" xr:uid="{00000000-0005-0000-0000-00001C040000}"/>
    <cellStyle name="20% - Accent2 66" xfId="1100" xr:uid="{00000000-0005-0000-0000-00001D040000}"/>
    <cellStyle name="20% - Accent2 67" xfId="1101" xr:uid="{00000000-0005-0000-0000-00001E040000}"/>
    <cellStyle name="20% - Accent2 68" xfId="1102" xr:uid="{00000000-0005-0000-0000-00001F040000}"/>
    <cellStyle name="20% - Accent2 69" xfId="1103" xr:uid="{00000000-0005-0000-0000-000020040000}"/>
    <cellStyle name="20% - Accent2 7" xfId="1104" xr:uid="{00000000-0005-0000-0000-000021040000}"/>
    <cellStyle name="20% - Accent2 7 10" xfId="1105" xr:uid="{00000000-0005-0000-0000-000022040000}"/>
    <cellStyle name="20% - Accent2 7 11" xfId="1106" xr:uid="{00000000-0005-0000-0000-000023040000}"/>
    <cellStyle name="20% - Accent2 7 12" xfId="1107" xr:uid="{00000000-0005-0000-0000-000024040000}"/>
    <cellStyle name="20% - Accent2 7 13" xfId="1108" xr:uid="{00000000-0005-0000-0000-000025040000}"/>
    <cellStyle name="20% - Accent2 7 14" xfId="1109" xr:uid="{00000000-0005-0000-0000-000026040000}"/>
    <cellStyle name="20% - Accent2 7 15" xfId="1110" xr:uid="{00000000-0005-0000-0000-000027040000}"/>
    <cellStyle name="20% - Accent2 7 16" xfId="1111" xr:uid="{00000000-0005-0000-0000-000028040000}"/>
    <cellStyle name="20% - Accent2 7 17" xfId="1112" xr:uid="{00000000-0005-0000-0000-000029040000}"/>
    <cellStyle name="20% - Accent2 7 18" xfId="1113" xr:uid="{00000000-0005-0000-0000-00002A040000}"/>
    <cellStyle name="20% - Accent2 7 19" xfId="1114" xr:uid="{00000000-0005-0000-0000-00002B040000}"/>
    <cellStyle name="20% - Accent2 7 2" xfId="1115" xr:uid="{00000000-0005-0000-0000-00002C040000}"/>
    <cellStyle name="20% - Accent2 7 20" xfId="1116" xr:uid="{00000000-0005-0000-0000-00002D040000}"/>
    <cellStyle name="20% - Accent2 7 21" xfId="1117" xr:uid="{00000000-0005-0000-0000-00002E040000}"/>
    <cellStyle name="20% - Accent2 7 22" xfId="1118" xr:uid="{00000000-0005-0000-0000-00002F040000}"/>
    <cellStyle name="20% - Accent2 7 23" xfId="1119" xr:uid="{00000000-0005-0000-0000-000030040000}"/>
    <cellStyle name="20% - Accent2 7 24" xfId="1120" xr:uid="{00000000-0005-0000-0000-000031040000}"/>
    <cellStyle name="20% - Accent2 7 25" xfId="1121" xr:uid="{00000000-0005-0000-0000-000032040000}"/>
    <cellStyle name="20% - Accent2 7 26" xfId="1122" xr:uid="{00000000-0005-0000-0000-000033040000}"/>
    <cellStyle name="20% - Accent2 7 27" xfId="1123" xr:uid="{00000000-0005-0000-0000-000034040000}"/>
    <cellStyle name="20% - Accent2 7 28" xfId="1124" xr:uid="{00000000-0005-0000-0000-000035040000}"/>
    <cellStyle name="20% - Accent2 7 29" xfId="1125" xr:uid="{00000000-0005-0000-0000-000036040000}"/>
    <cellStyle name="20% - Accent2 7 3" xfId="1126" xr:uid="{00000000-0005-0000-0000-000037040000}"/>
    <cellStyle name="20% - Accent2 7 30" xfId="1127" xr:uid="{00000000-0005-0000-0000-000038040000}"/>
    <cellStyle name="20% - Accent2 7 31" xfId="1128" xr:uid="{00000000-0005-0000-0000-000039040000}"/>
    <cellStyle name="20% - Accent2 7 32" xfId="1129" xr:uid="{00000000-0005-0000-0000-00003A040000}"/>
    <cellStyle name="20% - Accent2 7 33" xfId="1130" xr:uid="{00000000-0005-0000-0000-00003B040000}"/>
    <cellStyle name="20% - Accent2 7 34" xfId="1131" xr:uid="{00000000-0005-0000-0000-00003C040000}"/>
    <cellStyle name="20% - Accent2 7 35" xfId="1132" xr:uid="{00000000-0005-0000-0000-00003D040000}"/>
    <cellStyle name="20% - Accent2 7 36" xfId="1133" xr:uid="{00000000-0005-0000-0000-00003E040000}"/>
    <cellStyle name="20% - Accent2 7 37" xfId="1134" xr:uid="{00000000-0005-0000-0000-00003F040000}"/>
    <cellStyle name="20% - Accent2 7 38" xfId="1135" xr:uid="{00000000-0005-0000-0000-000040040000}"/>
    <cellStyle name="20% - Accent2 7 39" xfId="1136" xr:uid="{00000000-0005-0000-0000-000041040000}"/>
    <cellStyle name="20% - Accent2 7 4" xfId="1137" xr:uid="{00000000-0005-0000-0000-000042040000}"/>
    <cellStyle name="20% - Accent2 7 5" xfId="1138" xr:uid="{00000000-0005-0000-0000-000043040000}"/>
    <cellStyle name="20% - Accent2 7 6" xfId="1139" xr:uid="{00000000-0005-0000-0000-000044040000}"/>
    <cellStyle name="20% - Accent2 7 7" xfId="1140" xr:uid="{00000000-0005-0000-0000-000045040000}"/>
    <cellStyle name="20% - Accent2 7 8" xfId="1141" xr:uid="{00000000-0005-0000-0000-000046040000}"/>
    <cellStyle name="20% - Accent2 7 9" xfId="1142" xr:uid="{00000000-0005-0000-0000-000047040000}"/>
    <cellStyle name="20% - Accent2 70" xfId="1143" xr:uid="{00000000-0005-0000-0000-000048040000}"/>
    <cellStyle name="20% - Accent2 71" xfId="1144" xr:uid="{00000000-0005-0000-0000-000049040000}"/>
    <cellStyle name="20% - Accent2 72" xfId="1145" xr:uid="{00000000-0005-0000-0000-00004A040000}"/>
    <cellStyle name="20% - Accent2 73" xfId="1146" xr:uid="{00000000-0005-0000-0000-00004B040000}"/>
    <cellStyle name="20% - Accent2 74" xfId="1147" xr:uid="{00000000-0005-0000-0000-00004C040000}"/>
    <cellStyle name="20% - Accent2 75" xfId="1148" xr:uid="{00000000-0005-0000-0000-00004D040000}"/>
    <cellStyle name="20% - Accent2 76" xfId="1149" xr:uid="{00000000-0005-0000-0000-00004E040000}"/>
    <cellStyle name="20% - Accent2 77" xfId="1150" xr:uid="{00000000-0005-0000-0000-00004F040000}"/>
    <cellStyle name="20% - Accent2 78" xfId="1151" xr:uid="{00000000-0005-0000-0000-000050040000}"/>
    <cellStyle name="20% - Accent2 79" xfId="1152" xr:uid="{00000000-0005-0000-0000-000051040000}"/>
    <cellStyle name="20% - Accent2 8" xfId="1153" xr:uid="{00000000-0005-0000-0000-000052040000}"/>
    <cellStyle name="20% - Accent2 8 10" xfId="1154" xr:uid="{00000000-0005-0000-0000-000053040000}"/>
    <cellStyle name="20% - Accent2 8 11" xfId="1155" xr:uid="{00000000-0005-0000-0000-000054040000}"/>
    <cellStyle name="20% - Accent2 8 12" xfId="1156" xr:uid="{00000000-0005-0000-0000-000055040000}"/>
    <cellStyle name="20% - Accent2 8 13" xfId="1157" xr:uid="{00000000-0005-0000-0000-000056040000}"/>
    <cellStyle name="20% - Accent2 8 14" xfId="1158" xr:uid="{00000000-0005-0000-0000-000057040000}"/>
    <cellStyle name="20% - Accent2 8 15" xfId="1159" xr:uid="{00000000-0005-0000-0000-000058040000}"/>
    <cellStyle name="20% - Accent2 8 16" xfId="1160" xr:uid="{00000000-0005-0000-0000-000059040000}"/>
    <cellStyle name="20% - Accent2 8 17" xfId="1161" xr:uid="{00000000-0005-0000-0000-00005A040000}"/>
    <cellStyle name="20% - Accent2 8 18" xfId="1162" xr:uid="{00000000-0005-0000-0000-00005B040000}"/>
    <cellStyle name="20% - Accent2 8 19" xfId="1163" xr:uid="{00000000-0005-0000-0000-00005C040000}"/>
    <cellStyle name="20% - Accent2 8 2" xfId="1164" xr:uid="{00000000-0005-0000-0000-00005D040000}"/>
    <cellStyle name="20% - Accent2 8 20" xfId="1165" xr:uid="{00000000-0005-0000-0000-00005E040000}"/>
    <cellStyle name="20% - Accent2 8 21" xfId="1166" xr:uid="{00000000-0005-0000-0000-00005F040000}"/>
    <cellStyle name="20% - Accent2 8 22" xfId="1167" xr:uid="{00000000-0005-0000-0000-000060040000}"/>
    <cellStyle name="20% - Accent2 8 23" xfId="1168" xr:uid="{00000000-0005-0000-0000-000061040000}"/>
    <cellStyle name="20% - Accent2 8 24" xfId="1169" xr:uid="{00000000-0005-0000-0000-000062040000}"/>
    <cellStyle name="20% - Accent2 8 25" xfId="1170" xr:uid="{00000000-0005-0000-0000-000063040000}"/>
    <cellStyle name="20% - Accent2 8 26" xfId="1171" xr:uid="{00000000-0005-0000-0000-000064040000}"/>
    <cellStyle name="20% - Accent2 8 27" xfId="1172" xr:uid="{00000000-0005-0000-0000-000065040000}"/>
    <cellStyle name="20% - Accent2 8 28" xfId="1173" xr:uid="{00000000-0005-0000-0000-000066040000}"/>
    <cellStyle name="20% - Accent2 8 29" xfId="1174" xr:uid="{00000000-0005-0000-0000-000067040000}"/>
    <cellStyle name="20% - Accent2 8 3" xfId="1175" xr:uid="{00000000-0005-0000-0000-000068040000}"/>
    <cellStyle name="20% - Accent2 8 30" xfId="1176" xr:uid="{00000000-0005-0000-0000-000069040000}"/>
    <cellStyle name="20% - Accent2 8 31" xfId="1177" xr:uid="{00000000-0005-0000-0000-00006A040000}"/>
    <cellStyle name="20% - Accent2 8 32" xfId="1178" xr:uid="{00000000-0005-0000-0000-00006B040000}"/>
    <cellStyle name="20% - Accent2 8 33" xfId="1179" xr:uid="{00000000-0005-0000-0000-00006C040000}"/>
    <cellStyle name="20% - Accent2 8 34" xfId="1180" xr:uid="{00000000-0005-0000-0000-00006D040000}"/>
    <cellStyle name="20% - Accent2 8 35" xfId="1181" xr:uid="{00000000-0005-0000-0000-00006E040000}"/>
    <cellStyle name="20% - Accent2 8 36" xfId="1182" xr:uid="{00000000-0005-0000-0000-00006F040000}"/>
    <cellStyle name="20% - Accent2 8 37" xfId="1183" xr:uid="{00000000-0005-0000-0000-000070040000}"/>
    <cellStyle name="20% - Accent2 8 38" xfId="1184" xr:uid="{00000000-0005-0000-0000-000071040000}"/>
    <cellStyle name="20% - Accent2 8 39" xfId="1185" xr:uid="{00000000-0005-0000-0000-000072040000}"/>
    <cellStyle name="20% - Accent2 8 4" xfId="1186" xr:uid="{00000000-0005-0000-0000-000073040000}"/>
    <cellStyle name="20% - Accent2 8 5" xfId="1187" xr:uid="{00000000-0005-0000-0000-000074040000}"/>
    <cellStyle name="20% - Accent2 8 6" xfId="1188" xr:uid="{00000000-0005-0000-0000-000075040000}"/>
    <cellStyle name="20% - Accent2 8 7" xfId="1189" xr:uid="{00000000-0005-0000-0000-000076040000}"/>
    <cellStyle name="20% - Accent2 8 8" xfId="1190" xr:uid="{00000000-0005-0000-0000-000077040000}"/>
    <cellStyle name="20% - Accent2 8 9" xfId="1191" xr:uid="{00000000-0005-0000-0000-000078040000}"/>
    <cellStyle name="20% - Accent2 9" xfId="1192" xr:uid="{00000000-0005-0000-0000-000079040000}"/>
    <cellStyle name="20% - Accent2 9 10" xfId="1193" xr:uid="{00000000-0005-0000-0000-00007A040000}"/>
    <cellStyle name="20% - Accent2 9 11" xfId="1194" xr:uid="{00000000-0005-0000-0000-00007B040000}"/>
    <cellStyle name="20% - Accent2 9 12" xfId="1195" xr:uid="{00000000-0005-0000-0000-00007C040000}"/>
    <cellStyle name="20% - Accent2 9 13" xfId="1196" xr:uid="{00000000-0005-0000-0000-00007D040000}"/>
    <cellStyle name="20% - Accent2 9 14" xfId="1197" xr:uid="{00000000-0005-0000-0000-00007E040000}"/>
    <cellStyle name="20% - Accent2 9 15" xfId="1198" xr:uid="{00000000-0005-0000-0000-00007F040000}"/>
    <cellStyle name="20% - Accent2 9 16" xfId="1199" xr:uid="{00000000-0005-0000-0000-000080040000}"/>
    <cellStyle name="20% - Accent2 9 17" xfId="1200" xr:uid="{00000000-0005-0000-0000-000081040000}"/>
    <cellStyle name="20% - Accent2 9 18" xfId="1201" xr:uid="{00000000-0005-0000-0000-000082040000}"/>
    <cellStyle name="20% - Accent2 9 19" xfId="1202" xr:uid="{00000000-0005-0000-0000-000083040000}"/>
    <cellStyle name="20% - Accent2 9 2" xfId="1203" xr:uid="{00000000-0005-0000-0000-000084040000}"/>
    <cellStyle name="20% - Accent2 9 20" xfId="1204" xr:uid="{00000000-0005-0000-0000-000085040000}"/>
    <cellStyle name="20% - Accent2 9 21" xfId="1205" xr:uid="{00000000-0005-0000-0000-000086040000}"/>
    <cellStyle name="20% - Accent2 9 22" xfId="1206" xr:uid="{00000000-0005-0000-0000-000087040000}"/>
    <cellStyle name="20% - Accent2 9 23" xfId="1207" xr:uid="{00000000-0005-0000-0000-000088040000}"/>
    <cellStyle name="20% - Accent2 9 24" xfId="1208" xr:uid="{00000000-0005-0000-0000-000089040000}"/>
    <cellStyle name="20% - Accent2 9 25" xfId="1209" xr:uid="{00000000-0005-0000-0000-00008A040000}"/>
    <cellStyle name="20% - Accent2 9 26" xfId="1210" xr:uid="{00000000-0005-0000-0000-00008B040000}"/>
    <cellStyle name="20% - Accent2 9 27" xfId="1211" xr:uid="{00000000-0005-0000-0000-00008C040000}"/>
    <cellStyle name="20% - Accent2 9 28" xfId="1212" xr:uid="{00000000-0005-0000-0000-00008D040000}"/>
    <cellStyle name="20% - Accent2 9 29" xfId="1213" xr:uid="{00000000-0005-0000-0000-00008E040000}"/>
    <cellStyle name="20% - Accent2 9 3" xfId="1214" xr:uid="{00000000-0005-0000-0000-00008F040000}"/>
    <cellStyle name="20% - Accent2 9 30" xfId="1215" xr:uid="{00000000-0005-0000-0000-000090040000}"/>
    <cellStyle name="20% - Accent2 9 31" xfId="1216" xr:uid="{00000000-0005-0000-0000-000091040000}"/>
    <cellStyle name="20% - Accent2 9 32" xfId="1217" xr:uid="{00000000-0005-0000-0000-000092040000}"/>
    <cellStyle name="20% - Accent2 9 33" xfId="1218" xr:uid="{00000000-0005-0000-0000-000093040000}"/>
    <cellStyle name="20% - Accent2 9 34" xfId="1219" xr:uid="{00000000-0005-0000-0000-000094040000}"/>
    <cellStyle name="20% - Accent2 9 35" xfId="1220" xr:uid="{00000000-0005-0000-0000-000095040000}"/>
    <cellStyle name="20% - Accent2 9 36" xfId="1221" xr:uid="{00000000-0005-0000-0000-000096040000}"/>
    <cellStyle name="20% - Accent2 9 37" xfId="1222" xr:uid="{00000000-0005-0000-0000-000097040000}"/>
    <cellStyle name="20% - Accent2 9 38" xfId="1223" xr:uid="{00000000-0005-0000-0000-000098040000}"/>
    <cellStyle name="20% - Accent2 9 39" xfId="1224" xr:uid="{00000000-0005-0000-0000-000099040000}"/>
    <cellStyle name="20% - Accent2 9 4" xfId="1225" xr:uid="{00000000-0005-0000-0000-00009A040000}"/>
    <cellStyle name="20% - Accent2 9 5" xfId="1226" xr:uid="{00000000-0005-0000-0000-00009B040000}"/>
    <cellStyle name="20% - Accent2 9 6" xfId="1227" xr:uid="{00000000-0005-0000-0000-00009C040000}"/>
    <cellStyle name="20% - Accent2 9 7" xfId="1228" xr:uid="{00000000-0005-0000-0000-00009D040000}"/>
    <cellStyle name="20% - Accent2 9 8" xfId="1229" xr:uid="{00000000-0005-0000-0000-00009E040000}"/>
    <cellStyle name="20% - Accent2 9 9" xfId="1230" xr:uid="{00000000-0005-0000-0000-00009F040000}"/>
    <cellStyle name="20% - Accent3" xfId="28" builtinId="38" customBuiltin="1"/>
    <cellStyle name="20% - Accent3 10" xfId="1231" xr:uid="{00000000-0005-0000-0000-0000A1040000}"/>
    <cellStyle name="20% - Accent3 10 10" xfId="1232" xr:uid="{00000000-0005-0000-0000-0000A2040000}"/>
    <cellStyle name="20% - Accent3 10 11" xfId="1233" xr:uid="{00000000-0005-0000-0000-0000A3040000}"/>
    <cellStyle name="20% - Accent3 10 12" xfId="1234" xr:uid="{00000000-0005-0000-0000-0000A4040000}"/>
    <cellStyle name="20% - Accent3 10 13" xfId="1235" xr:uid="{00000000-0005-0000-0000-0000A5040000}"/>
    <cellStyle name="20% - Accent3 10 14" xfId="1236" xr:uid="{00000000-0005-0000-0000-0000A6040000}"/>
    <cellStyle name="20% - Accent3 10 15" xfId="1237" xr:uid="{00000000-0005-0000-0000-0000A7040000}"/>
    <cellStyle name="20% - Accent3 10 16" xfId="1238" xr:uid="{00000000-0005-0000-0000-0000A8040000}"/>
    <cellStyle name="20% - Accent3 10 17" xfId="1239" xr:uid="{00000000-0005-0000-0000-0000A9040000}"/>
    <cellStyle name="20% - Accent3 10 18" xfId="1240" xr:uid="{00000000-0005-0000-0000-0000AA040000}"/>
    <cellStyle name="20% - Accent3 10 19" xfId="1241" xr:uid="{00000000-0005-0000-0000-0000AB040000}"/>
    <cellStyle name="20% - Accent3 10 2" xfId="1242" xr:uid="{00000000-0005-0000-0000-0000AC040000}"/>
    <cellStyle name="20% - Accent3 10 20" xfId="1243" xr:uid="{00000000-0005-0000-0000-0000AD040000}"/>
    <cellStyle name="20% - Accent3 10 21" xfId="1244" xr:uid="{00000000-0005-0000-0000-0000AE040000}"/>
    <cellStyle name="20% - Accent3 10 22" xfId="1245" xr:uid="{00000000-0005-0000-0000-0000AF040000}"/>
    <cellStyle name="20% - Accent3 10 23" xfId="1246" xr:uid="{00000000-0005-0000-0000-0000B0040000}"/>
    <cellStyle name="20% - Accent3 10 24" xfId="1247" xr:uid="{00000000-0005-0000-0000-0000B1040000}"/>
    <cellStyle name="20% - Accent3 10 25" xfId="1248" xr:uid="{00000000-0005-0000-0000-0000B2040000}"/>
    <cellStyle name="20% - Accent3 10 26" xfId="1249" xr:uid="{00000000-0005-0000-0000-0000B3040000}"/>
    <cellStyle name="20% - Accent3 10 27" xfId="1250" xr:uid="{00000000-0005-0000-0000-0000B4040000}"/>
    <cellStyle name="20% - Accent3 10 28" xfId="1251" xr:uid="{00000000-0005-0000-0000-0000B5040000}"/>
    <cellStyle name="20% - Accent3 10 29" xfId="1252" xr:uid="{00000000-0005-0000-0000-0000B6040000}"/>
    <cellStyle name="20% - Accent3 10 3" xfId="1253" xr:uid="{00000000-0005-0000-0000-0000B7040000}"/>
    <cellStyle name="20% - Accent3 10 30" xfId="1254" xr:uid="{00000000-0005-0000-0000-0000B8040000}"/>
    <cellStyle name="20% - Accent3 10 31" xfId="1255" xr:uid="{00000000-0005-0000-0000-0000B9040000}"/>
    <cellStyle name="20% - Accent3 10 32" xfId="1256" xr:uid="{00000000-0005-0000-0000-0000BA040000}"/>
    <cellStyle name="20% - Accent3 10 33" xfId="1257" xr:uid="{00000000-0005-0000-0000-0000BB040000}"/>
    <cellStyle name="20% - Accent3 10 34" xfId="1258" xr:uid="{00000000-0005-0000-0000-0000BC040000}"/>
    <cellStyle name="20% - Accent3 10 35" xfId="1259" xr:uid="{00000000-0005-0000-0000-0000BD040000}"/>
    <cellStyle name="20% - Accent3 10 36" xfId="1260" xr:uid="{00000000-0005-0000-0000-0000BE040000}"/>
    <cellStyle name="20% - Accent3 10 37" xfId="1261" xr:uid="{00000000-0005-0000-0000-0000BF040000}"/>
    <cellStyle name="20% - Accent3 10 38" xfId="1262" xr:uid="{00000000-0005-0000-0000-0000C0040000}"/>
    <cellStyle name="20% - Accent3 10 39" xfId="1263" xr:uid="{00000000-0005-0000-0000-0000C1040000}"/>
    <cellStyle name="20% - Accent3 10 4" xfId="1264" xr:uid="{00000000-0005-0000-0000-0000C2040000}"/>
    <cellStyle name="20% - Accent3 10 5" xfId="1265" xr:uid="{00000000-0005-0000-0000-0000C3040000}"/>
    <cellStyle name="20% - Accent3 10 6" xfId="1266" xr:uid="{00000000-0005-0000-0000-0000C4040000}"/>
    <cellStyle name="20% - Accent3 10 7" xfId="1267" xr:uid="{00000000-0005-0000-0000-0000C5040000}"/>
    <cellStyle name="20% - Accent3 10 8" xfId="1268" xr:uid="{00000000-0005-0000-0000-0000C6040000}"/>
    <cellStyle name="20% - Accent3 10 9" xfId="1269" xr:uid="{00000000-0005-0000-0000-0000C7040000}"/>
    <cellStyle name="20% - Accent3 11" xfId="1270" xr:uid="{00000000-0005-0000-0000-0000C8040000}"/>
    <cellStyle name="20% - Accent3 11 10" xfId="1271" xr:uid="{00000000-0005-0000-0000-0000C9040000}"/>
    <cellStyle name="20% - Accent3 11 11" xfId="1272" xr:uid="{00000000-0005-0000-0000-0000CA040000}"/>
    <cellStyle name="20% - Accent3 11 12" xfId="1273" xr:uid="{00000000-0005-0000-0000-0000CB040000}"/>
    <cellStyle name="20% - Accent3 11 13" xfId="1274" xr:uid="{00000000-0005-0000-0000-0000CC040000}"/>
    <cellStyle name="20% - Accent3 11 14" xfId="1275" xr:uid="{00000000-0005-0000-0000-0000CD040000}"/>
    <cellStyle name="20% - Accent3 11 15" xfId="1276" xr:uid="{00000000-0005-0000-0000-0000CE040000}"/>
    <cellStyle name="20% - Accent3 11 16" xfId="1277" xr:uid="{00000000-0005-0000-0000-0000CF040000}"/>
    <cellStyle name="20% - Accent3 11 17" xfId="1278" xr:uid="{00000000-0005-0000-0000-0000D0040000}"/>
    <cellStyle name="20% - Accent3 11 18" xfId="1279" xr:uid="{00000000-0005-0000-0000-0000D1040000}"/>
    <cellStyle name="20% - Accent3 11 19" xfId="1280" xr:uid="{00000000-0005-0000-0000-0000D2040000}"/>
    <cellStyle name="20% - Accent3 11 2" xfId="1281" xr:uid="{00000000-0005-0000-0000-0000D3040000}"/>
    <cellStyle name="20% - Accent3 11 20" xfId="1282" xr:uid="{00000000-0005-0000-0000-0000D4040000}"/>
    <cellStyle name="20% - Accent3 11 21" xfId="1283" xr:uid="{00000000-0005-0000-0000-0000D5040000}"/>
    <cellStyle name="20% - Accent3 11 22" xfId="1284" xr:uid="{00000000-0005-0000-0000-0000D6040000}"/>
    <cellStyle name="20% - Accent3 11 23" xfId="1285" xr:uid="{00000000-0005-0000-0000-0000D7040000}"/>
    <cellStyle name="20% - Accent3 11 24" xfId="1286" xr:uid="{00000000-0005-0000-0000-0000D8040000}"/>
    <cellStyle name="20% - Accent3 11 25" xfId="1287" xr:uid="{00000000-0005-0000-0000-0000D9040000}"/>
    <cellStyle name="20% - Accent3 11 26" xfId="1288" xr:uid="{00000000-0005-0000-0000-0000DA040000}"/>
    <cellStyle name="20% - Accent3 11 27" xfId="1289" xr:uid="{00000000-0005-0000-0000-0000DB040000}"/>
    <cellStyle name="20% - Accent3 11 28" xfId="1290" xr:uid="{00000000-0005-0000-0000-0000DC040000}"/>
    <cellStyle name="20% - Accent3 11 29" xfId="1291" xr:uid="{00000000-0005-0000-0000-0000DD040000}"/>
    <cellStyle name="20% - Accent3 11 3" xfId="1292" xr:uid="{00000000-0005-0000-0000-0000DE040000}"/>
    <cellStyle name="20% - Accent3 11 30" xfId="1293" xr:uid="{00000000-0005-0000-0000-0000DF040000}"/>
    <cellStyle name="20% - Accent3 11 31" xfId="1294" xr:uid="{00000000-0005-0000-0000-0000E0040000}"/>
    <cellStyle name="20% - Accent3 11 32" xfId="1295" xr:uid="{00000000-0005-0000-0000-0000E1040000}"/>
    <cellStyle name="20% - Accent3 11 33" xfId="1296" xr:uid="{00000000-0005-0000-0000-0000E2040000}"/>
    <cellStyle name="20% - Accent3 11 34" xfId="1297" xr:uid="{00000000-0005-0000-0000-0000E3040000}"/>
    <cellStyle name="20% - Accent3 11 35" xfId="1298" xr:uid="{00000000-0005-0000-0000-0000E4040000}"/>
    <cellStyle name="20% - Accent3 11 36" xfId="1299" xr:uid="{00000000-0005-0000-0000-0000E5040000}"/>
    <cellStyle name="20% - Accent3 11 37" xfId="1300" xr:uid="{00000000-0005-0000-0000-0000E6040000}"/>
    <cellStyle name="20% - Accent3 11 38" xfId="1301" xr:uid="{00000000-0005-0000-0000-0000E7040000}"/>
    <cellStyle name="20% - Accent3 11 39" xfId="1302" xr:uid="{00000000-0005-0000-0000-0000E8040000}"/>
    <cellStyle name="20% - Accent3 11 4" xfId="1303" xr:uid="{00000000-0005-0000-0000-0000E9040000}"/>
    <cellStyle name="20% - Accent3 11 5" xfId="1304" xr:uid="{00000000-0005-0000-0000-0000EA040000}"/>
    <cellStyle name="20% - Accent3 11 6" xfId="1305" xr:uid="{00000000-0005-0000-0000-0000EB040000}"/>
    <cellStyle name="20% - Accent3 11 7" xfId="1306" xr:uid="{00000000-0005-0000-0000-0000EC040000}"/>
    <cellStyle name="20% - Accent3 11 8" xfId="1307" xr:uid="{00000000-0005-0000-0000-0000ED040000}"/>
    <cellStyle name="20% - Accent3 11 9" xfId="1308" xr:uid="{00000000-0005-0000-0000-0000EE040000}"/>
    <cellStyle name="20% - Accent3 12" xfId="1309" xr:uid="{00000000-0005-0000-0000-0000EF040000}"/>
    <cellStyle name="20% - Accent3 13" xfId="1310" xr:uid="{00000000-0005-0000-0000-0000F0040000}"/>
    <cellStyle name="20% - Accent3 14" xfId="1311" xr:uid="{00000000-0005-0000-0000-0000F1040000}"/>
    <cellStyle name="20% - Accent3 15" xfId="1312" xr:uid="{00000000-0005-0000-0000-0000F2040000}"/>
    <cellStyle name="20% - Accent3 16" xfId="1313" xr:uid="{00000000-0005-0000-0000-0000F3040000}"/>
    <cellStyle name="20% - Accent3 17" xfId="1314" xr:uid="{00000000-0005-0000-0000-0000F4040000}"/>
    <cellStyle name="20% - Accent3 18" xfId="1315" xr:uid="{00000000-0005-0000-0000-0000F5040000}"/>
    <cellStyle name="20% - Accent3 19" xfId="1316" xr:uid="{00000000-0005-0000-0000-0000F6040000}"/>
    <cellStyle name="20% - Accent3 2" xfId="1317" xr:uid="{00000000-0005-0000-0000-0000F7040000}"/>
    <cellStyle name="20% - Accent3 2 10" xfId="1318" xr:uid="{00000000-0005-0000-0000-0000F8040000}"/>
    <cellStyle name="20% - Accent3 2 11" xfId="1319" xr:uid="{00000000-0005-0000-0000-0000F9040000}"/>
    <cellStyle name="20% - Accent3 2 12" xfId="1320" xr:uid="{00000000-0005-0000-0000-0000FA040000}"/>
    <cellStyle name="20% - Accent3 2 13" xfId="1321" xr:uid="{00000000-0005-0000-0000-0000FB040000}"/>
    <cellStyle name="20% - Accent3 2 14" xfId="1322" xr:uid="{00000000-0005-0000-0000-0000FC040000}"/>
    <cellStyle name="20% - Accent3 2 15" xfId="1323" xr:uid="{00000000-0005-0000-0000-0000FD040000}"/>
    <cellStyle name="20% - Accent3 2 16" xfId="1324" xr:uid="{00000000-0005-0000-0000-0000FE040000}"/>
    <cellStyle name="20% - Accent3 2 17" xfId="1325" xr:uid="{00000000-0005-0000-0000-0000FF040000}"/>
    <cellStyle name="20% - Accent3 2 18" xfId="1326" xr:uid="{00000000-0005-0000-0000-000000050000}"/>
    <cellStyle name="20% - Accent3 2 19" xfId="1327" xr:uid="{00000000-0005-0000-0000-000001050000}"/>
    <cellStyle name="20% - Accent3 2 2" xfId="1328" xr:uid="{00000000-0005-0000-0000-000002050000}"/>
    <cellStyle name="20% - Accent3 2 2 2" xfId="1329" xr:uid="{00000000-0005-0000-0000-000003050000}"/>
    <cellStyle name="20% - Accent3 2 20" xfId="1330" xr:uid="{00000000-0005-0000-0000-000004050000}"/>
    <cellStyle name="20% - Accent3 2 21" xfId="1331" xr:uid="{00000000-0005-0000-0000-000005050000}"/>
    <cellStyle name="20% - Accent3 2 22" xfId="1332" xr:uid="{00000000-0005-0000-0000-000006050000}"/>
    <cellStyle name="20% - Accent3 2 23" xfId="1333" xr:uid="{00000000-0005-0000-0000-000007050000}"/>
    <cellStyle name="20% - Accent3 2 24" xfId="1334" xr:uid="{00000000-0005-0000-0000-000008050000}"/>
    <cellStyle name="20% - Accent3 2 25" xfId="1335" xr:uid="{00000000-0005-0000-0000-000009050000}"/>
    <cellStyle name="20% - Accent3 2 26" xfId="1336" xr:uid="{00000000-0005-0000-0000-00000A050000}"/>
    <cellStyle name="20% - Accent3 2 27" xfId="1337" xr:uid="{00000000-0005-0000-0000-00000B050000}"/>
    <cellStyle name="20% - Accent3 2 28" xfId="1338" xr:uid="{00000000-0005-0000-0000-00000C050000}"/>
    <cellStyle name="20% - Accent3 2 29" xfId="1339" xr:uid="{00000000-0005-0000-0000-00000D050000}"/>
    <cellStyle name="20% - Accent3 2 3" xfId="1340" xr:uid="{00000000-0005-0000-0000-00000E050000}"/>
    <cellStyle name="20% - Accent3 2 3 2" xfId="1341" xr:uid="{00000000-0005-0000-0000-00000F050000}"/>
    <cellStyle name="20% - Accent3 2 30" xfId="1342" xr:uid="{00000000-0005-0000-0000-000010050000}"/>
    <cellStyle name="20% - Accent3 2 31" xfId="1343" xr:uid="{00000000-0005-0000-0000-000011050000}"/>
    <cellStyle name="20% - Accent3 2 32" xfId="1344" xr:uid="{00000000-0005-0000-0000-000012050000}"/>
    <cellStyle name="20% - Accent3 2 33" xfId="1345" xr:uid="{00000000-0005-0000-0000-000013050000}"/>
    <cellStyle name="20% - Accent3 2 34" xfId="1346" xr:uid="{00000000-0005-0000-0000-000014050000}"/>
    <cellStyle name="20% - Accent3 2 35" xfId="1347" xr:uid="{00000000-0005-0000-0000-000015050000}"/>
    <cellStyle name="20% - Accent3 2 36" xfId="1348" xr:uid="{00000000-0005-0000-0000-000016050000}"/>
    <cellStyle name="20% - Accent3 2 37" xfId="1349" xr:uid="{00000000-0005-0000-0000-000017050000}"/>
    <cellStyle name="20% - Accent3 2 38" xfId="1350" xr:uid="{00000000-0005-0000-0000-000018050000}"/>
    <cellStyle name="20% - Accent3 2 39" xfId="1351" xr:uid="{00000000-0005-0000-0000-000019050000}"/>
    <cellStyle name="20% - Accent3 2 4" xfId="1352" xr:uid="{00000000-0005-0000-0000-00001A050000}"/>
    <cellStyle name="20% - Accent3 2 4 2" xfId="1353" xr:uid="{00000000-0005-0000-0000-00001B050000}"/>
    <cellStyle name="20% - Accent3 2 40" xfId="1354" xr:uid="{00000000-0005-0000-0000-00001C050000}"/>
    <cellStyle name="20% - Accent3 2 41" xfId="1355" xr:uid="{00000000-0005-0000-0000-00001D050000}"/>
    <cellStyle name="20% - Accent3 2 42" xfId="1356" xr:uid="{00000000-0005-0000-0000-00001E050000}"/>
    <cellStyle name="20% - Accent3 2 43" xfId="1357" xr:uid="{00000000-0005-0000-0000-00001F050000}"/>
    <cellStyle name="20% - Accent3 2 44" xfId="1358" xr:uid="{00000000-0005-0000-0000-000020050000}"/>
    <cellStyle name="20% - Accent3 2 45" xfId="1359" xr:uid="{00000000-0005-0000-0000-000021050000}"/>
    <cellStyle name="20% - Accent3 2 46" xfId="1360" xr:uid="{00000000-0005-0000-0000-000022050000}"/>
    <cellStyle name="20% - Accent3 2 47" xfId="1361" xr:uid="{00000000-0005-0000-0000-000023050000}"/>
    <cellStyle name="20% - Accent3 2 48" xfId="1362" xr:uid="{00000000-0005-0000-0000-000024050000}"/>
    <cellStyle name="20% - Accent3 2 49" xfId="1363" xr:uid="{00000000-0005-0000-0000-000025050000}"/>
    <cellStyle name="20% - Accent3 2 5" xfId="1364" xr:uid="{00000000-0005-0000-0000-000026050000}"/>
    <cellStyle name="20% - Accent3 2 5 2" xfId="1365" xr:uid="{00000000-0005-0000-0000-000027050000}"/>
    <cellStyle name="20% - Accent3 2 50" xfId="1366" xr:uid="{00000000-0005-0000-0000-000028050000}"/>
    <cellStyle name="20% - Accent3 2 51" xfId="1367" xr:uid="{00000000-0005-0000-0000-000029050000}"/>
    <cellStyle name="20% - Accent3 2 52" xfId="1368" xr:uid="{00000000-0005-0000-0000-00002A050000}"/>
    <cellStyle name="20% - Accent3 2 53" xfId="1369" xr:uid="{00000000-0005-0000-0000-00002B050000}"/>
    <cellStyle name="20% - Accent3 2 54" xfId="1370" xr:uid="{00000000-0005-0000-0000-00002C050000}"/>
    <cellStyle name="20% - Accent3 2 55" xfId="1371" xr:uid="{00000000-0005-0000-0000-00002D050000}"/>
    <cellStyle name="20% - Accent3 2 56" xfId="1372" xr:uid="{00000000-0005-0000-0000-00002E050000}"/>
    <cellStyle name="20% - Accent3 2 57" xfId="1373" xr:uid="{00000000-0005-0000-0000-00002F050000}"/>
    <cellStyle name="20% - Accent3 2 58" xfId="1374" xr:uid="{00000000-0005-0000-0000-000030050000}"/>
    <cellStyle name="20% - Accent3 2 59" xfId="1375" xr:uid="{00000000-0005-0000-0000-000031050000}"/>
    <cellStyle name="20% - Accent3 2 6" xfId="1376" xr:uid="{00000000-0005-0000-0000-000032050000}"/>
    <cellStyle name="20% - Accent3 2 6 2" xfId="1377" xr:uid="{00000000-0005-0000-0000-000033050000}"/>
    <cellStyle name="20% - Accent3 2 60" xfId="1378" xr:uid="{00000000-0005-0000-0000-000034050000}"/>
    <cellStyle name="20% - Accent3 2 61" xfId="1379" xr:uid="{00000000-0005-0000-0000-000035050000}"/>
    <cellStyle name="20% - Accent3 2 62" xfId="1380" xr:uid="{00000000-0005-0000-0000-000036050000}"/>
    <cellStyle name="20% - Accent3 2 63" xfId="1381" xr:uid="{00000000-0005-0000-0000-000037050000}"/>
    <cellStyle name="20% - Accent3 2 64" xfId="1382" xr:uid="{00000000-0005-0000-0000-000038050000}"/>
    <cellStyle name="20% - Accent3 2 65" xfId="1383" xr:uid="{00000000-0005-0000-0000-000039050000}"/>
    <cellStyle name="20% - Accent3 2 66" xfId="1384" xr:uid="{00000000-0005-0000-0000-00003A050000}"/>
    <cellStyle name="20% - Accent3 2 67" xfId="1385" xr:uid="{00000000-0005-0000-0000-00003B050000}"/>
    <cellStyle name="20% - Accent3 2 68" xfId="1386" xr:uid="{00000000-0005-0000-0000-00003C050000}"/>
    <cellStyle name="20% - Accent3 2 69" xfId="1387" xr:uid="{00000000-0005-0000-0000-00003D050000}"/>
    <cellStyle name="20% - Accent3 2 7" xfId="1388" xr:uid="{00000000-0005-0000-0000-00003E050000}"/>
    <cellStyle name="20% - Accent3 2 7 2" xfId="1389" xr:uid="{00000000-0005-0000-0000-00003F050000}"/>
    <cellStyle name="20% - Accent3 2 70" xfId="1390" xr:uid="{00000000-0005-0000-0000-000040050000}"/>
    <cellStyle name="20% - Accent3 2 71" xfId="1391" xr:uid="{00000000-0005-0000-0000-000041050000}"/>
    <cellStyle name="20% - Accent3 2 72" xfId="1392" xr:uid="{00000000-0005-0000-0000-000042050000}"/>
    <cellStyle name="20% - Accent3 2 73" xfId="1393" xr:uid="{00000000-0005-0000-0000-000043050000}"/>
    <cellStyle name="20% - Accent3 2 74" xfId="1394" xr:uid="{00000000-0005-0000-0000-000044050000}"/>
    <cellStyle name="20% - Accent3 2 75" xfId="1395" xr:uid="{00000000-0005-0000-0000-000045050000}"/>
    <cellStyle name="20% - Accent3 2 8" xfId="1396" xr:uid="{00000000-0005-0000-0000-000046050000}"/>
    <cellStyle name="20% - Accent3 2 8 2" xfId="1397" xr:uid="{00000000-0005-0000-0000-000047050000}"/>
    <cellStyle name="20% - Accent3 2 9" xfId="1398" xr:uid="{00000000-0005-0000-0000-000048050000}"/>
    <cellStyle name="20% - Accent3 2 9 2" xfId="1399" xr:uid="{00000000-0005-0000-0000-000049050000}"/>
    <cellStyle name="20% - Accent3 20" xfId="1400" xr:uid="{00000000-0005-0000-0000-00004A050000}"/>
    <cellStyle name="20% - Accent3 21" xfId="1401" xr:uid="{00000000-0005-0000-0000-00004B050000}"/>
    <cellStyle name="20% - Accent3 22" xfId="1402" xr:uid="{00000000-0005-0000-0000-00004C050000}"/>
    <cellStyle name="20% - Accent3 23" xfId="1403" xr:uid="{00000000-0005-0000-0000-00004D050000}"/>
    <cellStyle name="20% - Accent3 24" xfId="1404" xr:uid="{00000000-0005-0000-0000-00004E050000}"/>
    <cellStyle name="20% - Accent3 25" xfId="1405" xr:uid="{00000000-0005-0000-0000-00004F050000}"/>
    <cellStyle name="20% - Accent3 26" xfId="1406" xr:uid="{00000000-0005-0000-0000-000050050000}"/>
    <cellStyle name="20% - Accent3 27" xfId="1407" xr:uid="{00000000-0005-0000-0000-000051050000}"/>
    <cellStyle name="20% - Accent3 28" xfId="1408" xr:uid="{00000000-0005-0000-0000-000052050000}"/>
    <cellStyle name="20% - Accent3 29" xfId="1409" xr:uid="{00000000-0005-0000-0000-000053050000}"/>
    <cellStyle name="20% - Accent3 3" xfId="1410" xr:uid="{00000000-0005-0000-0000-000054050000}"/>
    <cellStyle name="20% - Accent3 3 10" xfId="1411" xr:uid="{00000000-0005-0000-0000-000055050000}"/>
    <cellStyle name="20% - Accent3 3 11" xfId="1412" xr:uid="{00000000-0005-0000-0000-000056050000}"/>
    <cellStyle name="20% - Accent3 3 12" xfId="1413" xr:uid="{00000000-0005-0000-0000-000057050000}"/>
    <cellStyle name="20% - Accent3 3 13" xfId="1414" xr:uid="{00000000-0005-0000-0000-000058050000}"/>
    <cellStyle name="20% - Accent3 3 14" xfId="1415" xr:uid="{00000000-0005-0000-0000-000059050000}"/>
    <cellStyle name="20% - Accent3 3 15" xfId="1416" xr:uid="{00000000-0005-0000-0000-00005A050000}"/>
    <cellStyle name="20% - Accent3 3 16" xfId="1417" xr:uid="{00000000-0005-0000-0000-00005B050000}"/>
    <cellStyle name="20% - Accent3 3 17" xfId="1418" xr:uid="{00000000-0005-0000-0000-00005C050000}"/>
    <cellStyle name="20% - Accent3 3 18" xfId="1419" xr:uid="{00000000-0005-0000-0000-00005D050000}"/>
    <cellStyle name="20% - Accent3 3 19" xfId="1420" xr:uid="{00000000-0005-0000-0000-00005E050000}"/>
    <cellStyle name="20% - Accent3 3 2" xfId="1421" xr:uid="{00000000-0005-0000-0000-00005F050000}"/>
    <cellStyle name="20% - Accent3 3 2 2" xfId="1422" xr:uid="{00000000-0005-0000-0000-000060050000}"/>
    <cellStyle name="20% - Accent3 3 20" xfId="1423" xr:uid="{00000000-0005-0000-0000-000061050000}"/>
    <cellStyle name="20% - Accent3 3 21" xfId="1424" xr:uid="{00000000-0005-0000-0000-000062050000}"/>
    <cellStyle name="20% - Accent3 3 22" xfId="1425" xr:uid="{00000000-0005-0000-0000-000063050000}"/>
    <cellStyle name="20% - Accent3 3 23" xfId="1426" xr:uid="{00000000-0005-0000-0000-000064050000}"/>
    <cellStyle name="20% - Accent3 3 24" xfId="1427" xr:uid="{00000000-0005-0000-0000-000065050000}"/>
    <cellStyle name="20% - Accent3 3 25" xfId="1428" xr:uid="{00000000-0005-0000-0000-000066050000}"/>
    <cellStyle name="20% - Accent3 3 26" xfId="1429" xr:uid="{00000000-0005-0000-0000-000067050000}"/>
    <cellStyle name="20% - Accent3 3 27" xfId="1430" xr:uid="{00000000-0005-0000-0000-000068050000}"/>
    <cellStyle name="20% - Accent3 3 28" xfId="1431" xr:uid="{00000000-0005-0000-0000-000069050000}"/>
    <cellStyle name="20% - Accent3 3 29" xfId="1432" xr:uid="{00000000-0005-0000-0000-00006A050000}"/>
    <cellStyle name="20% - Accent3 3 3" xfId="1433" xr:uid="{00000000-0005-0000-0000-00006B050000}"/>
    <cellStyle name="20% - Accent3 3 3 2" xfId="1434" xr:uid="{00000000-0005-0000-0000-00006C050000}"/>
    <cellStyle name="20% - Accent3 3 30" xfId="1435" xr:uid="{00000000-0005-0000-0000-00006D050000}"/>
    <cellStyle name="20% - Accent3 3 31" xfId="1436" xr:uid="{00000000-0005-0000-0000-00006E050000}"/>
    <cellStyle name="20% - Accent3 3 32" xfId="1437" xr:uid="{00000000-0005-0000-0000-00006F050000}"/>
    <cellStyle name="20% - Accent3 3 33" xfId="1438" xr:uid="{00000000-0005-0000-0000-000070050000}"/>
    <cellStyle name="20% - Accent3 3 34" xfId="1439" xr:uid="{00000000-0005-0000-0000-000071050000}"/>
    <cellStyle name="20% - Accent3 3 35" xfId="1440" xr:uid="{00000000-0005-0000-0000-000072050000}"/>
    <cellStyle name="20% - Accent3 3 36" xfId="1441" xr:uid="{00000000-0005-0000-0000-000073050000}"/>
    <cellStyle name="20% - Accent3 3 37" xfId="1442" xr:uid="{00000000-0005-0000-0000-000074050000}"/>
    <cellStyle name="20% - Accent3 3 38" xfId="1443" xr:uid="{00000000-0005-0000-0000-000075050000}"/>
    <cellStyle name="20% - Accent3 3 39" xfId="1444" xr:uid="{00000000-0005-0000-0000-000076050000}"/>
    <cellStyle name="20% - Accent3 3 4" xfId="1445" xr:uid="{00000000-0005-0000-0000-000077050000}"/>
    <cellStyle name="20% - Accent3 3 4 2" xfId="1446" xr:uid="{00000000-0005-0000-0000-000078050000}"/>
    <cellStyle name="20% - Accent3 3 40" xfId="1447" xr:uid="{00000000-0005-0000-0000-000079050000}"/>
    <cellStyle name="20% - Accent3 3 41" xfId="1448" xr:uid="{00000000-0005-0000-0000-00007A050000}"/>
    <cellStyle name="20% - Accent3 3 42" xfId="1449" xr:uid="{00000000-0005-0000-0000-00007B050000}"/>
    <cellStyle name="20% - Accent3 3 43" xfId="1450" xr:uid="{00000000-0005-0000-0000-00007C050000}"/>
    <cellStyle name="20% - Accent3 3 44" xfId="1451" xr:uid="{00000000-0005-0000-0000-00007D050000}"/>
    <cellStyle name="20% - Accent3 3 45" xfId="1452" xr:uid="{00000000-0005-0000-0000-00007E050000}"/>
    <cellStyle name="20% - Accent3 3 46" xfId="1453" xr:uid="{00000000-0005-0000-0000-00007F050000}"/>
    <cellStyle name="20% - Accent3 3 47" xfId="1454" xr:uid="{00000000-0005-0000-0000-000080050000}"/>
    <cellStyle name="20% - Accent3 3 48" xfId="1455" xr:uid="{00000000-0005-0000-0000-000081050000}"/>
    <cellStyle name="20% - Accent3 3 49" xfId="1456" xr:uid="{00000000-0005-0000-0000-000082050000}"/>
    <cellStyle name="20% - Accent3 3 5" xfId="1457" xr:uid="{00000000-0005-0000-0000-000083050000}"/>
    <cellStyle name="20% - Accent3 3 5 2" xfId="1458" xr:uid="{00000000-0005-0000-0000-000084050000}"/>
    <cellStyle name="20% - Accent3 3 50" xfId="1459" xr:uid="{00000000-0005-0000-0000-000085050000}"/>
    <cellStyle name="20% - Accent3 3 51" xfId="1460" xr:uid="{00000000-0005-0000-0000-000086050000}"/>
    <cellStyle name="20% - Accent3 3 52" xfId="1461" xr:uid="{00000000-0005-0000-0000-000087050000}"/>
    <cellStyle name="20% - Accent3 3 53" xfId="1462" xr:uid="{00000000-0005-0000-0000-000088050000}"/>
    <cellStyle name="20% - Accent3 3 54" xfId="1463" xr:uid="{00000000-0005-0000-0000-000089050000}"/>
    <cellStyle name="20% - Accent3 3 55" xfId="1464" xr:uid="{00000000-0005-0000-0000-00008A050000}"/>
    <cellStyle name="20% - Accent3 3 56" xfId="1465" xr:uid="{00000000-0005-0000-0000-00008B050000}"/>
    <cellStyle name="20% - Accent3 3 57" xfId="1466" xr:uid="{00000000-0005-0000-0000-00008C050000}"/>
    <cellStyle name="20% - Accent3 3 58" xfId="1467" xr:uid="{00000000-0005-0000-0000-00008D050000}"/>
    <cellStyle name="20% - Accent3 3 59" xfId="1468" xr:uid="{00000000-0005-0000-0000-00008E050000}"/>
    <cellStyle name="20% - Accent3 3 6" xfId="1469" xr:uid="{00000000-0005-0000-0000-00008F050000}"/>
    <cellStyle name="20% - Accent3 3 6 2" xfId="1470" xr:uid="{00000000-0005-0000-0000-000090050000}"/>
    <cellStyle name="20% - Accent3 3 60" xfId="1471" xr:uid="{00000000-0005-0000-0000-000091050000}"/>
    <cellStyle name="20% - Accent3 3 61" xfId="1472" xr:uid="{00000000-0005-0000-0000-000092050000}"/>
    <cellStyle name="20% - Accent3 3 62" xfId="1473" xr:uid="{00000000-0005-0000-0000-000093050000}"/>
    <cellStyle name="20% - Accent3 3 63" xfId="1474" xr:uid="{00000000-0005-0000-0000-000094050000}"/>
    <cellStyle name="20% - Accent3 3 64" xfId="1475" xr:uid="{00000000-0005-0000-0000-000095050000}"/>
    <cellStyle name="20% - Accent3 3 65" xfId="1476" xr:uid="{00000000-0005-0000-0000-000096050000}"/>
    <cellStyle name="20% - Accent3 3 66" xfId="1477" xr:uid="{00000000-0005-0000-0000-000097050000}"/>
    <cellStyle name="20% - Accent3 3 67" xfId="1478" xr:uid="{00000000-0005-0000-0000-000098050000}"/>
    <cellStyle name="20% - Accent3 3 68" xfId="1479" xr:uid="{00000000-0005-0000-0000-000099050000}"/>
    <cellStyle name="20% - Accent3 3 69" xfId="1480" xr:uid="{00000000-0005-0000-0000-00009A050000}"/>
    <cellStyle name="20% - Accent3 3 7" xfId="1481" xr:uid="{00000000-0005-0000-0000-00009B050000}"/>
    <cellStyle name="20% - Accent3 3 7 2" xfId="1482" xr:uid="{00000000-0005-0000-0000-00009C050000}"/>
    <cellStyle name="20% - Accent3 3 70" xfId="1483" xr:uid="{00000000-0005-0000-0000-00009D050000}"/>
    <cellStyle name="20% - Accent3 3 71" xfId="1484" xr:uid="{00000000-0005-0000-0000-00009E050000}"/>
    <cellStyle name="20% - Accent3 3 72" xfId="1485" xr:uid="{00000000-0005-0000-0000-00009F050000}"/>
    <cellStyle name="20% - Accent3 3 73" xfId="1486" xr:uid="{00000000-0005-0000-0000-0000A0050000}"/>
    <cellStyle name="20% - Accent3 3 74" xfId="1487" xr:uid="{00000000-0005-0000-0000-0000A1050000}"/>
    <cellStyle name="20% - Accent3 3 75" xfId="1488" xr:uid="{00000000-0005-0000-0000-0000A2050000}"/>
    <cellStyle name="20% - Accent3 3 8" xfId="1489" xr:uid="{00000000-0005-0000-0000-0000A3050000}"/>
    <cellStyle name="20% - Accent3 3 8 2" xfId="1490" xr:uid="{00000000-0005-0000-0000-0000A4050000}"/>
    <cellStyle name="20% - Accent3 3 9" xfId="1491" xr:uid="{00000000-0005-0000-0000-0000A5050000}"/>
    <cellStyle name="20% - Accent3 3 9 2" xfId="1492" xr:uid="{00000000-0005-0000-0000-0000A6050000}"/>
    <cellStyle name="20% - Accent3 30" xfId="1493" xr:uid="{00000000-0005-0000-0000-0000A7050000}"/>
    <cellStyle name="20% - Accent3 31" xfId="1494" xr:uid="{00000000-0005-0000-0000-0000A8050000}"/>
    <cellStyle name="20% - Accent3 32" xfId="1495" xr:uid="{00000000-0005-0000-0000-0000A9050000}"/>
    <cellStyle name="20% - Accent3 33" xfId="1496" xr:uid="{00000000-0005-0000-0000-0000AA050000}"/>
    <cellStyle name="20% - Accent3 34" xfId="1497" xr:uid="{00000000-0005-0000-0000-0000AB050000}"/>
    <cellStyle name="20% - Accent3 35" xfId="1498" xr:uid="{00000000-0005-0000-0000-0000AC050000}"/>
    <cellStyle name="20% - Accent3 36" xfId="1499" xr:uid="{00000000-0005-0000-0000-0000AD050000}"/>
    <cellStyle name="20% - Accent3 37" xfId="1500" xr:uid="{00000000-0005-0000-0000-0000AE050000}"/>
    <cellStyle name="20% - Accent3 38" xfId="1501" xr:uid="{00000000-0005-0000-0000-0000AF050000}"/>
    <cellStyle name="20% - Accent3 39" xfId="1502" xr:uid="{00000000-0005-0000-0000-0000B0050000}"/>
    <cellStyle name="20% - Accent3 4" xfId="1503" xr:uid="{00000000-0005-0000-0000-0000B1050000}"/>
    <cellStyle name="20% - Accent3 4 10" xfId="1504" xr:uid="{00000000-0005-0000-0000-0000B2050000}"/>
    <cellStyle name="20% - Accent3 4 11" xfId="1505" xr:uid="{00000000-0005-0000-0000-0000B3050000}"/>
    <cellStyle name="20% - Accent3 4 12" xfId="1506" xr:uid="{00000000-0005-0000-0000-0000B4050000}"/>
    <cellStyle name="20% - Accent3 4 13" xfId="1507" xr:uid="{00000000-0005-0000-0000-0000B5050000}"/>
    <cellStyle name="20% - Accent3 4 14" xfId="1508" xr:uid="{00000000-0005-0000-0000-0000B6050000}"/>
    <cellStyle name="20% - Accent3 4 15" xfId="1509" xr:uid="{00000000-0005-0000-0000-0000B7050000}"/>
    <cellStyle name="20% - Accent3 4 16" xfId="1510" xr:uid="{00000000-0005-0000-0000-0000B8050000}"/>
    <cellStyle name="20% - Accent3 4 17" xfId="1511" xr:uid="{00000000-0005-0000-0000-0000B9050000}"/>
    <cellStyle name="20% - Accent3 4 18" xfId="1512" xr:uid="{00000000-0005-0000-0000-0000BA050000}"/>
    <cellStyle name="20% - Accent3 4 19" xfId="1513" xr:uid="{00000000-0005-0000-0000-0000BB050000}"/>
    <cellStyle name="20% - Accent3 4 2" xfId="1514" xr:uid="{00000000-0005-0000-0000-0000BC050000}"/>
    <cellStyle name="20% - Accent3 4 2 2" xfId="1515" xr:uid="{00000000-0005-0000-0000-0000BD050000}"/>
    <cellStyle name="20% - Accent3 4 20" xfId="1516" xr:uid="{00000000-0005-0000-0000-0000BE050000}"/>
    <cellStyle name="20% - Accent3 4 21" xfId="1517" xr:uid="{00000000-0005-0000-0000-0000BF050000}"/>
    <cellStyle name="20% - Accent3 4 22" xfId="1518" xr:uid="{00000000-0005-0000-0000-0000C0050000}"/>
    <cellStyle name="20% - Accent3 4 23" xfId="1519" xr:uid="{00000000-0005-0000-0000-0000C1050000}"/>
    <cellStyle name="20% - Accent3 4 24" xfId="1520" xr:uid="{00000000-0005-0000-0000-0000C2050000}"/>
    <cellStyle name="20% - Accent3 4 25" xfId="1521" xr:uid="{00000000-0005-0000-0000-0000C3050000}"/>
    <cellStyle name="20% - Accent3 4 26" xfId="1522" xr:uid="{00000000-0005-0000-0000-0000C4050000}"/>
    <cellStyle name="20% - Accent3 4 27" xfId="1523" xr:uid="{00000000-0005-0000-0000-0000C5050000}"/>
    <cellStyle name="20% - Accent3 4 28" xfId="1524" xr:uid="{00000000-0005-0000-0000-0000C6050000}"/>
    <cellStyle name="20% - Accent3 4 29" xfId="1525" xr:uid="{00000000-0005-0000-0000-0000C7050000}"/>
    <cellStyle name="20% - Accent3 4 3" xfId="1526" xr:uid="{00000000-0005-0000-0000-0000C8050000}"/>
    <cellStyle name="20% - Accent3 4 3 2" xfId="1527" xr:uid="{00000000-0005-0000-0000-0000C9050000}"/>
    <cellStyle name="20% - Accent3 4 30" xfId="1528" xr:uid="{00000000-0005-0000-0000-0000CA050000}"/>
    <cellStyle name="20% - Accent3 4 31" xfId="1529" xr:uid="{00000000-0005-0000-0000-0000CB050000}"/>
    <cellStyle name="20% - Accent3 4 32" xfId="1530" xr:uid="{00000000-0005-0000-0000-0000CC050000}"/>
    <cellStyle name="20% - Accent3 4 33" xfId="1531" xr:uid="{00000000-0005-0000-0000-0000CD050000}"/>
    <cellStyle name="20% - Accent3 4 34" xfId="1532" xr:uid="{00000000-0005-0000-0000-0000CE050000}"/>
    <cellStyle name="20% - Accent3 4 35" xfId="1533" xr:uid="{00000000-0005-0000-0000-0000CF050000}"/>
    <cellStyle name="20% - Accent3 4 36" xfId="1534" xr:uid="{00000000-0005-0000-0000-0000D0050000}"/>
    <cellStyle name="20% - Accent3 4 37" xfId="1535" xr:uid="{00000000-0005-0000-0000-0000D1050000}"/>
    <cellStyle name="20% - Accent3 4 38" xfId="1536" xr:uid="{00000000-0005-0000-0000-0000D2050000}"/>
    <cellStyle name="20% - Accent3 4 39" xfId="1537" xr:uid="{00000000-0005-0000-0000-0000D3050000}"/>
    <cellStyle name="20% - Accent3 4 4" xfId="1538" xr:uid="{00000000-0005-0000-0000-0000D4050000}"/>
    <cellStyle name="20% - Accent3 4 4 2" xfId="1539" xr:uid="{00000000-0005-0000-0000-0000D5050000}"/>
    <cellStyle name="20% - Accent3 4 40" xfId="1540" xr:uid="{00000000-0005-0000-0000-0000D6050000}"/>
    <cellStyle name="20% - Accent3 4 41" xfId="1541" xr:uid="{00000000-0005-0000-0000-0000D7050000}"/>
    <cellStyle name="20% - Accent3 4 42" xfId="1542" xr:uid="{00000000-0005-0000-0000-0000D8050000}"/>
    <cellStyle name="20% - Accent3 4 43" xfId="1543" xr:uid="{00000000-0005-0000-0000-0000D9050000}"/>
    <cellStyle name="20% - Accent3 4 44" xfId="1544" xr:uid="{00000000-0005-0000-0000-0000DA050000}"/>
    <cellStyle name="20% - Accent3 4 45" xfId="1545" xr:uid="{00000000-0005-0000-0000-0000DB050000}"/>
    <cellStyle name="20% - Accent3 4 46" xfId="1546" xr:uid="{00000000-0005-0000-0000-0000DC050000}"/>
    <cellStyle name="20% - Accent3 4 47" xfId="1547" xr:uid="{00000000-0005-0000-0000-0000DD050000}"/>
    <cellStyle name="20% - Accent3 4 48" xfId="1548" xr:uid="{00000000-0005-0000-0000-0000DE050000}"/>
    <cellStyle name="20% - Accent3 4 49" xfId="1549" xr:uid="{00000000-0005-0000-0000-0000DF050000}"/>
    <cellStyle name="20% - Accent3 4 5" xfId="1550" xr:uid="{00000000-0005-0000-0000-0000E0050000}"/>
    <cellStyle name="20% - Accent3 4 5 2" xfId="1551" xr:uid="{00000000-0005-0000-0000-0000E1050000}"/>
    <cellStyle name="20% - Accent3 4 50" xfId="1552" xr:uid="{00000000-0005-0000-0000-0000E2050000}"/>
    <cellStyle name="20% - Accent3 4 51" xfId="1553" xr:uid="{00000000-0005-0000-0000-0000E3050000}"/>
    <cellStyle name="20% - Accent3 4 52" xfId="1554" xr:uid="{00000000-0005-0000-0000-0000E4050000}"/>
    <cellStyle name="20% - Accent3 4 53" xfId="1555" xr:uid="{00000000-0005-0000-0000-0000E5050000}"/>
    <cellStyle name="20% - Accent3 4 54" xfId="1556" xr:uid="{00000000-0005-0000-0000-0000E6050000}"/>
    <cellStyle name="20% - Accent3 4 55" xfId="1557" xr:uid="{00000000-0005-0000-0000-0000E7050000}"/>
    <cellStyle name="20% - Accent3 4 56" xfId="1558" xr:uid="{00000000-0005-0000-0000-0000E8050000}"/>
    <cellStyle name="20% - Accent3 4 57" xfId="1559" xr:uid="{00000000-0005-0000-0000-0000E9050000}"/>
    <cellStyle name="20% - Accent3 4 58" xfId="1560" xr:uid="{00000000-0005-0000-0000-0000EA050000}"/>
    <cellStyle name="20% - Accent3 4 59" xfId="1561" xr:uid="{00000000-0005-0000-0000-0000EB050000}"/>
    <cellStyle name="20% - Accent3 4 6" xfId="1562" xr:uid="{00000000-0005-0000-0000-0000EC050000}"/>
    <cellStyle name="20% - Accent3 4 6 2" xfId="1563" xr:uid="{00000000-0005-0000-0000-0000ED050000}"/>
    <cellStyle name="20% - Accent3 4 60" xfId="1564" xr:uid="{00000000-0005-0000-0000-0000EE050000}"/>
    <cellStyle name="20% - Accent3 4 61" xfId="1565" xr:uid="{00000000-0005-0000-0000-0000EF050000}"/>
    <cellStyle name="20% - Accent3 4 62" xfId="1566" xr:uid="{00000000-0005-0000-0000-0000F0050000}"/>
    <cellStyle name="20% - Accent3 4 63" xfId="1567" xr:uid="{00000000-0005-0000-0000-0000F1050000}"/>
    <cellStyle name="20% - Accent3 4 64" xfId="1568" xr:uid="{00000000-0005-0000-0000-0000F2050000}"/>
    <cellStyle name="20% - Accent3 4 65" xfId="1569" xr:uid="{00000000-0005-0000-0000-0000F3050000}"/>
    <cellStyle name="20% - Accent3 4 66" xfId="1570" xr:uid="{00000000-0005-0000-0000-0000F4050000}"/>
    <cellStyle name="20% - Accent3 4 67" xfId="1571" xr:uid="{00000000-0005-0000-0000-0000F5050000}"/>
    <cellStyle name="20% - Accent3 4 68" xfId="1572" xr:uid="{00000000-0005-0000-0000-0000F6050000}"/>
    <cellStyle name="20% - Accent3 4 69" xfId="1573" xr:uid="{00000000-0005-0000-0000-0000F7050000}"/>
    <cellStyle name="20% - Accent3 4 7" xfId="1574" xr:uid="{00000000-0005-0000-0000-0000F8050000}"/>
    <cellStyle name="20% - Accent3 4 7 2" xfId="1575" xr:uid="{00000000-0005-0000-0000-0000F9050000}"/>
    <cellStyle name="20% - Accent3 4 70" xfId="1576" xr:uid="{00000000-0005-0000-0000-0000FA050000}"/>
    <cellStyle name="20% - Accent3 4 71" xfId="1577" xr:uid="{00000000-0005-0000-0000-0000FB050000}"/>
    <cellStyle name="20% - Accent3 4 72" xfId="1578" xr:uid="{00000000-0005-0000-0000-0000FC050000}"/>
    <cellStyle name="20% - Accent3 4 73" xfId="1579" xr:uid="{00000000-0005-0000-0000-0000FD050000}"/>
    <cellStyle name="20% - Accent3 4 74" xfId="1580" xr:uid="{00000000-0005-0000-0000-0000FE050000}"/>
    <cellStyle name="20% - Accent3 4 75" xfId="1581" xr:uid="{00000000-0005-0000-0000-0000FF050000}"/>
    <cellStyle name="20% - Accent3 4 8" xfId="1582" xr:uid="{00000000-0005-0000-0000-000000060000}"/>
    <cellStyle name="20% - Accent3 4 8 2" xfId="1583" xr:uid="{00000000-0005-0000-0000-000001060000}"/>
    <cellStyle name="20% - Accent3 4 9" xfId="1584" xr:uid="{00000000-0005-0000-0000-000002060000}"/>
    <cellStyle name="20% - Accent3 4 9 2" xfId="1585" xr:uid="{00000000-0005-0000-0000-000003060000}"/>
    <cellStyle name="20% - Accent3 40" xfId="1586" xr:uid="{00000000-0005-0000-0000-000004060000}"/>
    <cellStyle name="20% - Accent3 41" xfId="1587" xr:uid="{00000000-0005-0000-0000-000005060000}"/>
    <cellStyle name="20% - Accent3 42" xfId="1588" xr:uid="{00000000-0005-0000-0000-000006060000}"/>
    <cellStyle name="20% - Accent3 43" xfId="1589" xr:uid="{00000000-0005-0000-0000-000007060000}"/>
    <cellStyle name="20% - Accent3 44" xfId="1590" xr:uid="{00000000-0005-0000-0000-000008060000}"/>
    <cellStyle name="20% - Accent3 45" xfId="1591" xr:uid="{00000000-0005-0000-0000-000009060000}"/>
    <cellStyle name="20% - Accent3 46" xfId="1592" xr:uid="{00000000-0005-0000-0000-00000A060000}"/>
    <cellStyle name="20% - Accent3 47" xfId="1593" xr:uid="{00000000-0005-0000-0000-00000B060000}"/>
    <cellStyle name="20% - Accent3 48" xfId="1594" xr:uid="{00000000-0005-0000-0000-00000C060000}"/>
    <cellStyle name="20% - Accent3 49" xfId="1595" xr:uid="{00000000-0005-0000-0000-00000D060000}"/>
    <cellStyle name="20% - Accent3 5" xfId="1596" xr:uid="{00000000-0005-0000-0000-00000E060000}"/>
    <cellStyle name="20% - Accent3 5 10" xfId="1597" xr:uid="{00000000-0005-0000-0000-00000F060000}"/>
    <cellStyle name="20% - Accent3 5 11" xfId="1598" xr:uid="{00000000-0005-0000-0000-000010060000}"/>
    <cellStyle name="20% - Accent3 5 12" xfId="1599" xr:uid="{00000000-0005-0000-0000-000011060000}"/>
    <cellStyle name="20% - Accent3 5 13" xfId="1600" xr:uid="{00000000-0005-0000-0000-000012060000}"/>
    <cellStyle name="20% - Accent3 5 14" xfId="1601" xr:uid="{00000000-0005-0000-0000-000013060000}"/>
    <cellStyle name="20% - Accent3 5 15" xfId="1602" xr:uid="{00000000-0005-0000-0000-000014060000}"/>
    <cellStyle name="20% - Accent3 5 16" xfId="1603" xr:uid="{00000000-0005-0000-0000-000015060000}"/>
    <cellStyle name="20% - Accent3 5 17" xfId="1604" xr:uid="{00000000-0005-0000-0000-000016060000}"/>
    <cellStyle name="20% - Accent3 5 18" xfId="1605" xr:uid="{00000000-0005-0000-0000-000017060000}"/>
    <cellStyle name="20% - Accent3 5 19" xfId="1606" xr:uid="{00000000-0005-0000-0000-000018060000}"/>
    <cellStyle name="20% - Accent3 5 2" xfId="1607" xr:uid="{00000000-0005-0000-0000-000019060000}"/>
    <cellStyle name="20% - Accent3 5 2 2" xfId="1608" xr:uid="{00000000-0005-0000-0000-00001A060000}"/>
    <cellStyle name="20% - Accent3 5 20" xfId="1609" xr:uid="{00000000-0005-0000-0000-00001B060000}"/>
    <cellStyle name="20% - Accent3 5 21" xfId="1610" xr:uid="{00000000-0005-0000-0000-00001C060000}"/>
    <cellStyle name="20% - Accent3 5 22" xfId="1611" xr:uid="{00000000-0005-0000-0000-00001D060000}"/>
    <cellStyle name="20% - Accent3 5 23" xfId="1612" xr:uid="{00000000-0005-0000-0000-00001E060000}"/>
    <cellStyle name="20% - Accent3 5 24" xfId="1613" xr:uid="{00000000-0005-0000-0000-00001F060000}"/>
    <cellStyle name="20% - Accent3 5 25" xfId="1614" xr:uid="{00000000-0005-0000-0000-000020060000}"/>
    <cellStyle name="20% - Accent3 5 26" xfId="1615" xr:uid="{00000000-0005-0000-0000-000021060000}"/>
    <cellStyle name="20% - Accent3 5 27" xfId="1616" xr:uid="{00000000-0005-0000-0000-000022060000}"/>
    <cellStyle name="20% - Accent3 5 28" xfId="1617" xr:uid="{00000000-0005-0000-0000-000023060000}"/>
    <cellStyle name="20% - Accent3 5 29" xfId="1618" xr:uid="{00000000-0005-0000-0000-000024060000}"/>
    <cellStyle name="20% - Accent3 5 3" xfId="1619" xr:uid="{00000000-0005-0000-0000-000025060000}"/>
    <cellStyle name="20% - Accent3 5 30" xfId="1620" xr:uid="{00000000-0005-0000-0000-000026060000}"/>
    <cellStyle name="20% - Accent3 5 31" xfId="1621" xr:uid="{00000000-0005-0000-0000-000027060000}"/>
    <cellStyle name="20% - Accent3 5 32" xfId="1622" xr:uid="{00000000-0005-0000-0000-000028060000}"/>
    <cellStyle name="20% - Accent3 5 33" xfId="1623" xr:uid="{00000000-0005-0000-0000-000029060000}"/>
    <cellStyle name="20% - Accent3 5 34" xfId="1624" xr:uid="{00000000-0005-0000-0000-00002A060000}"/>
    <cellStyle name="20% - Accent3 5 35" xfId="1625" xr:uid="{00000000-0005-0000-0000-00002B060000}"/>
    <cellStyle name="20% - Accent3 5 36" xfId="1626" xr:uid="{00000000-0005-0000-0000-00002C060000}"/>
    <cellStyle name="20% - Accent3 5 37" xfId="1627" xr:uid="{00000000-0005-0000-0000-00002D060000}"/>
    <cellStyle name="20% - Accent3 5 38" xfId="1628" xr:uid="{00000000-0005-0000-0000-00002E060000}"/>
    <cellStyle name="20% - Accent3 5 39" xfId="1629" xr:uid="{00000000-0005-0000-0000-00002F060000}"/>
    <cellStyle name="20% - Accent3 5 4" xfId="1630" xr:uid="{00000000-0005-0000-0000-000030060000}"/>
    <cellStyle name="20% - Accent3 5 5" xfId="1631" xr:uid="{00000000-0005-0000-0000-000031060000}"/>
    <cellStyle name="20% - Accent3 5 6" xfId="1632" xr:uid="{00000000-0005-0000-0000-000032060000}"/>
    <cellStyle name="20% - Accent3 5 7" xfId="1633" xr:uid="{00000000-0005-0000-0000-000033060000}"/>
    <cellStyle name="20% - Accent3 5 8" xfId="1634" xr:uid="{00000000-0005-0000-0000-000034060000}"/>
    <cellStyle name="20% - Accent3 5 9" xfId="1635" xr:uid="{00000000-0005-0000-0000-000035060000}"/>
    <cellStyle name="20% - Accent3 50" xfId="1636" xr:uid="{00000000-0005-0000-0000-000036060000}"/>
    <cellStyle name="20% - Accent3 51" xfId="1637" xr:uid="{00000000-0005-0000-0000-000037060000}"/>
    <cellStyle name="20% - Accent3 52" xfId="1638" xr:uid="{00000000-0005-0000-0000-000038060000}"/>
    <cellStyle name="20% - Accent3 53" xfId="1639" xr:uid="{00000000-0005-0000-0000-000039060000}"/>
    <cellStyle name="20% - Accent3 54" xfId="1640" xr:uid="{00000000-0005-0000-0000-00003A060000}"/>
    <cellStyle name="20% - Accent3 55" xfId="1641" xr:uid="{00000000-0005-0000-0000-00003B060000}"/>
    <cellStyle name="20% - Accent3 56" xfId="1642" xr:uid="{00000000-0005-0000-0000-00003C060000}"/>
    <cellStyle name="20% - Accent3 57" xfId="1643" xr:uid="{00000000-0005-0000-0000-00003D060000}"/>
    <cellStyle name="20% - Accent3 58" xfId="1644" xr:uid="{00000000-0005-0000-0000-00003E060000}"/>
    <cellStyle name="20% - Accent3 59" xfId="1645" xr:uid="{00000000-0005-0000-0000-00003F060000}"/>
    <cellStyle name="20% - Accent3 6" xfId="1646" xr:uid="{00000000-0005-0000-0000-000040060000}"/>
    <cellStyle name="20% - Accent3 6 10" xfId="1647" xr:uid="{00000000-0005-0000-0000-000041060000}"/>
    <cellStyle name="20% - Accent3 6 11" xfId="1648" xr:uid="{00000000-0005-0000-0000-000042060000}"/>
    <cellStyle name="20% - Accent3 6 12" xfId="1649" xr:uid="{00000000-0005-0000-0000-000043060000}"/>
    <cellStyle name="20% - Accent3 6 13" xfId="1650" xr:uid="{00000000-0005-0000-0000-000044060000}"/>
    <cellStyle name="20% - Accent3 6 14" xfId="1651" xr:uid="{00000000-0005-0000-0000-000045060000}"/>
    <cellStyle name="20% - Accent3 6 15" xfId="1652" xr:uid="{00000000-0005-0000-0000-000046060000}"/>
    <cellStyle name="20% - Accent3 6 16" xfId="1653" xr:uid="{00000000-0005-0000-0000-000047060000}"/>
    <cellStyle name="20% - Accent3 6 17" xfId="1654" xr:uid="{00000000-0005-0000-0000-000048060000}"/>
    <cellStyle name="20% - Accent3 6 18" xfId="1655" xr:uid="{00000000-0005-0000-0000-000049060000}"/>
    <cellStyle name="20% - Accent3 6 19" xfId="1656" xr:uid="{00000000-0005-0000-0000-00004A060000}"/>
    <cellStyle name="20% - Accent3 6 2" xfId="1657" xr:uid="{00000000-0005-0000-0000-00004B060000}"/>
    <cellStyle name="20% - Accent3 6 20" xfId="1658" xr:uid="{00000000-0005-0000-0000-00004C060000}"/>
    <cellStyle name="20% - Accent3 6 21" xfId="1659" xr:uid="{00000000-0005-0000-0000-00004D060000}"/>
    <cellStyle name="20% - Accent3 6 22" xfId="1660" xr:uid="{00000000-0005-0000-0000-00004E060000}"/>
    <cellStyle name="20% - Accent3 6 23" xfId="1661" xr:uid="{00000000-0005-0000-0000-00004F060000}"/>
    <cellStyle name="20% - Accent3 6 24" xfId="1662" xr:uid="{00000000-0005-0000-0000-000050060000}"/>
    <cellStyle name="20% - Accent3 6 25" xfId="1663" xr:uid="{00000000-0005-0000-0000-000051060000}"/>
    <cellStyle name="20% - Accent3 6 26" xfId="1664" xr:uid="{00000000-0005-0000-0000-000052060000}"/>
    <cellStyle name="20% - Accent3 6 27" xfId="1665" xr:uid="{00000000-0005-0000-0000-000053060000}"/>
    <cellStyle name="20% - Accent3 6 28" xfId="1666" xr:uid="{00000000-0005-0000-0000-000054060000}"/>
    <cellStyle name="20% - Accent3 6 29" xfId="1667" xr:uid="{00000000-0005-0000-0000-000055060000}"/>
    <cellStyle name="20% - Accent3 6 3" xfId="1668" xr:uid="{00000000-0005-0000-0000-000056060000}"/>
    <cellStyle name="20% - Accent3 6 30" xfId="1669" xr:uid="{00000000-0005-0000-0000-000057060000}"/>
    <cellStyle name="20% - Accent3 6 31" xfId="1670" xr:uid="{00000000-0005-0000-0000-000058060000}"/>
    <cellStyle name="20% - Accent3 6 32" xfId="1671" xr:uid="{00000000-0005-0000-0000-000059060000}"/>
    <cellStyle name="20% - Accent3 6 33" xfId="1672" xr:uid="{00000000-0005-0000-0000-00005A060000}"/>
    <cellStyle name="20% - Accent3 6 34" xfId="1673" xr:uid="{00000000-0005-0000-0000-00005B060000}"/>
    <cellStyle name="20% - Accent3 6 35" xfId="1674" xr:uid="{00000000-0005-0000-0000-00005C060000}"/>
    <cellStyle name="20% - Accent3 6 36" xfId="1675" xr:uid="{00000000-0005-0000-0000-00005D060000}"/>
    <cellStyle name="20% - Accent3 6 37" xfId="1676" xr:uid="{00000000-0005-0000-0000-00005E060000}"/>
    <cellStyle name="20% - Accent3 6 38" xfId="1677" xr:uid="{00000000-0005-0000-0000-00005F060000}"/>
    <cellStyle name="20% - Accent3 6 39" xfId="1678" xr:uid="{00000000-0005-0000-0000-000060060000}"/>
    <cellStyle name="20% - Accent3 6 4" xfId="1679" xr:uid="{00000000-0005-0000-0000-000061060000}"/>
    <cellStyle name="20% - Accent3 6 5" xfId="1680" xr:uid="{00000000-0005-0000-0000-000062060000}"/>
    <cellStyle name="20% - Accent3 6 6" xfId="1681" xr:uid="{00000000-0005-0000-0000-000063060000}"/>
    <cellStyle name="20% - Accent3 6 7" xfId="1682" xr:uid="{00000000-0005-0000-0000-000064060000}"/>
    <cellStyle name="20% - Accent3 6 8" xfId="1683" xr:uid="{00000000-0005-0000-0000-000065060000}"/>
    <cellStyle name="20% - Accent3 6 9" xfId="1684" xr:uid="{00000000-0005-0000-0000-000066060000}"/>
    <cellStyle name="20% - Accent3 60" xfId="1685" xr:uid="{00000000-0005-0000-0000-000067060000}"/>
    <cellStyle name="20% - Accent3 61" xfId="1686" xr:uid="{00000000-0005-0000-0000-000068060000}"/>
    <cellStyle name="20% - Accent3 62" xfId="1687" xr:uid="{00000000-0005-0000-0000-000069060000}"/>
    <cellStyle name="20% - Accent3 63" xfId="1688" xr:uid="{00000000-0005-0000-0000-00006A060000}"/>
    <cellStyle name="20% - Accent3 64" xfId="1689" xr:uid="{00000000-0005-0000-0000-00006B060000}"/>
    <cellStyle name="20% - Accent3 65" xfId="1690" xr:uid="{00000000-0005-0000-0000-00006C060000}"/>
    <cellStyle name="20% - Accent3 66" xfId="1691" xr:uid="{00000000-0005-0000-0000-00006D060000}"/>
    <cellStyle name="20% - Accent3 67" xfId="1692" xr:uid="{00000000-0005-0000-0000-00006E060000}"/>
    <cellStyle name="20% - Accent3 68" xfId="1693" xr:uid="{00000000-0005-0000-0000-00006F060000}"/>
    <cellStyle name="20% - Accent3 69" xfId="1694" xr:uid="{00000000-0005-0000-0000-000070060000}"/>
    <cellStyle name="20% - Accent3 7" xfId="1695" xr:uid="{00000000-0005-0000-0000-000071060000}"/>
    <cellStyle name="20% - Accent3 7 10" xfId="1696" xr:uid="{00000000-0005-0000-0000-000072060000}"/>
    <cellStyle name="20% - Accent3 7 11" xfId="1697" xr:uid="{00000000-0005-0000-0000-000073060000}"/>
    <cellStyle name="20% - Accent3 7 12" xfId="1698" xr:uid="{00000000-0005-0000-0000-000074060000}"/>
    <cellStyle name="20% - Accent3 7 13" xfId="1699" xr:uid="{00000000-0005-0000-0000-000075060000}"/>
    <cellStyle name="20% - Accent3 7 14" xfId="1700" xr:uid="{00000000-0005-0000-0000-000076060000}"/>
    <cellStyle name="20% - Accent3 7 15" xfId="1701" xr:uid="{00000000-0005-0000-0000-000077060000}"/>
    <cellStyle name="20% - Accent3 7 16" xfId="1702" xr:uid="{00000000-0005-0000-0000-000078060000}"/>
    <cellStyle name="20% - Accent3 7 17" xfId="1703" xr:uid="{00000000-0005-0000-0000-000079060000}"/>
    <cellStyle name="20% - Accent3 7 18" xfId="1704" xr:uid="{00000000-0005-0000-0000-00007A060000}"/>
    <cellStyle name="20% - Accent3 7 19" xfId="1705" xr:uid="{00000000-0005-0000-0000-00007B060000}"/>
    <cellStyle name="20% - Accent3 7 2" xfId="1706" xr:uid="{00000000-0005-0000-0000-00007C060000}"/>
    <cellStyle name="20% - Accent3 7 20" xfId="1707" xr:uid="{00000000-0005-0000-0000-00007D060000}"/>
    <cellStyle name="20% - Accent3 7 21" xfId="1708" xr:uid="{00000000-0005-0000-0000-00007E060000}"/>
    <cellStyle name="20% - Accent3 7 22" xfId="1709" xr:uid="{00000000-0005-0000-0000-00007F060000}"/>
    <cellStyle name="20% - Accent3 7 23" xfId="1710" xr:uid="{00000000-0005-0000-0000-000080060000}"/>
    <cellStyle name="20% - Accent3 7 24" xfId="1711" xr:uid="{00000000-0005-0000-0000-000081060000}"/>
    <cellStyle name="20% - Accent3 7 25" xfId="1712" xr:uid="{00000000-0005-0000-0000-000082060000}"/>
    <cellStyle name="20% - Accent3 7 26" xfId="1713" xr:uid="{00000000-0005-0000-0000-000083060000}"/>
    <cellStyle name="20% - Accent3 7 27" xfId="1714" xr:uid="{00000000-0005-0000-0000-000084060000}"/>
    <cellStyle name="20% - Accent3 7 28" xfId="1715" xr:uid="{00000000-0005-0000-0000-000085060000}"/>
    <cellStyle name="20% - Accent3 7 29" xfId="1716" xr:uid="{00000000-0005-0000-0000-000086060000}"/>
    <cellStyle name="20% - Accent3 7 3" xfId="1717" xr:uid="{00000000-0005-0000-0000-000087060000}"/>
    <cellStyle name="20% - Accent3 7 30" xfId="1718" xr:uid="{00000000-0005-0000-0000-000088060000}"/>
    <cellStyle name="20% - Accent3 7 31" xfId="1719" xr:uid="{00000000-0005-0000-0000-000089060000}"/>
    <cellStyle name="20% - Accent3 7 32" xfId="1720" xr:uid="{00000000-0005-0000-0000-00008A060000}"/>
    <cellStyle name="20% - Accent3 7 33" xfId="1721" xr:uid="{00000000-0005-0000-0000-00008B060000}"/>
    <cellStyle name="20% - Accent3 7 34" xfId="1722" xr:uid="{00000000-0005-0000-0000-00008C060000}"/>
    <cellStyle name="20% - Accent3 7 35" xfId="1723" xr:uid="{00000000-0005-0000-0000-00008D060000}"/>
    <cellStyle name="20% - Accent3 7 36" xfId="1724" xr:uid="{00000000-0005-0000-0000-00008E060000}"/>
    <cellStyle name="20% - Accent3 7 37" xfId="1725" xr:uid="{00000000-0005-0000-0000-00008F060000}"/>
    <cellStyle name="20% - Accent3 7 38" xfId="1726" xr:uid="{00000000-0005-0000-0000-000090060000}"/>
    <cellStyle name="20% - Accent3 7 39" xfId="1727" xr:uid="{00000000-0005-0000-0000-000091060000}"/>
    <cellStyle name="20% - Accent3 7 4" xfId="1728" xr:uid="{00000000-0005-0000-0000-000092060000}"/>
    <cellStyle name="20% - Accent3 7 5" xfId="1729" xr:uid="{00000000-0005-0000-0000-000093060000}"/>
    <cellStyle name="20% - Accent3 7 6" xfId="1730" xr:uid="{00000000-0005-0000-0000-000094060000}"/>
    <cellStyle name="20% - Accent3 7 7" xfId="1731" xr:uid="{00000000-0005-0000-0000-000095060000}"/>
    <cellStyle name="20% - Accent3 7 8" xfId="1732" xr:uid="{00000000-0005-0000-0000-000096060000}"/>
    <cellStyle name="20% - Accent3 7 9" xfId="1733" xr:uid="{00000000-0005-0000-0000-000097060000}"/>
    <cellStyle name="20% - Accent3 70" xfId="1734" xr:uid="{00000000-0005-0000-0000-000098060000}"/>
    <cellStyle name="20% - Accent3 71" xfId="1735" xr:uid="{00000000-0005-0000-0000-000099060000}"/>
    <cellStyle name="20% - Accent3 72" xfId="1736" xr:uid="{00000000-0005-0000-0000-00009A060000}"/>
    <cellStyle name="20% - Accent3 73" xfId="1737" xr:uid="{00000000-0005-0000-0000-00009B060000}"/>
    <cellStyle name="20% - Accent3 74" xfId="1738" xr:uid="{00000000-0005-0000-0000-00009C060000}"/>
    <cellStyle name="20% - Accent3 75" xfId="1739" xr:uid="{00000000-0005-0000-0000-00009D060000}"/>
    <cellStyle name="20% - Accent3 76" xfId="1740" xr:uid="{00000000-0005-0000-0000-00009E060000}"/>
    <cellStyle name="20% - Accent3 77" xfId="1741" xr:uid="{00000000-0005-0000-0000-00009F060000}"/>
    <cellStyle name="20% - Accent3 78" xfId="1742" xr:uid="{00000000-0005-0000-0000-0000A0060000}"/>
    <cellStyle name="20% - Accent3 79" xfId="1743" xr:uid="{00000000-0005-0000-0000-0000A1060000}"/>
    <cellStyle name="20% - Accent3 8" xfId="1744" xr:uid="{00000000-0005-0000-0000-0000A2060000}"/>
    <cellStyle name="20% - Accent3 8 10" xfId="1745" xr:uid="{00000000-0005-0000-0000-0000A3060000}"/>
    <cellStyle name="20% - Accent3 8 11" xfId="1746" xr:uid="{00000000-0005-0000-0000-0000A4060000}"/>
    <cellStyle name="20% - Accent3 8 12" xfId="1747" xr:uid="{00000000-0005-0000-0000-0000A5060000}"/>
    <cellStyle name="20% - Accent3 8 13" xfId="1748" xr:uid="{00000000-0005-0000-0000-0000A6060000}"/>
    <cellStyle name="20% - Accent3 8 14" xfId="1749" xr:uid="{00000000-0005-0000-0000-0000A7060000}"/>
    <cellStyle name="20% - Accent3 8 15" xfId="1750" xr:uid="{00000000-0005-0000-0000-0000A8060000}"/>
    <cellStyle name="20% - Accent3 8 16" xfId="1751" xr:uid="{00000000-0005-0000-0000-0000A9060000}"/>
    <cellStyle name="20% - Accent3 8 17" xfId="1752" xr:uid="{00000000-0005-0000-0000-0000AA060000}"/>
    <cellStyle name="20% - Accent3 8 18" xfId="1753" xr:uid="{00000000-0005-0000-0000-0000AB060000}"/>
    <cellStyle name="20% - Accent3 8 19" xfId="1754" xr:uid="{00000000-0005-0000-0000-0000AC060000}"/>
    <cellStyle name="20% - Accent3 8 2" xfId="1755" xr:uid="{00000000-0005-0000-0000-0000AD060000}"/>
    <cellStyle name="20% - Accent3 8 20" xfId="1756" xr:uid="{00000000-0005-0000-0000-0000AE060000}"/>
    <cellStyle name="20% - Accent3 8 21" xfId="1757" xr:uid="{00000000-0005-0000-0000-0000AF060000}"/>
    <cellStyle name="20% - Accent3 8 22" xfId="1758" xr:uid="{00000000-0005-0000-0000-0000B0060000}"/>
    <cellStyle name="20% - Accent3 8 23" xfId="1759" xr:uid="{00000000-0005-0000-0000-0000B1060000}"/>
    <cellStyle name="20% - Accent3 8 24" xfId="1760" xr:uid="{00000000-0005-0000-0000-0000B2060000}"/>
    <cellStyle name="20% - Accent3 8 25" xfId="1761" xr:uid="{00000000-0005-0000-0000-0000B3060000}"/>
    <cellStyle name="20% - Accent3 8 26" xfId="1762" xr:uid="{00000000-0005-0000-0000-0000B4060000}"/>
    <cellStyle name="20% - Accent3 8 27" xfId="1763" xr:uid="{00000000-0005-0000-0000-0000B5060000}"/>
    <cellStyle name="20% - Accent3 8 28" xfId="1764" xr:uid="{00000000-0005-0000-0000-0000B6060000}"/>
    <cellStyle name="20% - Accent3 8 29" xfId="1765" xr:uid="{00000000-0005-0000-0000-0000B7060000}"/>
    <cellStyle name="20% - Accent3 8 3" xfId="1766" xr:uid="{00000000-0005-0000-0000-0000B8060000}"/>
    <cellStyle name="20% - Accent3 8 30" xfId="1767" xr:uid="{00000000-0005-0000-0000-0000B9060000}"/>
    <cellStyle name="20% - Accent3 8 31" xfId="1768" xr:uid="{00000000-0005-0000-0000-0000BA060000}"/>
    <cellStyle name="20% - Accent3 8 32" xfId="1769" xr:uid="{00000000-0005-0000-0000-0000BB060000}"/>
    <cellStyle name="20% - Accent3 8 33" xfId="1770" xr:uid="{00000000-0005-0000-0000-0000BC060000}"/>
    <cellStyle name="20% - Accent3 8 34" xfId="1771" xr:uid="{00000000-0005-0000-0000-0000BD060000}"/>
    <cellStyle name="20% - Accent3 8 35" xfId="1772" xr:uid="{00000000-0005-0000-0000-0000BE060000}"/>
    <cellStyle name="20% - Accent3 8 36" xfId="1773" xr:uid="{00000000-0005-0000-0000-0000BF060000}"/>
    <cellStyle name="20% - Accent3 8 37" xfId="1774" xr:uid="{00000000-0005-0000-0000-0000C0060000}"/>
    <cellStyle name="20% - Accent3 8 38" xfId="1775" xr:uid="{00000000-0005-0000-0000-0000C1060000}"/>
    <cellStyle name="20% - Accent3 8 39" xfId="1776" xr:uid="{00000000-0005-0000-0000-0000C2060000}"/>
    <cellStyle name="20% - Accent3 8 4" xfId="1777" xr:uid="{00000000-0005-0000-0000-0000C3060000}"/>
    <cellStyle name="20% - Accent3 8 5" xfId="1778" xr:uid="{00000000-0005-0000-0000-0000C4060000}"/>
    <cellStyle name="20% - Accent3 8 6" xfId="1779" xr:uid="{00000000-0005-0000-0000-0000C5060000}"/>
    <cellStyle name="20% - Accent3 8 7" xfId="1780" xr:uid="{00000000-0005-0000-0000-0000C6060000}"/>
    <cellStyle name="20% - Accent3 8 8" xfId="1781" xr:uid="{00000000-0005-0000-0000-0000C7060000}"/>
    <cellStyle name="20% - Accent3 8 9" xfId="1782" xr:uid="{00000000-0005-0000-0000-0000C8060000}"/>
    <cellStyle name="20% - Accent3 9" xfId="1783" xr:uid="{00000000-0005-0000-0000-0000C9060000}"/>
    <cellStyle name="20% - Accent3 9 10" xfId="1784" xr:uid="{00000000-0005-0000-0000-0000CA060000}"/>
    <cellStyle name="20% - Accent3 9 11" xfId="1785" xr:uid="{00000000-0005-0000-0000-0000CB060000}"/>
    <cellStyle name="20% - Accent3 9 12" xfId="1786" xr:uid="{00000000-0005-0000-0000-0000CC060000}"/>
    <cellStyle name="20% - Accent3 9 13" xfId="1787" xr:uid="{00000000-0005-0000-0000-0000CD060000}"/>
    <cellStyle name="20% - Accent3 9 14" xfId="1788" xr:uid="{00000000-0005-0000-0000-0000CE060000}"/>
    <cellStyle name="20% - Accent3 9 15" xfId="1789" xr:uid="{00000000-0005-0000-0000-0000CF060000}"/>
    <cellStyle name="20% - Accent3 9 16" xfId="1790" xr:uid="{00000000-0005-0000-0000-0000D0060000}"/>
    <cellStyle name="20% - Accent3 9 17" xfId="1791" xr:uid="{00000000-0005-0000-0000-0000D1060000}"/>
    <cellStyle name="20% - Accent3 9 18" xfId="1792" xr:uid="{00000000-0005-0000-0000-0000D2060000}"/>
    <cellStyle name="20% - Accent3 9 19" xfId="1793" xr:uid="{00000000-0005-0000-0000-0000D3060000}"/>
    <cellStyle name="20% - Accent3 9 2" xfId="1794" xr:uid="{00000000-0005-0000-0000-0000D4060000}"/>
    <cellStyle name="20% - Accent3 9 20" xfId="1795" xr:uid="{00000000-0005-0000-0000-0000D5060000}"/>
    <cellStyle name="20% - Accent3 9 21" xfId="1796" xr:uid="{00000000-0005-0000-0000-0000D6060000}"/>
    <cellStyle name="20% - Accent3 9 22" xfId="1797" xr:uid="{00000000-0005-0000-0000-0000D7060000}"/>
    <cellStyle name="20% - Accent3 9 23" xfId="1798" xr:uid="{00000000-0005-0000-0000-0000D8060000}"/>
    <cellStyle name="20% - Accent3 9 24" xfId="1799" xr:uid="{00000000-0005-0000-0000-0000D9060000}"/>
    <cellStyle name="20% - Accent3 9 25" xfId="1800" xr:uid="{00000000-0005-0000-0000-0000DA060000}"/>
    <cellStyle name="20% - Accent3 9 26" xfId="1801" xr:uid="{00000000-0005-0000-0000-0000DB060000}"/>
    <cellStyle name="20% - Accent3 9 27" xfId="1802" xr:uid="{00000000-0005-0000-0000-0000DC060000}"/>
    <cellStyle name="20% - Accent3 9 28" xfId="1803" xr:uid="{00000000-0005-0000-0000-0000DD060000}"/>
    <cellStyle name="20% - Accent3 9 29" xfId="1804" xr:uid="{00000000-0005-0000-0000-0000DE060000}"/>
    <cellStyle name="20% - Accent3 9 3" xfId="1805" xr:uid="{00000000-0005-0000-0000-0000DF060000}"/>
    <cellStyle name="20% - Accent3 9 30" xfId="1806" xr:uid="{00000000-0005-0000-0000-0000E0060000}"/>
    <cellStyle name="20% - Accent3 9 31" xfId="1807" xr:uid="{00000000-0005-0000-0000-0000E1060000}"/>
    <cellStyle name="20% - Accent3 9 32" xfId="1808" xr:uid="{00000000-0005-0000-0000-0000E2060000}"/>
    <cellStyle name="20% - Accent3 9 33" xfId="1809" xr:uid="{00000000-0005-0000-0000-0000E3060000}"/>
    <cellStyle name="20% - Accent3 9 34" xfId="1810" xr:uid="{00000000-0005-0000-0000-0000E4060000}"/>
    <cellStyle name="20% - Accent3 9 35" xfId="1811" xr:uid="{00000000-0005-0000-0000-0000E5060000}"/>
    <cellStyle name="20% - Accent3 9 36" xfId="1812" xr:uid="{00000000-0005-0000-0000-0000E6060000}"/>
    <cellStyle name="20% - Accent3 9 37" xfId="1813" xr:uid="{00000000-0005-0000-0000-0000E7060000}"/>
    <cellStyle name="20% - Accent3 9 38" xfId="1814" xr:uid="{00000000-0005-0000-0000-0000E8060000}"/>
    <cellStyle name="20% - Accent3 9 39" xfId="1815" xr:uid="{00000000-0005-0000-0000-0000E9060000}"/>
    <cellStyle name="20% - Accent3 9 4" xfId="1816" xr:uid="{00000000-0005-0000-0000-0000EA060000}"/>
    <cellStyle name="20% - Accent3 9 5" xfId="1817" xr:uid="{00000000-0005-0000-0000-0000EB060000}"/>
    <cellStyle name="20% - Accent3 9 6" xfId="1818" xr:uid="{00000000-0005-0000-0000-0000EC060000}"/>
    <cellStyle name="20% - Accent3 9 7" xfId="1819" xr:uid="{00000000-0005-0000-0000-0000ED060000}"/>
    <cellStyle name="20% - Accent3 9 8" xfId="1820" xr:uid="{00000000-0005-0000-0000-0000EE060000}"/>
    <cellStyle name="20% - Accent3 9 9" xfId="1821" xr:uid="{00000000-0005-0000-0000-0000EF060000}"/>
    <cellStyle name="20% - Accent4" xfId="32" builtinId="42" customBuiltin="1"/>
    <cellStyle name="20% - Accent4 10" xfId="1822" xr:uid="{00000000-0005-0000-0000-0000F1060000}"/>
    <cellStyle name="20% - Accent4 10 10" xfId="1823" xr:uid="{00000000-0005-0000-0000-0000F2060000}"/>
    <cellStyle name="20% - Accent4 10 11" xfId="1824" xr:uid="{00000000-0005-0000-0000-0000F3060000}"/>
    <cellStyle name="20% - Accent4 10 12" xfId="1825" xr:uid="{00000000-0005-0000-0000-0000F4060000}"/>
    <cellStyle name="20% - Accent4 10 13" xfId="1826" xr:uid="{00000000-0005-0000-0000-0000F5060000}"/>
    <cellStyle name="20% - Accent4 10 14" xfId="1827" xr:uid="{00000000-0005-0000-0000-0000F6060000}"/>
    <cellStyle name="20% - Accent4 10 15" xfId="1828" xr:uid="{00000000-0005-0000-0000-0000F7060000}"/>
    <cellStyle name="20% - Accent4 10 16" xfId="1829" xr:uid="{00000000-0005-0000-0000-0000F8060000}"/>
    <cellStyle name="20% - Accent4 10 17" xfId="1830" xr:uid="{00000000-0005-0000-0000-0000F9060000}"/>
    <cellStyle name="20% - Accent4 10 18" xfId="1831" xr:uid="{00000000-0005-0000-0000-0000FA060000}"/>
    <cellStyle name="20% - Accent4 10 19" xfId="1832" xr:uid="{00000000-0005-0000-0000-0000FB060000}"/>
    <cellStyle name="20% - Accent4 10 2" xfId="1833" xr:uid="{00000000-0005-0000-0000-0000FC060000}"/>
    <cellStyle name="20% - Accent4 10 20" xfId="1834" xr:uid="{00000000-0005-0000-0000-0000FD060000}"/>
    <cellStyle name="20% - Accent4 10 21" xfId="1835" xr:uid="{00000000-0005-0000-0000-0000FE060000}"/>
    <cellStyle name="20% - Accent4 10 22" xfId="1836" xr:uid="{00000000-0005-0000-0000-0000FF060000}"/>
    <cellStyle name="20% - Accent4 10 23" xfId="1837" xr:uid="{00000000-0005-0000-0000-000000070000}"/>
    <cellStyle name="20% - Accent4 10 24" xfId="1838" xr:uid="{00000000-0005-0000-0000-000001070000}"/>
    <cellStyle name="20% - Accent4 10 25" xfId="1839" xr:uid="{00000000-0005-0000-0000-000002070000}"/>
    <cellStyle name="20% - Accent4 10 26" xfId="1840" xr:uid="{00000000-0005-0000-0000-000003070000}"/>
    <cellStyle name="20% - Accent4 10 27" xfId="1841" xr:uid="{00000000-0005-0000-0000-000004070000}"/>
    <cellStyle name="20% - Accent4 10 28" xfId="1842" xr:uid="{00000000-0005-0000-0000-000005070000}"/>
    <cellStyle name="20% - Accent4 10 29" xfId="1843" xr:uid="{00000000-0005-0000-0000-000006070000}"/>
    <cellStyle name="20% - Accent4 10 3" xfId="1844" xr:uid="{00000000-0005-0000-0000-000007070000}"/>
    <cellStyle name="20% - Accent4 10 30" xfId="1845" xr:uid="{00000000-0005-0000-0000-000008070000}"/>
    <cellStyle name="20% - Accent4 10 31" xfId="1846" xr:uid="{00000000-0005-0000-0000-000009070000}"/>
    <cellStyle name="20% - Accent4 10 32" xfId="1847" xr:uid="{00000000-0005-0000-0000-00000A070000}"/>
    <cellStyle name="20% - Accent4 10 33" xfId="1848" xr:uid="{00000000-0005-0000-0000-00000B070000}"/>
    <cellStyle name="20% - Accent4 10 34" xfId="1849" xr:uid="{00000000-0005-0000-0000-00000C070000}"/>
    <cellStyle name="20% - Accent4 10 35" xfId="1850" xr:uid="{00000000-0005-0000-0000-00000D070000}"/>
    <cellStyle name="20% - Accent4 10 36" xfId="1851" xr:uid="{00000000-0005-0000-0000-00000E070000}"/>
    <cellStyle name="20% - Accent4 10 37" xfId="1852" xr:uid="{00000000-0005-0000-0000-00000F070000}"/>
    <cellStyle name="20% - Accent4 10 38" xfId="1853" xr:uid="{00000000-0005-0000-0000-000010070000}"/>
    <cellStyle name="20% - Accent4 10 39" xfId="1854" xr:uid="{00000000-0005-0000-0000-000011070000}"/>
    <cellStyle name="20% - Accent4 10 4" xfId="1855" xr:uid="{00000000-0005-0000-0000-000012070000}"/>
    <cellStyle name="20% - Accent4 10 5" xfId="1856" xr:uid="{00000000-0005-0000-0000-000013070000}"/>
    <cellStyle name="20% - Accent4 10 6" xfId="1857" xr:uid="{00000000-0005-0000-0000-000014070000}"/>
    <cellStyle name="20% - Accent4 10 7" xfId="1858" xr:uid="{00000000-0005-0000-0000-000015070000}"/>
    <cellStyle name="20% - Accent4 10 8" xfId="1859" xr:uid="{00000000-0005-0000-0000-000016070000}"/>
    <cellStyle name="20% - Accent4 10 9" xfId="1860" xr:uid="{00000000-0005-0000-0000-000017070000}"/>
    <cellStyle name="20% - Accent4 11" xfId="1861" xr:uid="{00000000-0005-0000-0000-000018070000}"/>
    <cellStyle name="20% - Accent4 11 10" xfId="1862" xr:uid="{00000000-0005-0000-0000-000019070000}"/>
    <cellStyle name="20% - Accent4 11 11" xfId="1863" xr:uid="{00000000-0005-0000-0000-00001A070000}"/>
    <cellStyle name="20% - Accent4 11 12" xfId="1864" xr:uid="{00000000-0005-0000-0000-00001B070000}"/>
    <cellStyle name="20% - Accent4 11 13" xfId="1865" xr:uid="{00000000-0005-0000-0000-00001C070000}"/>
    <cellStyle name="20% - Accent4 11 14" xfId="1866" xr:uid="{00000000-0005-0000-0000-00001D070000}"/>
    <cellStyle name="20% - Accent4 11 15" xfId="1867" xr:uid="{00000000-0005-0000-0000-00001E070000}"/>
    <cellStyle name="20% - Accent4 11 16" xfId="1868" xr:uid="{00000000-0005-0000-0000-00001F070000}"/>
    <cellStyle name="20% - Accent4 11 17" xfId="1869" xr:uid="{00000000-0005-0000-0000-000020070000}"/>
    <cellStyle name="20% - Accent4 11 18" xfId="1870" xr:uid="{00000000-0005-0000-0000-000021070000}"/>
    <cellStyle name="20% - Accent4 11 19" xfId="1871" xr:uid="{00000000-0005-0000-0000-000022070000}"/>
    <cellStyle name="20% - Accent4 11 2" xfId="1872" xr:uid="{00000000-0005-0000-0000-000023070000}"/>
    <cellStyle name="20% - Accent4 11 20" xfId="1873" xr:uid="{00000000-0005-0000-0000-000024070000}"/>
    <cellStyle name="20% - Accent4 11 21" xfId="1874" xr:uid="{00000000-0005-0000-0000-000025070000}"/>
    <cellStyle name="20% - Accent4 11 22" xfId="1875" xr:uid="{00000000-0005-0000-0000-000026070000}"/>
    <cellStyle name="20% - Accent4 11 23" xfId="1876" xr:uid="{00000000-0005-0000-0000-000027070000}"/>
    <cellStyle name="20% - Accent4 11 24" xfId="1877" xr:uid="{00000000-0005-0000-0000-000028070000}"/>
    <cellStyle name="20% - Accent4 11 25" xfId="1878" xr:uid="{00000000-0005-0000-0000-000029070000}"/>
    <cellStyle name="20% - Accent4 11 26" xfId="1879" xr:uid="{00000000-0005-0000-0000-00002A070000}"/>
    <cellStyle name="20% - Accent4 11 27" xfId="1880" xr:uid="{00000000-0005-0000-0000-00002B070000}"/>
    <cellStyle name="20% - Accent4 11 28" xfId="1881" xr:uid="{00000000-0005-0000-0000-00002C070000}"/>
    <cellStyle name="20% - Accent4 11 29" xfId="1882" xr:uid="{00000000-0005-0000-0000-00002D070000}"/>
    <cellStyle name="20% - Accent4 11 3" xfId="1883" xr:uid="{00000000-0005-0000-0000-00002E070000}"/>
    <cellStyle name="20% - Accent4 11 30" xfId="1884" xr:uid="{00000000-0005-0000-0000-00002F070000}"/>
    <cellStyle name="20% - Accent4 11 31" xfId="1885" xr:uid="{00000000-0005-0000-0000-000030070000}"/>
    <cellStyle name="20% - Accent4 11 32" xfId="1886" xr:uid="{00000000-0005-0000-0000-000031070000}"/>
    <cellStyle name="20% - Accent4 11 33" xfId="1887" xr:uid="{00000000-0005-0000-0000-000032070000}"/>
    <cellStyle name="20% - Accent4 11 34" xfId="1888" xr:uid="{00000000-0005-0000-0000-000033070000}"/>
    <cellStyle name="20% - Accent4 11 35" xfId="1889" xr:uid="{00000000-0005-0000-0000-000034070000}"/>
    <cellStyle name="20% - Accent4 11 36" xfId="1890" xr:uid="{00000000-0005-0000-0000-000035070000}"/>
    <cellStyle name="20% - Accent4 11 37" xfId="1891" xr:uid="{00000000-0005-0000-0000-000036070000}"/>
    <cellStyle name="20% - Accent4 11 38" xfId="1892" xr:uid="{00000000-0005-0000-0000-000037070000}"/>
    <cellStyle name="20% - Accent4 11 39" xfId="1893" xr:uid="{00000000-0005-0000-0000-000038070000}"/>
    <cellStyle name="20% - Accent4 11 4" xfId="1894" xr:uid="{00000000-0005-0000-0000-000039070000}"/>
    <cellStyle name="20% - Accent4 11 5" xfId="1895" xr:uid="{00000000-0005-0000-0000-00003A070000}"/>
    <cellStyle name="20% - Accent4 11 6" xfId="1896" xr:uid="{00000000-0005-0000-0000-00003B070000}"/>
    <cellStyle name="20% - Accent4 11 7" xfId="1897" xr:uid="{00000000-0005-0000-0000-00003C070000}"/>
    <cellStyle name="20% - Accent4 11 8" xfId="1898" xr:uid="{00000000-0005-0000-0000-00003D070000}"/>
    <cellStyle name="20% - Accent4 11 9" xfId="1899" xr:uid="{00000000-0005-0000-0000-00003E070000}"/>
    <cellStyle name="20% - Accent4 12" xfId="1900" xr:uid="{00000000-0005-0000-0000-00003F070000}"/>
    <cellStyle name="20% - Accent4 13" xfId="1901" xr:uid="{00000000-0005-0000-0000-000040070000}"/>
    <cellStyle name="20% - Accent4 14" xfId="1902" xr:uid="{00000000-0005-0000-0000-000041070000}"/>
    <cellStyle name="20% - Accent4 15" xfId="1903" xr:uid="{00000000-0005-0000-0000-000042070000}"/>
    <cellStyle name="20% - Accent4 16" xfId="1904" xr:uid="{00000000-0005-0000-0000-000043070000}"/>
    <cellStyle name="20% - Accent4 17" xfId="1905" xr:uid="{00000000-0005-0000-0000-000044070000}"/>
    <cellStyle name="20% - Accent4 18" xfId="1906" xr:uid="{00000000-0005-0000-0000-000045070000}"/>
    <cellStyle name="20% - Accent4 19" xfId="1907" xr:uid="{00000000-0005-0000-0000-000046070000}"/>
    <cellStyle name="20% - Accent4 2" xfId="1908" xr:uid="{00000000-0005-0000-0000-000047070000}"/>
    <cellStyle name="20% - Accent4 2 10" xfId="1909" xr:uid="{00000000-0005-0000-0000-000048070000}"/>
    <cellStyle name="20% - Accent4 2 11" xfId="1910" xr:uid="{00000000-0005-0000-0000-000049070000}"/>
    <cellStyle name="20% - Accent4 2 12" xfId="1911" xr:uid="{00000000-0005-0000-0000-00004A070000}"/>
    <cellStyle name="20% - Accent4 2 13" xfId="1912" xr:uid="{00000000-0005-0000-0000-00004B070000}"/>
    <cellStyle name="20% - Accent4 2 14" xfId="1913" xr:uid="{00000000-0005-0000-0000-00004C070000}"/>
    <cellStyle name="20% - Accent4 2 15" xfId="1914" xr:uid="{00000000-0005-0000-0000-00004D070000}"/>
    <cellStyle name="20% - Accent4 2 16" xfId="1915" xr:uid="{00000000-0005-0000-0000-00004E070000}"/>
    <cellStyle name="20% - Accent4 2 17" xfId="1916" xr:uid="{00000000-0005-0000-0000-00004F070000}"/>
    <cellStyle name="20% - Accent4 2 18" xfId="1917" xr:uid="{00000000-0005-0000-0000-000050070000}"/>
    <cellStyle name="20% - Accent4 2 19" xfId="1918" xr:uid="{00000000-0005-0000-0000-000051070000}"/>
    <cellStyle name="20% - Accent4 2 2" xfId="1919" xr:uid="{00000000-0005-0000-0000-000052070000}"/>
    <cellStyle name="20% - Accent4 2 2 2" xfId="1920" xr:uid="{00000000-0005-0000-0000-000053070000}"/>
    <cellStyle name="20% - Accent4 2 20" xfId="1921" xr:uid="{00000000-0005-0000-0000-000054070000}"/>
    <cellStyle name="20% - Accent4 2 21" xfId="1922" xr:uid="{00000000-0005-0000-0000-000055070000}"/>
    <cellStyle name="20% - Accent4 2 22" xfId="1923" xr:uid="{00000000-0005-0000-0000-000056070000}"/>
    <cellStyle name="20% - Accent4 2 23" xfId="1924" xr:uid="{00000000-0005-0000-0000-000057070000}"/>
    <cellStyle name="20% - Accent4 2 24" xfId="1925" xr:uid="{00000000-0005-0000-0000-000058070000}"/>
    <cellStyle name="20% - Accent4 2 25" xfId="1926" xr:uid="{00000000-0005-0000-0000-000059070000}"/>
    <cellStyle name="20% - Accent4 2 26" xfId="1927" xr:uid="{00000000-0005-0000-0000-00005A070000}"/>
    <cellStyle name="20% - Accent4 2 27" xfId="1928" xr:uid="{00000000-0005-0000-0000-00005B070000}"/>
    <cellStyle name="20% - Accent4 2 28" xfId="1929" xr:uid="{00000000-0005-0000-0000-00005C070000}"/>
    <cellStyle name="20% - Accent4 2 29" xfId="1930" xr:uid="{00000000-0005-0000-0000-00005D070000}"/>
    <cellStyle name="20% - Accent4 2 3" xfId="1931" xr:uid="{00000000-0005-0000-0000-00005E070000}"/>
    <cellStyle name="20% - Accent4 2 3 2" xfId="1932" xr:uid="{00000000-0005-0000-0000-00005F070000}"/>
    <cellStyle name="20% - Accent4 2 30" xfId="1933" xr:uid="{00000000-0005-0000-0000-000060070000}"/>
    <cellStyle name="20% - Accent4 2 31" xfId="1934" xr:uid="{00000000-0005-0000-0000-000061070000}"/>
    <cellStyle name="20% - Accent4 2 32" xfId="1935" xr:uid="{00000000-0005-0000-0000-000062070000}"/>
    <cellStyle name="20% - Accent4 2 33" xfId="1936" xr:uid="{00000000-0005-0000-0000-000063070000}"/>
    <cellStyle name="20% - Accent4 2 34" xfId="1937" xr:uid="{00000000-0005-0000-0000-000064070000}"/>
    <cellStyle name="20% - Accent4 2 35" xfId="1938" xr:uid="{00000000-0005-0000-0000-000065070000}"/>
    <cellStyle name="20% - Accent4 2 36" xfId="1939" xr:uid="{00000000-0005-0000-0000-000066070000}"/>
    <cellStyle name="20% - Accent4 2 37" xfId="1940" xr:uid="{00000000-0005-0000-0000-000067070000}"/>
    <cellStyle name="20% - Accent4 2 38" xfId="1941" xr:uid="{00000000-0005-0000-0000-000068070000}"/>
    <cellStyle name="20% - Accent4 2 39" xfId="1942" xr:uid="{00000000-0005-0000-0000-000069070000}"/>
    <cellStyle name="20% - Accent4 2 4" xfId="1943" xr:uid="{00000000-0005-0000-0000-00006A070000}"/>
    <cellStyle name="20% - Accent4 2 4 2" xfId="1944" xr:uid="{00000000-0005-0000-0000-00006B070000}"/>
    <cellStyle name="20% - Accent4 2 40" xfId="1945" xr:uid="{00000000-0005-0000-0000-00006C070000}"/>
    <cellStyle name="20% - Accent4 2 41" xfId="1946" xr:uid="{00000000-0005-0000-0000-00006D070000}"/>
    <cellStyle name="20% - Accent4 2 42" xfId="1947" xr:uid="{00000000-0005-0000-0000-00006E070000}"/>
    <cellStyle name="20% - Accent4 2 43" xfId="1948" xr:uid="{00000000-0005-0000-0000-00006F070000}"/>
    <cellStyle name="20% - Accent4 2 44" xfId="1949" xr:uid="{00000000-0005-0000-0000-000070070000}"/>
    <cellStyle name="20% - Accent4 2 45" xfId="1950" xr:uid="{00000000-0005-0000-0000-000071070000}"/>
    <cellStyle name="20% - Accent4 2 46" xfId="1951" xr:uid="{00000000-0005-0000-0000-000072070000}"/>
    <cellStyle name="20% - Accent4 2 47" xfId="1952" xr:uid="{00000000-0005-0000-0000-000073070000}"/>
    <cellStyle name="20% - Accent4 2 48" xfId="1953" xr:uid="{00000000-0005-0000-0000-000074070000}"/>
    <cellStyle name="20% - Accent4 2 49" xfId="1954" xr:uid="{00000000-0005-0000-0000-000075070000}"/>
    <cellStyle name="20% - Accent4 2 5" xfId="1955" xr:uid="{00000000-0005-0000-0000-000076070000}"/>
    <cellStyle name="20% - Accent4 2 5 2" xfId="1956" xr:uid="{00000000-0005-0000-0000-000077070000}"/>
    <cellStyle name="20% - Accent4 2 50" xfId="1957" xr:uid="{00000000-0005-0000-0000-000078070000}"/>
    <cellStyle name="20% - Accent4 2 51" xfId="1958" xr:uid="{00000000-0005-0000-0000-000079070000}"/>
    <cellStyle name="20% - Accent4 2 52" xfId="1959" xr:uid="{00000000-0005-0000-0000-00007A070000}"/>
    <cellStyle name="20% - Accent4 2 53" xfId="1960" xr:uid="{00000000-0005-0000-0000-00007B070000}"/>
    <cellStyle name="20% - Accent4 2 54" xfId="1961" xr:uid="{00000000-0005-0000-0000-00007C070000}"/>
    <cellStyle name="20% - Accent4 2 55" xfId="1962" xr:uid="{00000000-0005-0000-0000-00007D070000}"/>
    <cellStyle name="20% - Accent4 2 56" xfId="1963" xr:uid="{00000000-0005-0000-0000-00007E070000}"/>
    <cellStyle name="20% - Accent4 2 57" xfId="1964" xr:uid="{00000000-0005-0000-0000-00007F070000}"/>
    <cellStyle name="20% - Accent4 2 58" xfId="1965" xr:uid="{00000000-0005-0000-0000-000080070000}"/>
    <cellStyle name="20% - Accent4 2 59" xfId="1966" xr:uid="{00000000-0005-0000-0000-000081070000}"/>
    <cellStyle name="20% - Accent4 2 6" xfId="1967" xr:uid="{00000000-0005-0000-0000-000082070000}"/>
    <cellStyle name="20% - Accent4 2 6 2" xfId="1968" xr:uid="{00000000-0005-0000-0000-000083070000}"/>
    <cellStyle name="20% - Accent4 2 60" xfId="1969" xr:uid="{00000000-0005-0000-0000-000084070000}"/>
    <cellStyle name="20% - Accent4 2 61" xfId="1970" xr:uid="{00000000-0005-0000-0000-000085070000}"/>
    <cellStyle name="20% - Accent4 2 62" xfId="1971" xr:uid="{00000000-0005-0000-0000-000086070000}"/>
    <cellStyle name="20% - Accent4 2 63" xfId="1972" xr:uid="{00000000-0005-0000-0000-000087070000}"/>
    <cellStyle name="20% - Accent4 2 64" xfId="1973" xr:uid="{00000000-0005-0000-0000-000088070000}"/>
    <cellStyle name="20% - Accent4 2 65" xfId="1974" xr:uid="{00000000-0005-0000-0000-000089070000}"/>
    <cellStyle name="20% - Accent4 2 66" xfId="1975" xr:uid="{00000000-0005-0000-0000-00008A070000}"/>
    <cellStyle name="20% - Accent4 2 67" xfId="1976" xr:uid="{00000000-0005-0000-0000-00008B070000}"/>
    <cellStyle name="20% - Accent4 2 68" xfId="1977" xr:uid="{00000000-0005-0000-0000-00008C070000}"/>
    <cellStyle name="20% - Accent4 2 69" xfId="1978" xr:uid="{00000000-0005-0000-0000-00008D070000}"/>
    <cellStyle name="20% - Accent4 2 7" xfId="1979" xr:uid="{00000000-0005-0000-0000-00008E070000}"/>
    <cellStyle name="20% - Accent4 2 7 2" xfId="1980" xr:uid="{00000000-0005-0000-0000-00008F070000}"/>
    <cellStyle name="20% - Accent4 2 70" xfId="1981" xr:uid="{00000000-0005-0000-0000-000090070000}"/>
    <cellStyle name="20% - Accent4 2 71" xfId="1982" xr:uid="{00000000-0005-0000-0000-000091070000}"/>
    <cellStyle name="20% - Accent4 2 72" xfId="1983" xr:uid="{00000000-0005-0000-0000-000092070000}"/>
    <cellStyle name="20% - Accent4 2 73" xfId="1984" xr:uid="{00000000-0005-0000-0000-000093070000}"/>
    <cellStyle name="20% - Accent4 2 74" xfId="1985" xr:uid="{00000000-0005-0000-0000-000094070000}"/>
    <cellStyle name="20% - Accent4 2 75" xfId="1986" xr:uid="{00000000-0005-0000-0000-000095070000}"/>
    <cellStyle name="20% - Accent4 2 8" xfId="1987" xr:uid="{00000000-0005-0000-0000-000096070000}"/>
    <cellStyle name="20% - Accent4 2 8 2" xfId="1988" xr:uid="{00000000-0005-0000-0000-000097070000}"/>
    <cellStyle name="20% - Accent4 2 9" xfId="1989" xr:uid="{00000000-0005-0000-0000-000098070000}"/>
    <cellStyle name="20% - Accent4 2 9 2" xfId="1990" xr:uid="{00000000-0005-0000-0000-000099070000}"/>
    <cellStyle name="20% - Accent4 20" xfId="1991" xr:uid="{00000000-0005-0000-0000-00009A070000}"/>
    <cellStyle name="20% - Accent4 21" xfId="1992" xr:uid="{00000000-0005-0000-0000-00009B070000}"/>
    <cellStyle name="20% - Accent4 22" xfId="1993" xr:uid="{00000000-0005-0000-0000-00009C070000}"/>
    <cellStyle name="20% - Accent4 23" xfId="1994" xr:uid="{00000000-0005-0000-0000-00009D070000}"/>
    <cellStyle name="20% - Accent4 24" xfId="1995" xr:uid="{00000000-0005-0000-0000-00009E070000}"/>
    <cellStyle name="20% - Accent4 25" xfId="1996" xr:uid="{00000000-0005-0000-0000-00009F070000}"/>
    <cellStyle name="20% - Accent4 26" xfId="1997" xr:uid="{00000000-0005-0000-0000-0000A0070000}"/>
    <cellStyle name="20% - Accent4 27" xfId="1998" xr:uid="{00000000-0005-0000-0000-0000A1070000}"/>
    <cellStyle name="20% - Accent4 28" xfId="1999" xr:uid="{00000000-0005-0000-0000-0000A2070000}"/>
    <cellStyle name="20% - Accent4 29" xfId="2000" xr:uid="{00000000-0005-0000-0000-0000A3070000}"/>
    <cellStyle name="20% - Accent4 3" xfId="2001" xr:uid="{00000000-0005-0000-0000-0000A4070000}"/>
    <cellStyle name="20% - Accent4 3 10" xfId="2002" xr:uid="{00000000-0005-0000-0000-0000A5070000}"/>
    <cellStyle name="20% - Accent4 3 11" xfId="2003" xr:uid="{00000000-0005-0000-0000-0000A6070000}"/>
    <cellStyle name="20% - Accent4 3 12" xfId="2004" xr:uid="{00000000-0005-0000-0000-0000A7070000}"/>
    <cellStyle name="20% - Accent4 3 13" xfId="2005" xr:uid="{00000000-0005-0000-0000-0000A8070000}"/>
    <cellStyle name="20% - Accent4 3 14" xfId="2006" xr:uid="{00000000-0005-0000-0000-0000A9070000}"/>
    <cellStyle name="20% - Accent4 3 15" xfId="2007" xr:uid="{00000000-0005-0000-0000-0000AA070000}"/>
    <cellStyle name="20% - Accent4 3 16" xfId="2008" xr:uid="{00000000-0005-0000-0000-0000AB070000}"/>
    <cellStyle name="20% - Accent4 3 17" xfId="2009" xr:uid="{00000000-0005-0000-0000-0000AC070000}"/>
    <cellStyle name="20% - Accent4 3 18" xfId="2010" xr:uid="{00000000-0005-0000-0000-0000AD070000}"/>
    <cellStyle name="20% - Accent4 3 19" xfId="2011" xr:uid="{00000000-0005-0000-0000-0000AE070000}"/>
    <cellStyle name="20% - Accent4 3 2" xfId="2012" xr:uid="{00000000-0005-0000-0000-0000AF070000}"/>
    <cellStyle name="20% - Accent4 3 2 2" xfId="2013" xr:uid="{00000000-0005-0000-0000-0000B0070000}"/>
    <cellStyle name="20% - Accent4 3 20" xfId="2014" xr:uid="{00000000-0005-0000-0000-0000B1070000}"/>
    <cellStyle name="20% - Accent4 3 21" xfId="2015" xr:uid="{00000000-0005-0000-0000-0000B2070000}"/>
    <cellStyle name="20% - Accent4 3 22" xfId="2016" xr:uid="{00000000-0005-0000-0000-0000B3070000}"/>
    <cellStyle name="20% - Accent4 3 23" xfId="2017" xr:uid="{00000000-0005-0000-0000-0000B4070000}"/>
    <cellStyle name="20% - Accent4 3 24" xfId="2018" xr:uid="{00000000-0005-0000-0000-0000B5070000}"/>
    <cellStyle name="20% - Accent4 3 25" xfId="2019" xr:uid="{00000000-0005-0000-0000-0000B6070000}"/>
    <cellStyle name="20% - Accent4 3 26" xfId="2020" xr:uid="{00000000-0005-0000-0000-0000B7070000}"/>
    <cellStyle name="20% - Accent4 3 27" xfId="2021" xr:uid="{00000000-0005-0000-0000-0000B8070000}"/>
    <cellStyle name="20% - Accent4 3 28" xfId="2022" xr:uid="{00000000-0005-0000-0000-0000B9070000}"/>
    <cellStyle name="20% - Accent4 3 29" xfId="2023" xr:uid="{00000000-0005-0000-0000-0000BA070000}"/>
    <cellStyle name="20% - Accent4 3 3" xfId="2024" xr:uid="{00000000-0005-0000-0000-0000BB070000}"/>
    <cellStyle name="20% - Accent4 3 3 2" xfId="2025" xr:uid="{00000000-0005-0000-0000-0000BC070000}"/>
    <cellStyle name="20% - Accent4 3 30" xfId="2026" xr:uid="{00000000-0005-0000-0000-0000BD070000}"/>
    <cellStyle name="20% - Accent4 3 31" xfId="2027" xr:uid="{00000000-0005-0000-0000-0000BE070000}"/>
    <cellStyle name="20% - Accent4 3 32" xfId="2028" xr:uid="{00000000-0005-0000-0000-0000BF070000}"/>
    <cellStyle name="20% - Accent4 3 33" xfId="2029" xr:uid="{00000000-0005-0000-0000-0000C0070000}"/>
    <cellStyle name="20% - Accent4 3 34" xfId="2030" xr:uid="{00000000-0005-0000-0000-0000C1070000}"/>
    <cellStyle name="20% - Accent4 3 35" xfId="2031" xr:uid="{00000000-0005-0000-0000-0000C2070000}"/>
    <cellStyle name="20% - Accent4 3 36" xfId="2032" xr:uid="{00000000-0005-0000-0000-0000C3070000}"/>
    <cellStyle name="20% - Accent4 3 37" xfId="2033" xr:uid="{00000000-0005-0000-0000-0000C4070000}"/>
    <cellStyle name="20% - Accent4 3 38" xfId="2034" xr:uid="{00000000-0005-0000-0000-0000C5070000}"/>
    <cellStyle name="20% - Accent4 3 39" xfId="2035" xr:uid="{00000000-0005-0000-0000-0000C6070000}"/>
    <cellStyle name="20% - Accent4 3 4" xfId="2036" xr:uid="{00000000-0005-0000-0000-0000C7070000}"/>
    <cellStyle name="20% - Accent4 3 4 2" xfId="2037" xr:uid="{00000000-0005-0000-0000-0000C8070000}"/>
    <cellStyle name="20% - Accent4 3 40" xfId="2038" xr:uid="{00000000-0005-0000-0000-0000C9070000}"/>
    <cellStyle name="20% - Accent4 3 41" xfId="2039" xr:uid="{00000000-0005-0000-0000-0000CA070000}"/>
    <cellStyle name="20% - Accent4 3 42" xfId="2040" xr:uid="{00000000-0005-0000-0000-0000CB070000}"/>
    <cellStyle name="20% - Accent4 3 43" xfId="2041" xr:uid="{00000000-0005-0000-0000-0000CC070000}"/>
    <cellStyle name="20% - Accent4 3 44" xfId="2042" xr:uid="{00000000-0005-0000-0000-0000CD070000}"/>
    <cellStyle name="20% - Accent4 3 45" xfId="2043" xr:uid="{00000000-0005-0000-0000-0000CE070000}"/>
    <cellStyle name="20% - Accent4 3 46" xfId="2044" xr:uid="{00000000-0005-0000-0000-0000CF070000}"/>
    <cellStyle name="20% - Accent4 3 47" xfId="2045" xr:uid="{00000000-0005-0000-0000-0000D0070000}"/>
    <cellStyle name="20% - Accent4 3 48" xfId="2046" xr:uid="{00000000-0005-0000-0000-0000D1070000}"/>
    <cellStyle name="20% - Accent4 3 49" xfId="2047" xr:uid="{00000000-0005-0000-0000-0000D2070000}"/>
    <cellStyle name="20% - Accent4 3 5" xfId="2048" xr:uid="{00000000-0005-0000-0000-0000D3070000}"/>
    <cellStyle name="20% - Accent4 3 5 2" xfId="2049" xr:uid="{00000000-0005-0000-0000-0000D4070000}"/>
    <cellStyle name="20% - Accent4 3 50" xfId="2050" xr:uid="{00000000-0005-0000-0000-0000D5070000}"/>
    <cellStyle name="20% - Accent4 3 51" xfId="2051" xr:uid="{00000000-0005-0000-0000-0000D6070000}"/>
    <cellStyle name="20% - Accent4 3 52" xfId="2052" xr:uid="{00000000-0005-0000-0000-0000D7070000}"/>
    <cellStyle name="20% - Accent4 3 53" xfId="2053" xr:uid="{00000000-0005-0000-0000-0000D8070000}"/>
    <cellStyle name="20% - Accent4 3 54" xfId="2054" xr:uid="{00000000-0005-0000-0000-0000D9070000}"/>
    <cellStyle name="20% - Accent4 3 55" xfId="2055" xr:uid="{00000000-0005-0000-0000-0000DA070000}"/>
    <cellStyle name="20% - Accent4 3 56" xfId="2056" xr:uid="{00000000-0005-0000-0000-0000DB070000}"/>
    <cellStyle name="20% - Accent4 3 57" xfId="2057" xr:uid="{00000000-0005-0000-0000-0000DC070000}"/>
    <cellStyle name="20% - Accent4 3 58" xfId="2058" xr:uid="{00000000-0005-0000-0000-0000DD070000}"/>
    <cellStyle name="20% - Accent4 3 59" xfId="2059" xr:uid="{00000000-0005-0000-0000-0000DE070000}"/>
    <cellStyle name="20% - Accent4 3 6" xfId="2060" xr:uid="{00000000-0005-0000-0000-0000DF070000}"/>
    <cellStyle name="20% - Accent4 3 6 2" xfId="2061" xr:uid="{00000000-0005-0000-0000-0000E0070000}"/>
    <cellStyle name="20% - Accent4 3 60" xfId="2062" xr:uid="{00000000-0005-0000-0000-0000E1070000}"/>
    <cellStyle name="20% - Accent4 3 61" xfId="2063" xr:uid="{00000000-0005-0000-0000-0000E2070000}"/>
    <cellStyle name="20% - Accent4 3 62" xfId="2064" xr:uid="{00000000-0005-0000-0000-0000E3070000}"/>
    <cellStyle name="20% - Accent4 3 63" xfId="2065" xr:uid="{00000000-0005-0000-0000-0000E4070000}"/>
    <cellStyle name="20% - Accent4 3 64" xfId="2066" xr:uid="{00000000-0005-0000-0000-0000E5070000}"/>
    <cellStyle name="20% - Accent4 3 65" xfId="2067" xr:uid="{00000000-0005-0000-0000-0000E6070000}"/>
    <cellStyle name="20% - Accent4 3 66" xfId="2068" xr:uid="{00000000-0005-0000-0000-0000E7070000}"/>
    <cellStyle name="20% - Accent4 3 67" xfId="2069" xr:uid="{00000000-0005-0000-0000-0000E8070000}"/>
    <cellStyle name="20% - Accent4 3 68" xfId="2070" xr:uid="{00000000-0005-0000-0000-0000E9070000}"/>
    <cellStyle name="20% - Accent4 3 69" xfId="2071" xr:uid="{00000000-0005-0000-0000-0000EA070000}"/>
    <cellStyle name="20% - Accent4 3 7" xfId="2072" xr:uid="{00000000-0005-0000-0000-0000EB070000}"/>
    <cellStyle name="20% - Accent4 3 7 2" xfId="2073" xr:uid="{00000000-0005-0000-0000-0000EC070000}"/>
    <cellStyle name="20% - Accent4 3 70" xfId="2074" xr:uid="{00000000-0005-0000-0000-0000ED070000}"/>
    <cellStyle name="20% - Accent4 3 71" xfId="2075" xr:uid="{00000000-0005-0000-0000-0000EE070000}"/>
    <cellStyle name="20% - Accent4 3 72" xfId="2076" xr:uid="{00000000-0005-0000-0000-0000EF070000}"/>
    <cellStyle name="20% - Accent4 3 73" xfId="2077" xr:uid="{00000000-0005-0000-0000-0000F0070000}"/>
    <cellStyle name="20% - Accent4 3 74" xfId="2078" xr:uid="{00000000-0005-0000-0000-0000F1070000}"/>
    <cellStyle name="20% - Accent4 3 75" xfId="2079" xr:uid="{00000000-0005-0000-0000-0000F2070000}"/>
    <cellStyle name="20% - Accent4 3 8" xfId="2080" xr:uid="{00000000-0005-0000-0000-0000F3070000}"/>
    <cellStyle name="20% - Accent4 3 8 2" xfId="2081" xr:uid="{00000000-0005-0000-0000-0000F4070000}"/>
    <cellStyle name="20% - Accent4 3 9" xfId="2082" xr:uid="{00000000-0005-0000-0000-0000F5070000}"/>
    <cellStyle name="20% - Accent4 3 9 2" xfId="2083" xr:uid="{00000000-0005-0000-0000-0000F6070000}"/>
    <cellStyle name="20% - Accent4 30" xfId="2084" xr:uid="{00000000-0005-0000-0000-0000F7070000}"/>
    <cellStyle name="20% - Accent4 31" xfId="2085" xr:uid="{00000000-0005-0000-0000-0000F8070000}"/>
    <cellStyle name="20% - Accent4 32" xfId="2086" xr:uid="{00000000-0005-0000-0000-0000F9070000}"/>
    <cellStyle name="20% - Accent4 33" xfId="2087" xr:uid="{00000000-0005-0000-0000-0000FA070000}"/>
    <cellStyle name="20% - Accent4 34" xfId="2088" xr:uid="{00000000-0005-0000-0000-0000FB070000}"/>
    <cellStyle name="20% - Accent4 35" xfId="2089" xr:uid="{00000000-0005-0000-0000-0000FC070000}"/>
    <cellStyle name="20% - Accent4 36" xfId="2090" xr:uid="{00000000-0005-0000-0000-0000FD070000}"/>
    <cellStyle name="20% - Accent4 37" xfId="2091" xr:uid="{00000000-0005-0000-0000-0000FE070000}"/>
    <cellStyle name="20% - Accent4 38" xfId="2092" xr:uid="{00000000-0005-0000-0000-0000FF070000}"/>
    <cellStyle name="20% - Accent4 39" xfId="2093" xr:uid="{00000000-0005-0000-0000-000000080000}"/>
    <cellStyle name="20% - Accent4 4" xfId="2094" xr:uid="{00000000-0005-0000-0000-000001080000}"/>
    <cellStyle name="20% - Accent4 4 10" xfId="2095" xr:uid="{00000000-0005-0000-0000-000002080000}"/>
    <cellStyle name="20% - Accent4 4 11" xfId="2096" xr:uid="{00000000-0005-0000-0000-000003080000}"/>
    <cellStyle name="20% - Accent4 4 12" xfId="2097" xr:uid="{00000000-0005-0000-0000-000004080000}"/>
    <cellStyle name="20% - Accent4 4 13" xfId="2098" xr:uid="{00000000-0005-0000-0000-000005080000}"/>
    <cellStyle name="20% - Accent4 4 14" xfId="2099" xr:uid="{00000000-0005-0000-0000-000006080000}"/>
    <cellStyle name="20% - Accent4 4 15" xfId="2100" xr:uid="{00000000-0005-0000-0000-000007080000}"/>
    <cellStyle name="20% - Accent4 4 16" xfId="2101" xr:uid="{00000000-0005-0000-0000-000008080000}"/>
    <cellStyle name="20% - Accent4 4 17" xfId="2102" xr:uid="{00000000-0005-0000-0000-000009080000}"/>
    <cellStyle name="20% - Accent4 4 18" xfId="2103" xr:uid="{00000000-0005-0000-0000-00000A080000}"/>
    <cellStyle name="20% - Accent4 4 19" xfId="2104" xr:uid="{00000000-0005-0000-0000-00000B080000}"/>
    <cellStyle name="20% - Accent4 4 2" xfId="2105" xr:uid="{00000000-0005-0000-0000-00000C080000}"/>
    <cellStyle name="20% - Accent4 4 2 2" xfId="2106" xr:uid="{00000000-0005-0000-0000-00000D080000}"/>
    <cellStyle name="20% - Accent4 4 20" xfId="2107" xr:uid="{00000000-0005-0000-0000-00000E080000}"/>
    <cellStyle name="20% - Accent4 4 21" xfId="2108" xr:uid="{00000000-0005-0000-0000-00000F080000}"/>
    <cellStyle name="20% - Accent4 4 22" xfId="2109" xr:uid="{00000000-0005-0000-0000-000010080000}"/>
    <cellStyle name="20% - Accent4 4 23" xfId="2110" xr:uid="{00000000-0005-0000-0000-000011080000}"/>
    <cellStyle name="20% - Accent4 4 24" xfId="2111" xr:uid="{00000000-0005-0000-0000-000012080000}"/>
    <cellStyle name="20% - Accent4 4 25" xfId="2112" xr:uid="{00000000-0005-0000-0000-000013080000}"/>
    <cellStyle name="20% - Accent4 4 26" xfId="2113" xr:uid="{00000000-0005-0000-0000-000014080000}"/>
    <cellStyle name="20% - Accent4 4 27" xfId="2114" xr:uid="{00000000-0005-0000-0000-000015080000}"/>
    <cellStyle name="20% - Accent4 4 28" xfId="2115" xr:uid="{00000000-0005-0000-0000-000016080000}"/>
    <cellStyle name="20% - Accent4 4 29" xfId="2116" xr:uid="{00000000-0005-0000-0000-000017080000}"/>
    <cellStyle name="20% - Accent4 4 3" xfId="2117" xr:uid="{00000000-0005-0000-0000-000018080000}"/>
    <cellStyle name="20% - Accent4 4 3 2" xfId="2118" xr:uid="{00000000-0005-0000-0000-000019080000}"/>
    <cellStyle name="20% - Accent4 4 30" xfId="2119" xr:uid="{00000000-0005-0000-0000-00001A080000}"/>
    <cellStyle name="20% - Accent4 4 31" xfId="2120" xr:uid="{00000000-0005-0000-0000-00001B080000}"/>
    <cellStyle name="20% - Accent4 4 32" xfId="2121" xr:uid="{00000000-0005-0000-0000-00001C080000}"/>
    <cellStyle name="20% - Accent4 4 33" xfId="2122" xr:uid="{00000000-0005-0000-0000-00001D080000}"/>
    <cellStyle name="20% - Accent4 4 34" xfId="2123" xr:uid="{00000000-0005-0000-0000-00001E080000}"/>
    <cellStyle name="20% - Accent4 4 35" xfId="2124" xr:uid="{00000000-0005-0000-0000-00001F080000}"/>
    <cellStyle name="20% - Accent4 4 36" xfId="2125" xr:uid="{00000000-0005-0000-0000-000020080000}"/>
    <cellStyle name="20% - Accent4 4 37" xfId="2126" xr:uid="{00000000-0005-0000-0000-000021080000}"/>
    <cellStyle name="20% - Accent4 4 38" xfId="2127" xr:uid="{00000000-0005-0000-0000-000022080000}"/>
    <cellStyle name="20% - Accent4 4 39" xfId="2128" xr:uid="{00000000-0005-0000-0000-000023080000}"/>
    <cellStyle name="20% - Accent4 4 4" xfId="2129" xr:uid="{00000000-0005-0000-0000-000024080000}"/>
    <cellStyle name="20% - Accent4 4 4 2" xfId="2130" xr:uid="{00000000-0005-0000-0000-000025080000}"/>
    <cellStyle name="20% - Accent4 4 40" xfId="2131" xr:uid="{00000000-0005-0000-0000-000026080000}"/>
    <cellStyle name="20% - Accent4 4 41" xfId="2132" xr:uid="{00000000-0005-0000-0000-000027080000}"/>
    <cellStyle name="20% - Accent4 4 42" xfId="2133" xr:uid="{00000000-0005-0000-0000-000028080000}"/>
    <cellStyle name="20% - Accent4 4 43" xfId="2134" xr:uid="{00000000-0005-0000-0000-000029080000}"/>
    <cellStyle name="20% - Accent4 4 44" xfId="2135" xr:uid="{00000000-0005-0000-0000-00002A080000}"/>
    <cellStyle name="20% - Accent4 4 45" xfId="2136" xr:uid="{00000000-0005-0000-0000-00002B080000}"/>
    <cellStyle name="20% - Accent4 4 46" xfId="2137" xr:uid="{00000000-0005-0000-0000-00002C080000}"/>
    <cellStyle name="20% - Accent4 4 47" xfId="2138" xr:uid="{00000000-0005-0000-0000-00002D080000}"/>
    <cellStyle name="20% - Accent4 4 48" xfId="2139" xr:uid="{00000000-0005-0000-0000-00002E080000}"/>
    <cellStyle name="20% - Accent4 4 49" xfId="2140" xr:uid="{00000000-0005-0000-0000-00002F080000}"/>
    <cellStyle name="20% - Accent4 4 5" xfId="2141" xr:uid="{00000000-0005-0000-0000-000030080000}"/>
    <cellStyle name="20% - Accent4 4 5 2" xfId="2142" xr:uid="{00000000-0005-0000-0000-000031080000}"/>
    <cellStyle name="20% - Accent4 4 50" xfId="2143" xr:uid="{00000000-0005-0000-0000-000032080000}"/>
    <cellStyle name="20% - Accent4 4 51" xfId="2144" xr:uid="{00000000-0005-0000-0000-000033080000}"/>
    <cellStyle name="20% - Accent4 4 52" xfId="2145" xr:uid="{00000000-0005-0000-0000-000034080000}"/>
    <cellStyle name="20% - Accent4 4 53" xfId="2146" xr:uid="{00000000-0005-0000-0000-000035080000}"/>
    <cellStyle name="20% - Accent4 4 54" xfId="2147" xr:uid="{00000000-0005-0000-0000-000036080000}"/>
    <cellStyle name="20% - Accent4 4 55" xfId="2148" xr:uid="{00000000-0005-0000-0000-000037080000}"/>
    <cellStyle name="20% - Accent4 4 56" xfId="2149" xr:uid="{00000000-0005-0000-0000-000038080000}"/>
    <cellStyle name="20% - Accent4 4 57" xfId="2150" xr:uid="{00000000-0005-0000-0000-000039080000}"/>
    <cellStyle name="20% - Accent4 4 58" xfId="2151" xr:uid="{00000000-0005-0000-0000-00003A080000}"/>
    <cellStyle name="20% - Accent4 4 59" xfId="2152" xr:uid="{00000000-0005-0000-0000-00003B080000}"/>
    <cellStyle name="20% - Accent4 4 6" xfId="2153" xr:uid="{00000000-0005-0000-0000-00003C080000}"/>
    <cellStyle name="20% - Accent4 4 6 2" xfId="2154" xr:uid="{00000000-0005-0000-0000-00003D080000}"/>
    <cellStyle name="20% - Accent4 4 60" xfId="2155" xr:uid="{00000000-0005-0000-0000-00003E080000}"/>
    <cellStyle name="20% - Accent4 4 61" xfId="2156" xr:uid="{00000000-0005-0000-0000-00003F080000}"/>
    <cellStyle name="20% - Accent4 4 62" xfId="2157" xr:uid="{00000000-0005-0000-0000-000040080000}"/>
    <cellStyle name="20% - Accent4 4 63" xfId="2158" xr:uid="{00000000-0005-0000-0000-000041080000}"/>
    <cellStyle name="20% - Accent4 4 64" xfId="2159" xr:uid="{00000000-0005-0000-0000-000042080000}"/>
    <cellStyle name="20% - Accent4 4 65" xfId="2160" xr:uid="{00000000-0005-0000-0000-000043080000}"/>
    <cellStyle name="20% - Accent4 4 66" xfId="2161" xr:uid="{00000000-0005-0000-0000-000044080000}"/>
    <cellStyle name="20% - Accent4 4 67" xfId="2162" xr:uid="{00000000-0005-0000-0000-000045080000}"/>
    <cellStyle name="20% - Accent4 4 68" xfId="2163" xr:uid="{00000000-0005-0000-0000-000046080000}"/>
    <cellStyle name="20% - Accent4 4 69" xfId="2164" xr:uid="{00000000-0005-0000-0000-000047080000}"/>
    <cellStyle name="20% - Accent4 4 7" xfId="2165" xr:uid="{00000000-0005-0000-0000-000048080000}"/>
    <cellStyle name="20% - Accent4 4 7 2" xfId="2166" xr:uid="{00000000-0005-0000-0000-000049080000}"/>
    <cellStyle name="20% - Accent4 4 70" xfId="2167" xr:uid="{00000000-0005-0000-0000-00004A080000}"/>
    <cellStyle name="20% - Accent4 4 71" xfId="2168" xr:uid="{00000000-0005-0000-0000-00004B080000}"/>
    <cellStyle name="20% - Accent4 4 72" xfId="2169" xr:uid="{00000000-0005-0000-0000-00004C080000}"/>
    <cellStyle name="20% - Accent4 4 73" xfId="2170" xr:uid="{00000000-0005-0000-0000-00004D080000}"/>
    <cellStyle name="20% - Accent4 4 74" xfId="2171" xr:uid="{00000000-0005-0000-0000-00004E080000}"/>
    <cellStyle name="20% - Accent4 4 75" xfId="2172" xr:uid="{00000000-0005-0000-0000-00004F080000}"/>
    <cellStyle name="20% - Accent4 4 8" xfId="2173" xr:uid="{00000000-0005-0000-0000-000050080000}"/>
    <cellStyle name="20% - Accent4 4 8 2" xfId="2174" xr:uid="{00000000-0005-0000-0000-000051080000}"/>
    <cellStyle name="20% - Accent4 4 9" xfId="2175" xr:uid="{00000000-0005-0000-0000-000052080000}"/>
    <cellStyle name="20% - Accent4 4 9 2" xfId="2176" xr:uid="{00000000-0005-0000-0000-000053080000}"/>
    <cellStyle name="20% - Accent4 40" xfId="2177" xr:uid="{00000000-0005-0000-0000-000054080000}"/>
    <cellStyle name="20% - Accent4 41" xfId="2178" xr:uid="{00000000-0005-0000-0000-000055080000}"/>
    <cellStyle name="20% - Accent4 42" xfId="2179" xr:uid="{00000000-0005-0000-0000-000056080000}"/>
    <cellStyle name="20% - Accent4 43" xfId="2180" xr:uid="{00000000-0005-0000-0000-000057080000}"/>
    <cellStyle name="20% - Accent4 44" xfId="2181" xr:uid="{00000000-0005-0000-0000-000058080000}"/>
    <cellStyle name="20% - Accent4 45" xfId="2182" xr:uid="{00000000-0005-0000-0000-000059080000}"/>
    <cellStyle name="20% - Accent4 46" xfId="2183" xr:uid="{00000000-0005-0000-0000-00005A080000}"/>
    <cellStyle name="20% - Accent4 47" xfId="2184" xr:uid="{00000000-0005-0000-0000-00005B080000}"/>
    <cellStyle name="20% - Accent4 48" xfId="2185" xr:uid="{00000000-0005-0000-0000-00005C080000}"/>
    <cellStyle name="20% - Accent4 49" xfId="2186" xr:uid="{00000000-0005-0000-0000-00005D080000}"/>
    <cellStyle name="20% - Accent4 5" xfId="2187" xr:uid="{00000000-0005-0000-0000-00005E080000}"/>
    <cellStyle name="20% - Accent4 5 10" xfId="2188" xr:uid="{00000000-0005-0000-0000-00005F080000}"/>
    <cellStyle name="20% - Accent4 5 11" xfId="2189" xr:uid="{00000000-0005-0000-0000-000060080000}"/>
    <cellStyle name="20% - Accent4 5 12" xfId="2190" xr:uid="{00000000-0005-0000-0000-000061080000}"/>
    <cellStyle name="20% - Accent4 5 13" xfId="2191" xr:uid="{00000000-0005-0000-0000-000062080000}"/>
    <cellStyle name="20% - Accent4 5 14" xfId="2192" xr:uid="{00000000-0005-0000-0000-000063080000}"/>
    <cellStyle name="20% - Accent4 5 15" xfId="2193" xr:uid="{00000000-0005-0000-0000-000064080000}"/>
    <cellStyle name="20% - Accent4 5 16" xfId="2194" xr:uid="{00000000-0005-0000-0000-000065080000}"/>
    <cellStyle name="20% - Accent4 5 17" xfId="2195" xr:uid="{00000000-0005-0000-0000-000066080000}"/>
    <cellStyle name="20% - Accent4 5 18" xfId="2196" xr:uid="{00000000-0005-0000-0000-000067080000}"/>
    <cellStyle name="20% - Accent4 5 19" xfId="2197" xr:uid="{00000000-0005-0000-0000-000068080000}"/>
    <cellStyle name="20% - Accent4 5 2" xfId="2198" xr:uid="{00000000-0005-0000-0000-000069080000}"/>
    <cellStyle name="20% - Accent4 5 2 2" xfId="2199" xr:uid="{00000000-0005-0000-0000-00006A080000}"/>
    <cellStyle name="20% - Accent4 5 20" xfId="2200" xr:uid="{00000000-0005-0000-0000-00006B080000}"/>
    <cellStyle name="20% - Accent4 5 21" xfId="2201" xr:uid="{00000000-0005-0000-0000-00006C080000}"/>
    <cellStyle name="20% - Accent4 5 22" xfId="2202" xr:uid="{00000000-0005-0000-0000-00006D080000}"/>
    <cellStyle name="20% - Accent4 5 23" xfId="2203" xr:uid="{00000000-0005-0000-0000-00006E080000}"/>
    <cellStyle name="20% - Accent4 5 24" xfId="2204" xr:uid="{00000000-0005-0000-0000-00006F080000}"/>
    <cellStyle name="20% - Accent4 5 25" xfId="2205" xr:uid="{00000000-0005-0000-0000-000070080000}"/>
    <cellStyle name="20% - Accent4 5 26" xfId="2206" xr:uid="{00000000-0005-0000-0000-000071080000}"/>
    <cellStyle name="20% - Accent4 5 27" xfId="2207" xr:uid="{00000000-0005-0000-0000-000072080000}"/>
    <cellStyle name="20% - Accent4 5 28" xfId="2208" xr:uid="{00000000-0005-0000-0000-000073080000}"/>
    <cellStyle name="20% - Accent4 5 29" xfId="2209" xr:uid="{00000000-0005-0000-0000-000074080000}"/>
    <cellStyle name="20% - Accent4 5 3" xfId="2210" xr:uid="{00000000-0005-0000-0000-000075080000}"/>
    <cellStyle name="20% - Accent4 5 30" xfId="2211" xr:uid="{00000000-0005-0000-0000-000076080000}"/>
    <cellStyle name="20% - Accent4 5 31" xfId="2212" xr:uid="{00000000-0005-0000-0000-000077080000}"/>
    <cellStyle name="20% - Accent4 5 32" xfId="2213" xr:uid="{00000000-0005-0000-0000-000078080000}"/>
    <cellStyle name="20% - Accent4 5 33" xfId="2214" xr:uid="{00000000-0005-0000-0000-000079080000}"/>
    <cellStyle name="20% - Accent4 5 34" xfId="2215" xr:uid="{00000000-0005-0000-0000-00007A080000}"/>
    <cellStyle name="20% - Accent4 5 35" xfId="2216" xr:uid="{00000000-0005-0000-0000-00007B080000}"/>
    <cellStyle name="20% - Accent4 5 36" xfId="2217" xr:uid="{00000000-0005-0000-0000-00007C080000}"/>
    <cellStyle name="20% - Accent4 5 37" xfId="2218" xr:uid="{00000000-0005-0000-0000-00007D080000}"/>
    <cellStyle name="20% - Accent4 5 38" xfId="2219" xr:uid="{00000000-0005-0000-0000-00007E080000}"/>
    <cellStyle name="20% - Accent4 5 39" xfId="2220" xr:uid="{00000000-0005-0000-0000-00007F080000}"/>
    <cellStyle name="20% - Accent4 5 4" xfId="2221" xr:uid="{00000000-0005-0000-0000-000080080000}"/>
    <cellStyle name="20% - Accent4 5 5" xfId="2222" xr:uid="{00000000-0005-0000-0000-000081080000}"/>
    <cellStyle name="20% - Accent4 5 6" xfId="2223" xr:uid="{00000000-0005-0000-0000-000082080000}"/>
    <cellStyle name="20% - Accent4 5 7" xfId="2224" xr:uid="{00000000-0005-0000-0000-000083080000}"/>
    <cellStyle name="20% - Accent4 5 8" xfId="2225" xr:uid="{00000000-0005-0000-0000-000084080000}"/>
    <cellStyle name="20% - Accent4 5 9" xfId="2226" xr:uid="{00000000-0005-0000-0000-000085080000}"/>
    <cellStyle name="20% - Accent4 50" xfId="2227" xr:uid="{00000000-0005-0000-0000-000086080000}"/>
    <cellStyle name="20% - Accent4 51" xfId="2228" xr:uid="{00000000-0005-0000-0000-000087080000}"/>
    <cellStyle name="20% - Accent4 52" xfId="2229" xr:uid="{00000000-0005-0000-0000-000088080000}"/>
    <cellStyle name="20% - Accent4 53" xfId="2230" xr:uid="{00000000-0005-0000-0000-000089080000}"/>
    <cellStyle name="20% - Accent4 54" xfId="2231" xr:uid="{00000000-0005-0000-0000-00008A080000}"/>
    <cellStyle name="20% - Accent4 55" xfId="2232" xr:uid="{00000000-0005-0000-0000-00008B080000}"/>
    <cellStyle name="20% - Accent4 56" xfId="2233" xr:uid="{00000000-0005-0000-0000-00008C080000}"/>
    <cellStyle name="20% - Accent4 57" xfId="2234" xr:uid="{00000000-0005-0000-0000-00008D080000}"/>
    <cellStyle name="20% - Accent4 58" xfId="2235" xr:uid="{00000000-0005-0000-0000-00008E080000}"/>
    <cellStyle name="20% - Accent4 59" xfId="2236" xr:uid="{00000000-0005-0000-0000-00008F080000}"/>
    <cellStyle name="20% - Accent4 6" xfId="2237" xr:uid="{00000000-0005-0000-0000-000090080000}"/>
    <cellStyle name="20% - Accent4 6 10" xfId="2238" xr:uid="{00000000-0005-0000-0000-000091080000}"/>
    <cellStyle name="20% - Accent4 6 11" xfId="2239" xr:uid="{00000000-0005-0000-0000-000092080000}"/>
    <cellStyle name="20% - Accent4 6 12" xfId="2240" xr:uid="{00000000-0005-0000-0000-000093080000}"/>
    <cellStyle name="20% - Accent4 6 13" xfId="2241" xr:uid="{00000000-0005-0000-0000-000094080000}"/>
    <cellStyle name="20% - Accent4 6 14" xfId="2242" xr:uid="{00000000-0005-0000-0000-000095080000}"/>
    <cellStyle name="20% - Accent4 6 15" xfId="2243" xr:uid="{00000000-0005-0000-0000-000096080000}"/>
    <cellStyle name="20% - Accent4 6 16" xfId="2244" xr:uid="{00000000-0005-0000-0000-000097080000}"/>
    <cellStyle name="20% - Accent4 6 17" xfId="2245" xr:uid="{00000000-0005-0000-0000-000098080000}"/>
    <cellStyle name="20% - Accent4 6 18" xfId="2246" xr:uid="{00000000-0005-0000-0000-000099080000}"/>
    <cellStyle name="20% - Accent4 6 19" xfId="2247" xr:uid="{00000000-0005-0000-0000-00009A080000}"/>
    <cellStyle name="20% - Accent4 6 2" xfId="2248" xr:uid="{00000000-0005-0000-0000-00009B080000}"/>
    <cellStyle name="20% - Accent4 6 20" xfId="2249" xr:uid="{00000000-0005-0000-0000-00009C080000}"/>
    <cellStyle name="20% - Accent4 6 21" xfId="2250" xr:uid="{00000000-0005-0000-0000-00009D080000}"/>
    <cellStyle name="20% - Accent4 6 22" xfId="2251" xr:uid="{00000000-0005-0000-0000-00009E080000}"/>
    <cellStyle name="20% - Accent4 6 23" xfId="2252" xr:uid="{00000000-0005-0000-0000-00009F080000}"/>
    <cellStyle name="20% - Accent4 6 24" xfId="2253" xr:uid="{00000000-0005-0000-0000-0000A0080000}"/>
    <cellStyle name="20% - Accent4 6 25" xfId="2254" xr:uid="{00000000-0005-0000-0000-0000A1080000}"/>
    <cellStyle name="20% - Accent4 6 26" xfId="2255" xr:uid="{00000000-0005-0000-0000-0000A2080000}"/>
    <cellStyle name="20% - Accent4 6 27" xfId="2256" xr:uid="{00000000-0005-0000-0000-0000A3080000}"/>
    <cellStyle name="20% - Accent4 6 28" xfId="2257" xr:uid="{00000000-0005-0000-0000-0000A4080000}"/>
    <cellStyle name="20% - Accent4 6 29" xfId="2258" xr:uid="{00000000-0005-0000-0000-0000A5080000}"/>
    <cellStyle name="20% - Accent4 6 3" xfId="2259" xr:uid="{00000000-0005-0000-0000-0000A6080000}"/>
    <cellStyle name="20% - Accent4 6 30" xfId="2260" xr:uid="{00000000-0005-0000-0000-0000A7080000}"/>
    <cellStyle name="20% - Accent4 6 31" xfId="2261" xr:uid="{00000000-0005-0000-0000-0000A8080000}"/>
    <cellStyle name="20% - Accent4 6 32" xfId="2262" xr:uid="{00000000-0005-0000-0000-0000A9080000}"/>
    <cellStyle name="20% - Accent4 6 33" xfId="2263" xr:uid="{00000000-0005-0000-0000-0000AA080000}"/>
    <cellStyle name="20% - Accent4 6 34" xfId="2264" xr:uid="{00000000-0005-0000-0000-0000AB080000}"/>
    <cellStyle name="20% - Accent4 6 35" xfId="2265" xr:uid="{00000000-0005-0000-0000-0000AC080000}"/>
    <cellStyle name="20% - Accent4 6 36" xfId="2266" xr:uid="{00000000-0005-0000-0000-0000AD080000}"/>
    <cellStyle name="20% - Accent4 6 37" xfId="2267" xr:uid="{00000000-0005-0000-0000-0000AE080000}"/>
    <cellStyle name="20% - Accent4 6 38" xfId="2268" xr:uid="{00000000-0005-0000-0000-0000AF080000}"/>
    <cellStyle name="20% - Accent4 6 39" xfId="2269" xr:uid="{00000000-0005-0000-0000-0000B0080000}"/>
    <cellStyle name="20% - Accent4 6 4" xfId="2270" xr:uid="{00000000-0005-0000-0000-0000B1080000}"/>
    <cellStyle name="20% - Accent4 6 5" xfId="2271" xr:uid="{00000000-0005-0000-0000-0000B2080000}"/>
    <cellStyle name="20% - Accent4 6 6" xfId="2272" xr:uid="{00000000-0005-0000-0000-0000B3080000}"/>
    <cellStyle name="20% - Accent4 6 7" xfId="2273" xr:uid="{00000000-0005-0000-0000-0000B4080000}"/>
    <cellStyle name="20% - Accent4 6 8" xfId="2274" xr:uid="{00000000-0005-0000-0000-0000B5080000}"/>
    <cellStyle name="20% - Accent4 6 9" xfId="2275" xr:uid="{00000000-0005-0000-0000-0000B6080000}"/>
    <cellStyle name="20% - Accent4 60" xfId="2276" xr:uid="{00000000-0005-0000-0000-0000B7080000}"/>
    <cellStyle name="20% - Accent4 61" xfId="2277" xr:uid="{00000000-0005-0000-0000-0000B8080000}"/>
    <cellStyle name="20% - Accent4 62" xfId="2278" xr:uid="{00000000-0005-0000-0000-0000B9080000}"/>
    <cellStyle name="20% - Accent4 63" xfId="2279" xr:uid="{00000000-0005-0000-0000-0000BA080000}"/>
    <cellStyle name="20% - Accent4 64" xfId="2280" xr:uid="{00000000-0005-0000-0000-0000BB080000}"/>
    <cellStyle name="20% - Accent4 65" xfId="2281" xr:uid="{00000000-0005-0000-0000-0000BC080000}"/>
    <cellStyle name="20% - Accent4 66" xfId="2282" xr:uid="{00000000-0005-0000-0000-0000BD080000}"/>
    <cellStyle name="20% - Accent4 67" xfId="2283" xr:uid="{00000000-0005-0000-0000-0000BE080000}"/>
    <cellStyle name="20% - Accent4 68" xfId="2284" xr:uid="{00000000-0005-0000-0000-0000BF080000}"/>
    <cellStyle name="20% - Accent4 69" xfId="2285" xr:uid="{00000000-0005-0000-0000-0000C0080000}"/>
    <cellStyle name="20% - Accent4 7" xfId="2286" xr:uid="{00000000-0005-0000-0000-0000C1080000}"/>
    <cellStyle name="20% - Accent4 7 10" xfId="2287" xr:uid="{00000000-0005-0000-0000-0000C2080000}"/>
    <cellStyle name="20% - Accent4 7 11" xfId="2288" xr:uid="{00000000-0005-0000-0000-0000C3080000}"/>
    <cellStyle name="20% - Accent4 7 12" xfId="2289" xr:uid="{00000000-0005-0000-0000-0000C4080000}"/>
    <cellStyle name="20% - Accent4 7 13" xfId="2290" xr:uid="{00000000-0005-0000-0000-0000C5080000}"/>
    <cellStyle name="20% - Accent4 7 14" xfId="2291" xr:uid="{00000000-0005-0000-0000-0000C6080000}"/>
    <cellStyle name="20% - Accent4 7 15" xfId="2292" xr:uid="{00000000-0005-0000-0000-0000C7080000}"/>
    <cellStyle name="20% - Accent4 7 16" xfId="2293" xr:uid="{00000000-0005-0000-0000-0000C8080000}"/>
    <cellStyle name="20% - Accent4 7 17" xfId="2294" xr:uid="{00000000-0005-0000-0000-0000C9080000}"/>
    <cellStyle name="20% - Accent4 7 18" xfId="2295" xr:uid="{00000000-0005-0000-0000-0000CA080000}"/>
    <cellStyle name="20% - Accent4 7 19" xfId="2296" xr:uid="{00000000-0005-0000-0000-0000CB080000}"/>
    <cellStyle name="20% - Accent4 7 2" xfId="2297" xr:uid="{00000000-0005-0000-0000-0000CC080000}"/>
    <cellStyle name="20% - Accent4 7 20" xfId="2298" xr:uid="{00000000-0005-0000-0000-0000CD080000}"/>
    <cellStyle name="20% - Accent4 7 21" xfId="2299" xr:uid="{00000000-0005-0000-0000-0000CE080000}"/>
    <cellStyle name="20% - Accent4 7 22" xfId="2300" xr:uid="{00000000-0005-0000-0000-0000CF080000}"/>
    <cellStyle name="20% - Accent4 7 23" xfId="2301" xr:uid="{00000000-0005-0000-0000-0000D0080000}"/>
    <cellStyle name="20% - Accent4 7 24" xfId="2302" xr:uid="{00000000-0005-0000-0000-0000D1080000}"/>
    <cellStyle name="20% - Accent4 7 25" xfId="2303" xr:uid="{00000000-0005-0000-0000-0000D2080000}"/>
    <cellStyle name="20% - Accent4 7 26" xfId="2304" xr:uid="{00000000-0005-0000-0000-0000D3080000}"/>
    <cellStyle name="20% - Accent4 7 27" xfId="2305" xr:uid="{00000000-0005-0000-0000-0000D4080000}"/>
    <cellStyle name="20% - Accent4 7 28" xfId="2306" xr:uid="{00000000-0005-0000-0000-0000D5080000}"/>
    <cellStyle name="20% - Accent4 7 29" xfId="2307" xr:uid="{00000000-0005-0000-0000-0000D6080000}"/>
    <cellStyle name="20% - Accent4 7 3" xfId="2308" xr:uid="{00000000-0005-0000-0000-0000D7080000}"/>
    <cellStyle name="20% - Accent4 7 30" xfId="2309" xr:uid="{00000000-0005-0000-0000-0000D8080000}"/>
    <cellStyle name="20% - Accent4 7 31" xfId="2310" xr:uid="{00000000-0005-0000-0000-0000D9080000}"/>
    <cellStyle name="20% - Accent4 7 32" xfId="2311" xr:uid="{00000000-0005-0000-0000-0000DA080000}"/>
    <cellStyle name="20% - Accent4 7 33" xfId="2312" xr:uid="{00000000-0005-0000-0000-0000DB080000}"/>
    <cellStyle name="20% - Accent4 7 34" xfId="2313" xr:uid="{00000000-0005-0000-0000-0000DC080000}"/>
    <cellStyle name="20% - Accent4 7 35" xfId="2314" xr:uid="{00000000-0005-0000-0000-0000DD080000}"/>
    <cellStyle name="20% - Accent4 7 36" xfId="2315" xr:uid="{00000000-0005-0000-0000-0000DE080000}"/>
    <cellStyle name="20% - Accent4 7 37" xfId="2316" xr:uid="{00000000-0005-0000-0000-0000DF080000}"/>
    <cellStyle name="20% - Accent4 7 38" xfId="2317" xr:uid="{00000000-0005-0000-0000-0000E0080000}"/>
    <cellStyle name="20% - Accent4 7 39" xfId="2318" xr:uid="{00000000-0005-0000-0000-0000E1080000}"/>
    <cellStyle name="20% - Accent4 7 4" xfId="2319" xr:uid="{00000000-0005-0000-0000-0000E2080000}"/>
    <cellStyle name="20% - Accent4 7 5" xfId="2320" xr:uid="{00000000-0005-0000-0000-0000E3080000}"/>
    <cellStyle name="20% - Accent4 7 6" xfId="2321" xr:uid="{00000000-0005-0000-0000-0000E4080000}"/>
    <cellStyle name="20% - Accent4 7 7" xfId="2322" xr:uid="{00000000-0005-0000-0000-0000E5080000}"/>
    <cellStyle name="20% - Accent4 7 8" xfId="2323" xr:uid="{00000000-0005-0000-0000-0000E6080000}"/>
    <cellStyle name="20% - Accent4 7 9" xfId="2324" xr:uid="{00000000-0005-0000-0000-0000E7080000}"/>
    <cellStyle name="20% - Accent4 70" xfId="2325" xr:uid="{00000000-0005-0000-0000-0000E8080000}"/>
    <cellStyle name="20% - Accent4 71" xfId="2326" xr:uid="{00000000-0005-0000-0000-0000E9080000}"/>
    <cellStyle name="20% - Accent4 72" xfId="2327" xr:uid="{00000000-0005-0000-0000-0000EA080000}"/>
    <cellStyle name="20% - Accent4 73" xfId="2328" xr:uid="{00000000-0005-0000-0000-0000EB080000}"/>
    <cellStyle name="20% - Accent4 74" xfId="2329" xr:uid="{00000000-0005-0000-0000-0000EC080000}"/>
    <cellStyle name="20% - Accent4 75" xfId="2330" xr:uid="{00000000-0005-0000-0000-0000ED080000}"/>
    <cellStyle name="20% - Accent4 76" xfId="2331" xr:uid="{00000000-0005-0000-0000-0000EE080000}"/>
    <cellStyle name="20% - Accent4 77" xfId="2332" xr:uid="{00000000-0005-0000-0000-0000EF080000}"/>
    <cellStyle name="20% - Accent4 78" xfId="2333" xr:uid="{00000000-0005-0000-0000-0000F0080000}"/>
    <cellStyle name="20% - Accent4 79" xfId="2334" xr:uid="{00000000-0005-0000-0000-0000F1080000}"/>
    <cellStyle name="20% - Accent4 8" xfId="2335" xr:uid="{00000000-0005-0000-0000-0000F2080000}"/>
    <cellStyle name="20% - Accent4 8 10" xfId="2336" xr:uid="{00000000-0005-0000-0000-0000F3080000}"/>
    <cellStyle name="20% - Accent4 8 11" xfId="2337" xr:uid="{00000000-0005-0000-0000-0000F4080000}"/>
    <cellStyle name="20% - Accent4 8 12" xfId="2338" xr:uid="{00000000-0005-0000-0000-0000F5080000}"/>
    <cellStyle name="20% - Accent4 8 13" xfId="2339" xr:uid="{00000000-0005-0000-0000-0000F6080000}"/>
    <cellStyle name="20% - Accent4 8 14" xfId="2340" xr:uid="{00000000-0005-0000-0000-0000F7080000}"/>
    <cellStyle name="20% - Accent4 8 15" xfId="2341" xr:uid="{00000000-0005-0000-0000-0000F8080000}"/>
    <cellStyle name="20% - Accent4 8 16" xfId="2342" xr:uid="{00000000-0005-0000-0000-0000F9080000}"/>
    <cellStyle name="20% - Accent4 8 17" xfId="2343" xr:uid="{00000000-0005-0000-0000-0000FA080000}"/>
    <cellStyle name="20% - Accent4 8 18" xfId="2344" xr:uid="{00000000-0005-0000-0000-0000FB080000}"/>
    <cellStyle name="20% - Accent4 8 19" xfId="2345" xr:uid="{00000000-0005-0000-0000-0000FC080000}"/>
    <cellStyle name="20% - Accent4 8 2" xfId="2346" xr:uid="{00000000-0005-0000-0000-0000FD080000}"/>
    <cellStyle name="20% - Accent4 8 20" xfId="2347" xr:uid="{00000000-0005-0000-0000-0000FE080000}"/>
    <cellStyle name="20% - Accent4 8 21" xfId="2348" xr:uid="{00000000-0005-0000-0000-0000FF080000}"/>
    <cellStyle name="20% - Accent4 8 22" xfId="2349" xr:uid="{00000000-0005-0000-0000-000000090000}"/>
    <cellStyle name="20% - Accent4 8 23" xfId="2350" xr:uid="{00000000-0005-0000-0000-000001090000}"/>
    <cellStyle name="20% - Accent4 8 24" xfId="2351" xr:uid="{00000000-0005-0000-0000-000002090000}"/>
    <cellStyle name="20% - Accent4 8 25" xfId="2352" xr:uid="{00000000-0005-0000-0000-000003090000}"/>
    <cellStyle name="20% - Accent4 8 26" xfId="2353" xr:uid="{00000000-0005-0000-0000-000004090000}"/>
    <cellStyle name="20% - Accent4 8 27" xfId="2354" xr:uid="{00000000-0005-0000-0000-000005090000}"/>
    <cellStyle name="20% - Accent4 8 28" xfId="2355" xr:uid="{00000000-0005-0000-0000-000006090000}"/>
    <cellStyle name="20% - Accent4 8 29" xfId="2356" xr:uid="{00000000-0005-0000-0000-000007090000}"/>
    <cellStyle name="20% - Accent4 8 3" xfId="2357" xr:uid="{00000000-0005-0000-0000-000008090000}"/>
    <cellStyle name="20% - Accent4 8 30" xfId="2358" xr:uid="{00000000-0005-0000-0000-000009090000}"/>
    <cellStyle name="20% - Accent4 8 31" xfId="2359" xr:uid="{00000000-0005-0000-0000-00000A090000}"/>
    <cellStyle name="20% - Accent4 8 32" xfId="2360" xr:uid="{00000000-0005-0000-0000-00000B090000}"/>
    <cellStyle name="20% - Accent4 8 33" xfId="2361" xr:uid="{00000000-0005-0000-0000-00000C090000}"/>
    <cellStyle name="20% - Accent4 8 34" xfId="2362" xr:uid="{00000000-0005-0000-0000-00000D090000}"/>
    <cellStyle name="20% - Accent4 8 35" xfId="2363" xr:uid="{00000000-0005-0000-0000-00000E090000}"/>
    <cellStyle name="20% - Accent4 8 36" xfId="2364" xr:uid="{00000000-0005-0000-0000-00000F090000}"/>
    <cellStyle name="20% - Accent4 8 37" xfId="2365" xr:uid="{00000000-0005-0000-0000-000010090000}"/>
    <cellStyle name="20% - Accent4 8 38" xfId="2366" xr:uid="{00000000-0005-0000-0000-000011090000}"/>
    <cellStyle name="20% - Accent4 8 39" xfId="2367" xr:uid="{00000000-0005-0000-0000-000012090000}"/>
    <cellStyle name="20% - Accent4 8 4" xfId="2368" xr:uid="{00000000-0005-0000-0000-000013090000}"/>
    <cellStyle name="20% - Accent4 8 5" xfId="2369" xr:uid="{00000000-0005-0000-0000-000014090000}"/>
    <cellStyle name="20% - Accent4 8 6" xfId="2370" xr:uid="{00000000-0005-0000-0000-000015090000}"/>
    <cellStyle name="20% - Accent4 8 7" xfId="2371" xr:uid="{00000000-0005-0000-0000-000016090000}"/>
    <cellStyle name="20% - Accent4 8 8" xfId="2372" xr:uid="{00000000-0005-0000-0000-000017090000}"/>
    <cellStyle name="20% - Accent4 8 9" xfId="2373" xr:uid="{00000000-0005-0000-0000-000018090000}"/>
    <cellStyle name="20% - Accent4 9" xfId="2374" xr:uid="{00000000-0005-0000-0000-000019090000}"/>
    <cellStyle name="20% - Accent4 9 10" xfId="2375" xr:uid="{00000000-0005-0000-0000-00001A090000}"/>
    <cellStyle name="20% - Accent4 9 11" xfId="2376" xr:uid="{00000000-0005-0000-0000-00001B090000}"/>
    <cellStyle name="20% - Accent4 9 12" xfId="2377" xr:uid="{00000000-0005-0000-0000-00001C090000}"/>
    <cellStyle name="20% - Accent4 9 13" xfId="2378" xr:uid="{00000000-0005-0000-0000-00001D090000}"/>
    <cellStyle name="20% - Accent4 9 14" xfId="2379" xr:uid="{00000000-0005-0000-0000-00001E090000}"/>
    <cellStyle name="20% - Accent4 9 15" xfId="2380" xr:uid="{00000000-0005-0000-0000-00001F090000}"/>
    <cellStyle name="20% - Accent4 9 16" xfId="2381" xr:uid="{00000000-0005-0000-0000-000020090000}"/>
    <cellStyle name="20% - Accent4 9 17" xfId="2382" xr:uid="{00000000-0005-0000-0000-000021090000}"/>
    <cellStyle name="20% - Accent4 9 18" xfId="2383" xr:uid="{00000000-0005-0000-0000-000022090000}"/>
    <cellStyle name="20% - Accent4 9 19" xfId="2384" xr:uid="{00000000-0005-0000-0000-000023090000}"/>
    <cellStyle name="20% - Accent4 9 2" xfId="2385" xr:uid="{00000000-0005-0000-0000-000024090000}"/>
    <cellStyle name="20% - Accent4 9 20" xfId="2386" xr:uid="{00000000-0005-0000-0000-000025090000}"/>
    <cellStyle name="20% - Accent4 9 21" xfId="2387" xr:uid="{00000000-0005-0000-0000-000026090000}"/>
    <cellStyle name="20% - Accent4 9 22" xfId="2388" xr:uid="{00000000-0005-0000-0000-000027090000}"/>
    <cellStyle name="20% - Accent4 9 23" xfId="2389" xr:uid="{00000000-0005-0000-0000-000028090000}"/>
    <cellStyle name="20% - Accent4 9 24" xfId="2390" xr:uid="{00000000-0005-0000-0000-000029090000}"/>
    <cellStyle name="20% - Accent4 9 25" xfId="2391" xr:uid="{00000000-0005-0000-0000-00002A090000}"/>
    <cellStyle name="20% - Accent4 9 26" xfId="2392" xr:uid="{00000000-0005-0000-0000-00002B090000}"/>
    <cellStyle name="20% - Accent4 9 27" xfId="2393" xr:uid="{00000000-0005-0000-0000-00002C090000}"/>
    <cellStyle name="20% - Accent4 9 28" xfId="2394" xr:uid="{00000000-0005-0000-0000-00002D090000}"/>
    <cellStyle name="20% - Accent4 9 29" xfId="2395" xr:uid="{00000000-0005-0000-0000-00002E090000}"/>
    <cellStyle name="20% - Accent4 9 3" xfId="2396" xr:uid="{00000000-0005-0000-0000-00002F090000}"/>
    <cellStyle name="20% - Accent4 9 30" xfId="2397" xr:uid="{00000000-0005-0000-0000-000030090000}"/>
    <cellStyle name="20% - Accent4 9 31" xfId="2398" xr:uid="{00000000-0005-0000-0000-000031090000}"/>
    <cellStyle name="20% - Accent4 9 32" xfId="2399" xr:uid="{00000000-0005-0000-0000-000032090000}"/>
    <cellStyle name="20% - Accent4 9 33" xfId="2400" xr:uid="{00000000-0005-0000-0000-000033090000}"/>
    <cellStyle name="20% - Accent4 9 34" xfId="2401" xr:uid="{00000000-0005-0000-0000-000034090000}"/>
    <cellStyle name="20% - Accent4 9 35" xfId="2402" xr:uid="{00000000-0005-0000-0000-000035090000}"/>
    <cellStyle name="20% - Accent4 9 36" xfId="2403" xr:uid="{00000000-0005-0000-0000-000036090000}"/>
    <cellStyle name="20% - Accent4 9 37" xfId="2404" xr:uid="{00000000-0005-0000-0000-000037090000}"/>
    <cellStyle name="20% - Accent4 9 38" xfId="2405" xr:uid="{00000000-0005-0000-0000-000038090000}"/>
    <cellStyle name="20% - Accent4 9 39" xfId="2406" xr:uid="{00000000-0005-0000-0000-000039090000}"/>
    <cellStyle name="20% - Accent4 9 4" xfId="2407" xr:uid="{00000000-0005-0000-0000-00003A090000}"/>
    <cellStyle name="20% - Accent4 9 5" xfId="2408" xr:uid="{00000000-0005-0000-0000-00003B090000}"/>
    <cellStyle name="20% - Accent4 9 6" xfId="2409" xr:uid="{00000000-0005-0000-0000-00003C090000}"/>
    <cellStyle name="20% - Accent4 9 7" xfId="2410" xr:uid="{00000000-0005-0000-0000-00003D090000}"/>
    <cellStyle name="20% - Accent4 9 8" xfId="2411" xr:uid="{00000000-0005-0000-0000-00003E090000}"/>
    <cellStyle name="20% - Accent4 9 9" xfId="2412" xr:uid="{00000000-0005-0000-0000-00003F090000}"/>
    <cellStyle name="20% - Accent5" xfId="36" builtinId="46" customBuiltin="1"/>
    <cellStyle name="20% - Accent5 10" xfId="2413" xr:uid="{00000000-0005-0000-0000-000041090000}"/>
    <cellStyle name="20% - Accent5 10 10" xfId="2414" xr:uid="{00000000-0005-0000-0000-000042090000}"/>
    <cellStyle name="20% - Accent5 10 11" xfId="2415" xr:uid="{00000000-0005-0000-0000-000043090000}"/>
    <cellStyle name="20% - Accent5 10 12" xfId="2416" xr:uid="{00000000-0005-0000-0000-000044090000}"/>
    <cellStyle name="20% - Accent5 10 13" xfId="2417" xr:uid="{00000000-0005-0000-0000-000045090000}"/>
    <cellStyle name="20% - Accent5 10 14" xfId="2418" xr:uid="{00000000-0005-0000-0000-000046090000}"/>
    <cellStyle name="20% - Accent5 10 15" xfId="2419" xr:uid="{00000000-0005-0000-0000-000047090000}"/>
    <cellStyle name="20% - Accent5 10 16" xfId="2420" xr:uid="{00000000-0005-0000-0000-000048090000}"/>
    <cellStyle name="20% - Accent5 10 17" xfId="2421" xr:uid="{00000000-0005-0000-0000-000049090000}"/>
    <cellStyle name="20% - Accent5 10 18" xfId="2422" xr:uid="{00000000-0005-0000-0000-00004A090000}"/>
    <cellStyle name="20% - Accent5 10 19" xfId="2423" xr:uid="{00000000-0005-0000-0000-00004B090000}"/>
    <cellStyle name="20% - Accent5 10 2" xfId="2424" xr:uid="{00000000-0005-0000-0000-00004C090000}"/>
    <cellStyle name="20% - Accent5 10 20" xfId="2425" xr:uid="{00000000-0005-0000-0000-00004D090000}"/>
    <cellStyle name="20% - Accent5 10 21" xfId="2426" xr:uid="{00000000-0005-0000-0000-00004E090000}"/>
    <cellStyle name="20% - Accent5 10 22" xfId="2427" xr:uid="{00000000-0005-0000-0000-00004F090000}"/>
    <cellStyle name="20% - Accent5 10 23" xfId="2428" xr:uid="{00000000-0005-0000-0000-000050090000}"/>
    <cellStyle name="20% - Accent5 10 24" xfId="2429" xr:uid="{00000000-0005-0000-0000-000051090000}"/>
    <cellStyle name="20% - Accent5 10 25" xfId="2430" xr:uid="{00000000-0005-0000-0000-000052090000}"/>
    <cellStyle name="20% - Accent5 10 26" xfId="2431" xr:uid="{00000000-0005-0000-0000-000053090000}"/>
    <cellStyle name="20% - Accent5 10 27" xfId="2432" xr:uid="{00000000-0005-0000-0000-000054090000}"/>
    <cellStyle name="20% - Accent5 10 28" xfId="2433" xr:uid="{00000000-0005-0000-0000-000055090000}"/>
    <cellStyle name="20% - Accent5 10 29" xfId="2434" xr:uid="{00000000-0005-0000-0000-000056090000}"/>
    <cellStyle name="20% - Accent5 10 3" xfId="2435" xr:uid="{00000000-0005-0000-0000-000057090000}"/>
    <cellStyle name="20% - Accent5 10 30" xfId="2436" xr:uid="{00000000-0005-0000-0000-000058090000}"/>
    <cellStyle name="20% - Accent5 10 31" xfId="2437" xr:uid="{00000000-0005-0000-0000-000059090000}"/>
    <cellStyle name="20% - Accent5 10 32" xfId="2438" xr:uid="{00000000-0005-0000-0000-00005A090000}"/>
    <cellStyle name="20% - Accent5 10 33" xfId="2439" xr:uid="{00000000-0005-0000-0000-00005B090000}"/>
    <cellStyle name="20% - Accent5 10 34" xfId="2440" xr:uid="{00000000-0005-0000-0000-00005C090000}"/>
    <cellStyle name="20% - Accent5 10 35" xfId="2441" xr:uid="{00000000-0005-0000-0000-00005D090000}"/>
    <cellStyle name="20% - Accent5 10 36" xfId="2442" xr:uid="{00000000-0005-0000-0000-00005E090000}"/>
    <cellStyle name="20% - Accent5 10 37" xfId="2443" xr:uid="{00000000-0005-0000-0000-00005F090000}"/>
    <cellStyle name="20% - Accent5 10 38" xfId="2444" xr:uid="{00000000-0005-0000-0000-000060090000}"/>
    <cellStyle name="20% - Accent5 10 39" xfId="2445" xr:uid="{00000000-0005-0000-0000-000061090000}"/>
    <cellStyle name="20% - Accent5 10 4" xfId="2446" xr:uid="{00000000-0005-0000-0000-000062090000}"/>
    <cellStyle name="20% - Accent5 10 5" xfId="2447" xr:uid="{00000000-0005-0000-0000-000063090000}"/>
    <cellStyle name="20% - Accent5 10 6" xfId="2448" xr:uid="{00000000-0005-0000-0000-000064090000}"/>
    <cellStyle name="20% - Accent5 10 7" xfId="2449" xr:uid="{00000000-0005-0000-0000-000065090000}"/>
    <cellStyle name="20% - Accent5 10 8" xfId="2450" xr:uid="{00000000-0005-0000-0000-000066090000}"/>
    <cellStyle name="20% - Accent5 10 9" xfId="2451" xr:uid="{00000000-0005-0000-0000-000067090000}"/>
    <cellStyle name="20% - Accent5 11" xfId="2452" xr:uid="{00000000-0005-0000-0000-000068090000}"/>
    <cellStyle name="20% - Accent5 11 10" xfId="2453" xr:uid="{00000000-0005-0000-0000-000069090000}"/>
    <cellStyle name="20% - Accent5 11 11" xfId="2454" xr:uid="{00000000-0005-0000-0000-00006A090000}"/>
    <cellStyle name="20% - Accent5 11 12" xfId="2455" xr:uid="{00000000-0005-0000-0000-00006B090000}"/>
    <cellStyle name="20% - Accent5 11 13" xfId="2456" xr:uid="{00000000-0005-0000-0000-00006C090000}"/>
    <cellStyle name="20% - Accent5 11 14" xfId="2457" xr:uid="{00000000-0005-0000-0000-00006D090000}"/>
    <cellStyle name="20% - Accent5 11 15" xfId="2458" xr:uid="{00000000-0005-0000-0000-00006E090000}"/>
    <cellStyle name="20% - Accent5 11 16" xfId="2459" xr:uid="{00000000-0005-0000-0000-00006F090000}"/>
    <cellStyle name="20% - Accent5 11 17" xfId="2460" xr:uid="{00000000-0005-0000-0000-000070090000}"/>
    <cellStyle name="20% - Accent5 11 18" xfId="2461" xr:uid="{00000000-0005-0000-0000-000071090000}"/>
    <cellStyle name="20% - Accent5 11 19" xfId="2462" xr:uid="{00000000-0005-0000-0000-000072090000}"/>
    <cellStyle name="20% - Accent5 11 2" xfId="2463" xr:uid="{00000000-0005-0000-0000-000073090000}"/>
    <cellStyle name="20% - Accent5 11 20" xfId="2464" xr:uid="{00000000-0005-0000-0000-000074090000}"/>
    <cellStyle name="20% - Accent5 11 21" xfId="2465" xr:uid="{00000000-0005-0000-0000-000075090000}"/>
    <cellStyle name="20% - Accent5 11 22" xfId="2466" xr:uid="{00000000-0005-0000-0000-000076090000}"/>
    <cellStyle name="20% - Accent5 11 23" xfId="2467" xr:uid="{00000000-0005-0000-0000-000077090000}"/>
    <cellStyle name="20% - Accent5 11 24" xfId="2468" xr:uid="{00000000-0005-0000-0000-000078090000}"/>
    <cellStyle name="20% - Accent5 11 25" xfId="2469" xr:uid="{00000000-0005-0000-0000-000079090000}"/>
    <cellStyle name="20% - Accent5 11 26" xfId="2470" xr:uid="{00000000-0005-0000-0000-00007A090000}"/>
    <cellStyle name="20% - Accent5 11 27" xfId="2471" xr:uid="{00000000-0005-0000-0000-00007B090000}"/>
    <cellStyle name="20% - Accent5 11 28" xfId="2472" xr:uid="{00000000-0005-0000-0000-00007C090000}"/>
    <cellStyle name="20% - Accent5 11 29" xfId="2473" xr:uid="{00000000-0005-0000-0000-00007D090000}"/>
    <cellStyle name="20% - Accent5 11 3" xfId="2474" xr:uid="{00000000-0005-0000-0000-00007E090000}"/>
    <cellStyle name="20% - Accent5 11 30" xfId="2475" xr:uid="{00000000-0005-0000-0000-00007F090000}"/>
    <cellStyle name="20% - Accent5 11 31" xfId="2476" xr:uid="{00000000-0005-0000-0000-000080090000}"/>
    <cellStyle name="20% - Accent5 11 32" xfId="2477" xr:uid="{00000000-0005-0000-0000-000081090000}"/>
    <cellStyle name="20% - Accent5 11 33" xfId="2478" xr:uid="{00000000-0005-0000-0000-000082090000}"/>
    <cellStyle name="20% - Accent5 11 34" xfId="2479" xr:uid="{00000000-0005-0000-0000-000083090000}"/>
    <cellStyle name="20% - Accent5 11 35" xfId="2480" xr:uid="{00000000-0005-0000-0000-000084090000}"/>
    <cellStyle name="20% - Accent5 11 36" xfId="2481" xr:uid="{00000000-0005-0000-0000-000085090000}"/>
    <cellStyle name="20% - Accent5 11 37" xfId="2482" xr:uid="{00000000-0005-0000-0000-000086090000}"/>
    <cellStyle name="20% - Accent5 11 38" xfId="2483" xr:uid="{00000000-0005-0000-0000-000087090000}"/>
    <cellStyle name="20% - Accent5 11 39" xfId="2484" xr:uid="{00000000-0005-0000-0000-000088090000}"/>
    <cellStyle name="20% - Accent5 11 4" xfId="2485" xr:uid="{00000000-0005-0000-0000-000089090000}"/>
    <cellStyle name="20% - Accent5 11 5" xfId="2486" xr:uid="{00000000-0005-0000-0000-00008A090000}"/>
    <cellStyle name="20% - Accent5 11 6" xfId="2487" xr:uid="{00000000-0005-0000-0000-00008B090000}"/>
    <cellStyle name="20% - Accent5 11 7" xfId="2488" xr:uid="{00000000-0005-0000-0000-00008C090000}"/>
    <cellStyle name="20% - Accent5 11 8" xfId="2489" xr:uid="{00000000-0005-0000-0000-00008D090000}"/>
    <cellStyle name="20% - Accent5 11 9" xfId="2490" xr:uid="{00000000-0005-0000-0000-00008E090000}"/>
    <cellStyle name="20% - Accent5 12" xfId="2491" xr:uid="{00000000-0005-0000-0000-00008F090000}"/>
    <cellStyle name="20% - Accent5 13" xfId="2492" xr:uid="{00000000-0005-0000-0000-000090090000}"/>
    <cellStyle name="20% - Accent5 14" xfId="2493" xr:uid="{00000000-0005-0000-0000-000091090000}"/>
    <cellStyle name="20% - Accent5 15" xfId="2494" xr:uid="{00000000-0005-0000-0000-000092090000}"/>
    <cellStyle name="20% - Accent5 16" xfId="2495" xr:uid="{00000000-0005-0000-0000-000093090000}"/>
    <cellStyle name="20% - Accent5 17" xfId="2496" xr:uid="{00000000-0005-0000-0000-000094090000}"/>
    <cellStyle name="20% - Accent5 18" xfId="2497" xr:uid="{00000000-0005-0000-0000-000095090000}"/>
    <cellStyle name="20% - Accent5 19" xfId="2498" xr:uid="{00000000-0005-0000-0000-000096090000}"/>
    <cellStyle name="20% - Accent5 2" xfId="2499" xr:uid="{00000000-0005-0000-0000-000097090000}"/>
    <cellStyle name="20% - Accent5 2 10" xfId="2500" xr:uid="{00000000-0005-0000-0000-000098090000}"/>
    <cellStyle name="20% - Accent5 2 11" xfId="2501" xr:uid="{00000000-0005-0000-0000-000099090000}"/>
    <cellStyle name="20% - Accent5 2 12" xfId="2502" xr:uid="{00000000-0005-0000-0000-00009A090000}"/>
    <cellStyle name="20% - Accent5 2 13" xfId="2503" xr:uid="{00000000-0005-0000-0000-00009B090000}"/>
    <cellStyle name="20% - Accent5 2 14" xfId="2504" xr:uid="{00000000-0005-0000-0000-00009C090000}"/>
    <cellStyle name="20% - Accent5 2 15" xfId="2505" xr:uid="{00000000-0005-0000-0000-00009D090000}"/>
    <cellStyle name="20% - Accent5 2 16" xfId="2506" xr:uid="{00000000-0005-0000-0000-00009E090000}"/>
    <cellStyle name="20% - Accent5 2 17" xfId="2507" xr:uid="{00000000-0005-0000-0000-00009F090000}"/>
    <cellStyle name="20% - Accent5 2 18" xfId="2508" xr:uid="{00000000-0005-0000-0000-0000A0090000}"/>
    <cellStyle name="20% - Accent5 2 19" xfId="2509" xr:uid="{00000000-0005-0000-0000-0000A1090000}"/>
    <cellStyle name="20% - Accent5 2 2" xfId="2510" xr:uid="{00000000-0005-0000-0000-0000A2090000}"/>
    <cellStyle name="20% - Accent5 2 2 2" xfId="2511" xr:uid="{00000000-0005-0000-0000-0000A3090000}"/>
    <cellStyle name="20% - Accent5 2 20" xfId="2512" xr:uid="{00000000-0005-0000-0000-0000A4090000}"/>
    <cellStyle name="20% - Accent5 2 21" xfId="2513" xr:uid="{00000000-0005-0000-0000-0000A5090000}"/>
    <cellStyle name="20% - Accent5 2 22" xfId="2514" xr:uid="{00000000-0005-0000-0000-0000A6090000}"/>
    <cellStyle name="20% - Accent5 2 23" xfId="2515" xr:uid="{00000000-0005-0000-0000-0000A7090000}"/>
    <cellStyle name="20% - Accent5 2 24" xfId="2516" xr:uid="{00000000-0005-0000-0000-0000A8090000}"/>
    <cellStyle name="20% - Accent5 2 25" xfId="2517" xr:uid="{00000000-0005-0000-0000-0000A9090000}"/>
    <cellStyle name="20% - Accent5 2 26" xfId="2518" xr:uid="{00000000-0005-0000-0000-0000AA090000}"/>
    <cellStyle name="20% - Accent5 2 27" xfId="2519" xr:uid="{00000000-0005-0000-0000-0000AB090000}"/>
    <cellStyle name="20% - Accent5 2 28" xfId="2520" xr:uid="{00000000-0005-0000-0000-0000AC090000}"/>
    <cellStyle name="20% - Accent5 2 29" xfId="2521" xr:uid="{00000000-0005-0000-0000-0000AD090000}"/>
    <cellStyle name="20% - Accent5 2 3" xfId="2522" xr:uid="{00000000-0005-0000-0000-0000AE090000}"/>
    <cellStyle name="20% - Accent5 2 3 2" xfId="2523" xr:uid="{00000000-0005-0000-0000-0000AF090000}"/>
    <cellStyle name="20% - Accent5 2 30" xfId="2524" xr:uid="{00000000-0005-0000-0000-0000B0090000}"/>
    <cellStyle name="20% - Accent5 2 31" xfId="2525" xr:uid="{00000000-0005-0000-0000-0000B1090000}"/>
    <cellStyle name="20% - Accent5 2 32" xfId="2526" xr:uid="{00000000-0005-0000-0000-0000B2090000}"/>
    <cellStyle name="20% - Accent5 2 33" xfId="2527" xr:uid="{00000000-0005-0000-0000-0000B3090000}"/>
    <cellStyle name="20% - Accent5 2 34" xfId="2528" xr:uid="{00000000-0005-0000-0000-0000B4090000}"/>
    <cellStyle name="20% - Accent5 2 35" xfId="2529" xr:uid="{00000000-0005-0000-0000-0000B5090000}"/>
    <cellStyle name="20% - Accent5 2 36" xfId="2530" xr:uid="{00000000-0005-0000-0000-0000B6090000}"/>
    <cellStyle name="20% - Accent5 2 37" xfId="2531" xr:uid="{00000000-0005-0000-0000-0000B7090000}"/>
    <cellStyle name="20% - Accent5 2 38" xfId="2532" xr:uid="{00000000-0005-0000-0000-0000B8090000}"/>
    <cellStyle name="20% - Accent5 2 39" xfId="2533" xr:uid="{00000000-0005-0000-0000-0000B9090000}"/>
    <cellStyle name="20% - Accent5 2 4" xfId="2534" xr:uid="{00000000-0005-0000-0000-0000BA090000}"/>
    <cellStyle name="20% - Accent5 2 4 2" xfId="2535" xr:uid="{00000000-0005-0000-0000-0000BB090000}"/>
    <cellStyle name="20% - Accent5 2 40" xfId="2536" xr:uid="{00000000-0005-0000-0000-0000BC090000}"/>
    <cellStyle name="20% - Accent5 2 41" xfId="2537" xr:uid="{00000000-0005-0000-0000-0000BD090000}"/>
    <cellStyle name="20% - Accent5 2 42" xfId="2538" xr:uid="{00000000-0005-0000-0000-0000BE090000}"/>
    <cellStyle name="20% - Accent5 2 43" xfId="2539" xr:uid="{00000000-0005-0000-0000-0000BF090000}"/>
    <cellStyle name="20% - Accent5 2 44" xfId="2540" xr:uid="{00000000-0005-0000-0000-0000C0090000}"/>
    <cellStyle name="20% - Accent5 2 45" xfId="2541" xr:uid="{00000000-0005-0000-0000-0000C1090000}"/>
    <cellStyle name="20% - Accent5 2 46" xfId="2542" xr:uid="{00000000-0005-0000-0000-0000C2090000}"/>
    <cellStyle name="20% - Accent5 2 47" xfId="2543" xr:uid="{00000000-0005-0000-0000-0000C3090000}"/>
    <cellStyle name="20% - Accent5 2 48" xfId="2544" xr:uid="{00000000-0005-0000-0000-0000C4090000}"/>
    <cellStyle name="20% - Accent5 2 49" xfId="2545" xr:uid="{00000000-0005-0000-0000-0000C5090000}"/>
    <cellStyle name="20% - Accent5 2 5" xfId="2546" xr:uid="{00000000-0005-0000-0000-0000C6090000}"/>
    <cellStyle name="20% - Accent5 2 5 2" xfId="2547" xr:uid="{00000000-0005-0000-0000-0000C7090000}"/>
    <cellStyle name="20% - Accent5 2 50" xfId="2548" xr:uid="{00000000-0005-0000-0000-0000C8090000}"/>
    <cellStyle name="20% - Accent5 2 51" xfId="2549" xr:uid="{00000000-0005-0000-0000-0000C9090000}"/>
    <cellStyle name="20% - Accent5 2 52" xfId="2550" xr:uid="{00000000-0005-0000-0000-0000CA090000}"/>
    <cellStyle name="20% - Accent5 2 53" xfId="2551" xr:uid="{00000000-0005-0000-0000-0000CB090000}"/>
    <cellStyle name="20% - Accent5 2 54" xfId="2552" xr:uid="{00000000-0005-0000-0000-0000CC090000}"/>
    <cellStyle name="20% - Accent5 2 55" xfId="2553" xr:uid="{00000000-0005-0000-0000-0000CD090000}"/>
    <cellStyle name="20% - Accent5 2 56" xfId="2554" xr:uid="{00000000-0005-0000-0000-0000CE090000}"/>
    <cellStyle name="20% - Accent5 2 57" xfId="2555" xr:uid="{00000000-0005-0000-0000-0000CF090000}"/>
    <cellStyle name="20% - Accent5 2 58" xfId="2556" xr:uid="{00000000-0005-0000-0000-0000D0090000}"/>
    <cellStyle name="20% - Accent5 2 59" xfId="2557" xr:uid="{00000000-0005-0000-0000-0000D1090000}"/>
    <cellStyle name="20% - Accent5 2 6" xfId="2558" xr:uid="{00000000-0005-0000-0000-0000D2090000}"/>
    <cellStyle name="20% - Accent5 2 6 2" xfId="2559" xr:uid="{00000000-0005-0000-0000-0000D3090000}"/>
    <cellStyle name="20% - Accent5 2 60" xfId="2560" xr:uid="{00000000-0005-0000-0000-0000D4090000}"/>
    <cellStyle name="20% - Accent5 2 61" xfId="2561" xr:uid="{00000000-0005-0000-0000-0000D5090000}"/>
    <cellStyle name="20% - Accent5 2 62" xfId="2562" xr:uid="{00000000-0005-0000-0000-0000D6090000}"/>
    <cellStyle name="20% - Accent5 2 63" xfId="2563" xr:uid="{00000000-0005-0000-0000-0000D7090000}"/>
    <cellStyle name="20% - Accent5 2 64" xfId="2564" xr:uid="{00000000-0005-0000-0000-0000D8090000}"/>
    <cellStyle name="20% - Accent5 2 65" xfId="2565" xr:uid="{00000000-0005-0000-0000-0000D9090000}"/>
    <cellStyle name="20% - Accent5 2 66" xfId="2566" xr:uid="{00000000-0005-0000-0000-0000DA090000}"/>
    <cellStyle name="20% - Accent5 2 67" xfId="2567" xr:uid="{00000000-0005-0000-0000-0000DB090000}"/>
    <cellStyle name="20% - Accent5 2 68" xfId="2568" xr:uid="{00000000-0005-0000-0000-0000DC090000}"/>
    <cellStyle name="20% - Accent5 2 69" xfId="2569" xr:uid="{00000000-0005-0000-0000-0000DD090000}"/>
    <cellStyle name="20% - Accent5 2 7" xfId="2570" xr:uid="{00000000-0005-0000-0000-0000DE090000}"/>
    <cellStyle name="20% - Accent5 2 7 2" xfId="2571" xr:uid="{00000000-0005-0000-0000-0000DF090000}"/>
    <cellStyle name="20% - Accent5 2 70" xfId="2572" xr:uid="{00000000-0005-0000-0000-0000E0090000}"/>
    <cellStyle name="20% - Accent5 2 71" xfId="2573" xr:uid="{00000000-0005-0000-0000-0000E1090000}"/>
    <cellStyle name="20% - Accent5 2 72" xfId="2574" xr:uid="{00000000-0005-0000-0000-0000E2090000}"/>
    <cellStyle name="20% - Accent5 2 73" xfId="2575" xr:uid="{00000000-0005-0000-0000-0000E3090000}"/>
    <cellStyle name="20% - Accent5 2 74" xfId="2576" xr:uid="{00000000-0005-0000-0000-0000E4090000}"/>
    <cellStyle name="20% - Accent5 2 75" xfId="2577" xr:uid="{00000000-0005-0000-0000-0000E5090000}"/>
    <cellStyle name="20% - Accent5 2 8" xfId="2578" xr:uid="{00000000-0005-0000-0000-0000E6090000}"/>
    <cellStyle name="20% - Accent5 2 8 2" xfId="2579" xr:uid="{00000000-0005-0000-0000-0000E7090000}"/>
    <cellStyle name="20% - Accent5 2 9" xfId="2580" xr:uid="{00000000-0005-0000-0000-0000E8090000}"/>
    <cellStyle name="20% - Accent5 2 9 2" xfId="2581" xr:uid="{00000000-0005-0000-0000-0000E9090000}"/>
    <cellStyle name="20% - Accent5 20" xfId="2582" xr:uid="{00000000-0005-0000-0000-0000EA090000}"/>
    <cellStyle name="20% - Accent5 21" xfId="2583" xr:uid="{00000000-0005-0000-0000-0000EB090000}"/>
    <cellStyle name="20% - Accent5 22" xfId="2584" xr:uid="{00000000-0005-0000-0000-0000EC090000}"/>
    <cellStyle name="20% - Accent5 23" xfId="2585" xr:uid="{00000000-0005-0000-0000-0000ED090000}"/>
    <cellStyle name="20% - Accent5 24" xfId="2586" xr:uid="{00000000-0005-0000-0000-0000EE090000}"/>
    <cellStyle name="20% - Accent5 25" xfId="2587" xr:uid="{00000000-0005-0000-0000-0000EF090000}"/>
    <cellStyle name="20% - Accent5 26" xfId="2588" xr:uid="{00000000-0005-0000-0000-0000F0090000}"/>
    <cellStyle name="20% - Accent5 27" xfId="2589" xr:uid="{00000000-0005-0000-0000-0000F1090000}"/>
    <cellStyle name="20% - Accent5 28" xfId="2590" xr:uid="{00000000-0005-0000-0000-0000F2090000}"/>
    <cellStyle name="20% - Accent5 29" xfId="2591" xr:uid="{00000000-0005-0000-0000-0000F3090000}"/>
    <cellStyle name="20% - Accent5 3" xfId="2592" xr:uid="{00000000-0005-0000-0000-0000F4090000}"/>
    <cellStyle name="20% - Accent5 3 10" xfId="2593" xr:uid="{00000000-0005-0000-0000-0000F5090000}"/>
    <cellStyle name="20% - Accent5 3 11" xfId="2594" xr:uid="{00000000-0005-0000-0000-0000F6090000}"/>
    <cellStyle name="20% - Accent5 3 12" xfId="2595" xr:uid="{00000000-0005-0000-0000-0000F7090000}"/>
    <cellStyle name="20% - Accent5 3 13" xfId="2596" xr:uid="{00000000-0005-0000-0000-0000F8090000}"/>
    <cellStyle name="20% - Accent5 3 14" xfId="2597" xr:uid="{00000000-0005-0000-0000-0000F9090000}"/>
    <cellStyle name="20% - Accent5 3 15" xfId="2598" xr:uid="{00000000-0005-0000-0000-0000FA090000}"/>
    <cellStyle name="20% - Accent5 3 16" xfId="2599" xr:uid="{00000000-0005-0000-0000-0000FB090000}"/>
    <cellStyle name="20% - Accent5 3 17" xfId="2600" xr:uid="{00000000-0005-0000-0000-0000FC090000}"/>
    <cellStyle name="20% - Accent5 3 18" xfId="2601" xr:uid="{00000000-0005-0000-0000-0000FD090000}"/>
    <cellStyle name="20% - Accent5 3 19" xfId="2602" xr:uid="{00000000-0005-0000-0000-0000FE090000}"/>
    <cellStyle name="20% - Accent5 3 2" xfId="2603" xr:uid="{00000000-0005-0000-0000-0000FF090000}"/>
    <cellStyle name="20% - Accent5 3 2 2" xfId="2604" xr:uid="{00000000-0005-0000-0000-0000000A0000}"/>
    <cellStyle name="20% - Accent5 3 20" xfId="2605" xr:uid="{00000000-0005-0000-0000-0000010A0000}"/>
    <cellStyle name="20% - Accent5 3 21" xfId="2606" xr:uid="{00000000-0005-0000-0000-0000020A0000}"/>
    <cellStyle name="20% - Accent5 3 22" xfId="2607" xr:uid="{00000000-0005-0000-0000-0000030A0000}"/>
    <cellStyle name="20% - Accent5 3 23" xfId="2608" xr:uid="{00000000-0005-0000-0000-0000040A0000}"/>
    <cellStyle name="20% - Accent5 3 24" xfId="2609" xr:uid="{00000000-0005-0000-0000-0000050A0000}"/>
    <cellStyle name="20% - Accent5 3 25" xfId="2610" xr:uid="{00000000-0005-0000-0000-0000060A0000}"/>
    <cellStyle name="20% - Accent5 3 26" xfId="2611" xr:uid="{00000000-0005-0000-0000-0000070A0000}"/>
    <cellStyle name="20% - Accent5 3 27" xfId="2612" xr:uid="{00000000-0005-0000-0000-0000080A0000}"/>
    <cellStyle name="20% - Accent5 3 28" xfId="2613" xr:uid="{00000000-0005-0000-0000-0000090A0000}"/>
    <cellStyle name="20% - Accent5 3 29" xfId="2614" xr:uid="{00000000-0005-0000-0000-00000A0A0000}"/>
    <cellStyle name="20% - Accent5 3 3" xfId="2615" xr:uid="{00000000-0005-0000-0000-00000B0A0000}"/>
    <cellStyle name="20% - Accent5 3 3 2" xfId="2616" xr:uid="{00000000-0005-0000-0000-00000C0A0000}"/>
    <cellStyle name="20% - Accent5 3 30" xfId="2617" xr:uid="{00000000-0005-0000-0000-00000D0A0000}"/>
    <cellStyle name="20% - Accent5 3 31" xfId="2618" xr:uid="{00000000-0005-0000-0000-00000E0A0000}"/>
    <cellStyle name="20% - Accent5 3 32" xfId="2619" xr:uid="{00000000-0005-0000-0000-00000F0A0000}"/>
    <cellStyle name="20% - Accent5 3 33" xfId="2620" xr:uid="{00000000-0005-0000-0000-0000100A0000}"/>
    <cellStyle name="20% - Accent5 3 34" xfId="2621" xr:uid="{00000000-0005-0000-0000-0000110A0000}"/>
    <cellStyle name="20% - Accent5 3 35" xfId="2622" xr:uid="{00000000-0005-0000-0000-0000120A0000}"/>
    <cellStyle name="20% - Accent5 3 36" xfId="2623" xr:uid="{00000000-0005-0000-0000-0000130A0000}"/>
    <cellStyle name="20% - Accent5 3 37" xfId="2624" xr:uid="{00000000-0005-0000-0000-0000140A0000}"/>
    <cellStyle name="20% - Accent5 3 38" xfId="2625" xr:uid="{00000000-0005-0000-0000-0000150A0000}"/>
    <cellStyle name="20% - Accent5 3 39" xfId="2626" xr:uid="{00000000-0005-0000-0000-0000160A0000}"/>
    <cellStyle name="20% - Accent5 3 4" xfId="2627" xr:uid="{00000000-0005-0000-0000-0000170A0000}"/>
    <cellStyle name="20% - Accent5 3 4 2" xfId="2628" xr:uid="{00000000-0005-0000-0000-0000180A0000}"/>
    <cellStyle name="20% - Accent5 3 40" xfId="2629" xr:uid="{00000000-0005-0000-0000-0000190A0000}"/>
    <cellStyle name="20% - Accent5 3 41" xfId="2630" xr:uid="{00000000-0005-0000-0000-00001A0A0000}"/>
    <cellStyle name="20% - Accent5 3 42" xfId="2631" xr:uid="{00000000-0005-0000-0000-00001B0A0000}"/>
    <cellStyle name="20% - Accent5 3 43" xfId="2632" xr:uid="{00000000-0005-0000-0000-00001C0A0000}"/>
    <cellStyle name="20% - Accent5 3 44" xfId="2633" xr:uid="{00000000-0005-0000-0000-00001D0A0000}"/>
    <cellStyle name="20% - Accent5 3 45" xfId="2634" xr:uid="{00000000-0005-0000-0000-00001E0A0000}"/>
    <cellStyle name="20% - Accent5 3 46" xfId="2635" xr:uid="{00000000-0005-0000-0000-00001F0A0000}"/>
    <cellStyle name="20% - Accent5 3 47" xfId="2636" xr:uid="{00000000-0005-0000-0000-0000200A0000}"/>
    <cellStyle name="20% - Accent5 3 48" xfId="2637" xr:uid="{00000000-0005-0000-0000-0000210A0000}"/>
    <cellStyle name="20% - Accent5 3 49" xfId="2638" xr:uid="{00000000-0005-0000-0000-0000220A0000}"/>
    <cellStyle name="20% - Accent5 3 5" xfId="2639" xr:uid="{00000000-0005-0000-0000-0000230A0000}"/>
    <cellStyle name="20% - Accent5 3 5 2" xfId="2640" xr:uid="{00000000-0005-0000-0000-0000240A0000}"/>
    <cellStyle name="20% - Accent5 3 50" xfId="2641" xr:uid="{00000000-0005-0000-0000-0000250A0000}"/>
    <cellStyle name="20% - Accent5 3 51" xfId="2642" xr:uid="{00000000-0005-0000-0000-0000260A0000}"/>
    <cellStyle name="20% - Accent5 3 52" xfId="2643" xr:uid="{00000000-0005-0000-0000-0000270A0000}"/>
    <cellStyle name="20% - Accent5 3 53" xfId="2644" xr:uid="{00000000-0005-0000-0000-0000280A0000}"/>
    <cellStyle name="20% - Accent5 3 54" xfId="2645" xr:uid="{00000000-0005-0000-0000-0000290A0000}"/>
    <cellStyle name="20% - Accent5 3 55" xfId="2646" xr:uid="{00000000-0005-0000-0000-00002A0A0000}"/>
    <cellStyle name="20% - Accent5 3 56" xfId="2647" xr:uid="{00000000-0005-0000-0000-00002B0A0000}"/>
    <cellStyle name="20% - Accent5 3 57" xfId="2648" xr:uid="{00000000-0005-0000-0000-00002C0A0000}"/>
    <cellStyle name="20% - Accent5 3 58" xfId="2649" xr:uid="{00000000-0005-0000-0000-00002D0A0000}"/>
    <cellStyle name="20% - Accent5 3 59" xfId="2650" xr:uid="{00000000-0005-0000-0000-00002E0A0000}"/>
    <cellStyle name="20% - Accent5 3 6" xfId="2651" xr:uid="{00000000-0005-0000-0000-00002F0A0000}"/>
    <cellStyle name="20% - Accent5 3 6 2" xfId="2652" xr:uid="{00000000-0005-0000-0000-0000300A0000}"/>
    <cellStyle name="20% - Accent5 3 60" xfId="2653" xr:uid="{00000000-0005-0000-0000-0000310A0000}"/>
    <cellStyle name="20% - Accent5 3 61" xfId="2654" xr:uid="{00000000-0005-0000-0000-0000320A0000}"/>
    <cellStyle name="20% - Accent5 3 62" xfId="2655" xr:uid="{00000000-0005-0000-0000-0000330A0000}"/>
    <cellStyle name="20% - Accent5 3 63" xfId="2656" xr:uid="{00000000-0005-0000-0000-0000340A0000}"/>
    <cellStyle name="20% - Accent5 3 64" xfId="2657" xr:uid="{00000000-0005-0000-0000-0000350A0000}"/>
    <cellStyle name="20% - Accent5 3 65" xfId="2658" xr:uid="{00000000-0005-0000-0000-0000360A0000}"/>
    <cellStyle name="20% - Accent5 3 66" xfId="2659" xr:uid="{00000000-0005-0000-0000-0000370A0000}"/>
    <cellStyle name="20% - Accent5 3 67" xfId="2660" xr:uid="{00000000-0005-0000-0000-0000380A0000}"/>
    <cellStyle name="20% - Accent5 3 68" xfId="2661" xr:uid="{00000000-0005-0000-0000-0000390A0000}"/>
    <cellStyle name="20% - Accent5 3 69" xfId="2662" xr:uid="{00000000-0005-0000-0000-00003A0A0000}"/>
    <cellStyle name="20% - Accent5 3 7" xfId="2663" xr:uid="{00000000-0005-0000-0000-00003B0A0000}"/>
    <cellStyle name="20% - Accent5 3 7 2" xfId="2664" xr:uid="{00000000-0005-0000-0000-00003C0A0000}"/>
    <cellStyle name="20% - Accent5 3 70" xfId="2665" xr:uid="{00000000-0005-0000-0000-00003D0A0000}"/>
    <cellStyle name="20% - Accent5 3 71" xfId="2666" xr:uid="{00000000-0005-0000-0000-00003E0A0000}"/>
    <cellStyle name="20% - Accent5 3 72" xfId="2667" xr:uid="{00000000-0005-0000-0000-00003F0A0000}"/>
    <cellStyle name="20% - Accent5 3 73" xfId="2668" xr:uid="{00000000-0005-0000-0000-0000400A0000}"/>
    <cellStyle name="20% - Accent5 3 74" xfId="2669" xr:uid="{00000000-0005-0000-0000-0000410A0000}"/>
    <cellStyle name="20% - Accent5 3 75" xfId="2670" xr:uid="{00000000-0005-0000-0000-0000420A0000}"/>
    <cellStyle name="20% - Accent5 3 8" xfId="2671" xr:uid="{00000000-0005-0000-0000-0000430A0000}"/>
    <cellStyle name="20% - Accent5 3 8 2" xfId="2672" xr:uid="{00000000-0005-0000-0000-0000440A0000}"/>
    <cellStyle name="20% - Accent5 3 9" xfId="2673" xr:uid="{00000000-0005-0000-0000-0000450A0000}"/>
    <cellStyle name="20% - Accent5 3 9 2" xfId="2674" xr:uid="{00000000-0005-0000-0000-0000460A0000}"/>
    <cellStyle name="20% - Accent5 30" xfId="2675" xr:uid="{00000000-0005-0000-0000-0000470A0000}"/>
    <cellStyle name="20% - Accent5 31" xfId="2676" xr:uid="{00000000-0005-0000-0000-0000480A0000}"/>
    <cellStyle name="20% - Accent5 32" xfId="2677" xr:uid="{00000000-0005-0000-0000-0000490A0000}"/>
    <cellStyle name="20% - Accent5 33" xfId="2678" xr:uid="{00000000-0005-0000-0000-00004A0A0000}"/>
    <cellStyle name="20% - Accent5 34" xfId="2679" xr:uid="{00000000-0005-0000-0000-00004B0A0000}"/>
    <cellStyle name="20% - Accent5 35" xfId="2680" xr:uid="{00000000-0005-0000-0000-00004C0A0000}"/>
    <cellStyle name="20% - Accent5 36" xfId="2681" xr:uid="{00000000-0005-0000-0000-00004D0A0000}"/>
    <cellStyle name="20% - Accent5 37" xfId="2682" xr:uid="{00000000-0005-0000-0000-00004E0A0000}"/>
    <cellStyle name="20% - Accent5 38" xfId="2683" xr:uid="{00000000-0005-0000-0000-00004F0A0000}"/>
    <cellStyle name="20% - Accent5 39" xfId="2684" xr:uid="{00000000-0005-0000-0000-0000500A0000}"/>
    <cellStyle name="20% - Accent5 4" xfId="2685" xr:uid="{00000000-0005-0000-0000-0000510A0000}"/>
    <cellStyle name="20% - Accent5 4 10" xfId="2686" xr:uid="{00000000-0005-0000-0000-0000520A0000}"/>
    <cellStyle name="20% - Accent5 4 11" xfId="2687" xr:uid="{00000000-0005-0000-0000-0000530A0000}"/>
    <cellStyle name="20% - Accent5 4 12" xfId="2688" xr:uid="{00000000-0005-0000-0000-0000540A0000}"/>
    <cellStyle name="20% - Accent5 4 13" xfId="2689" xr:uid="{00000000-0005-0000-0000-0000550A0000}"/>
    <cellStyle name="20% - Accent5 4 14" xfId="2690" xr:uid="{00000000-0005-0000-0000-0000560A0000}"/>
    <cellStyle name="20% - Accent5 4 15" xfId="2691" xr:uid="{00000000-0005-0000-0000-0000570A0000}"/>
    <cellStyle name="20% - Accent5 4 16" xfId="2692" xr:uid="{00000000-0005-0000-0000-0000580A0000}"/>
    <cellStyle name="20% - Accent5 4 17" xfId="2693" xr:uid="{00000000-0005-0000-0000-0000590A0000}"/>
    <cellStyle name="20% - Accent5 4 18" xfId="2694" xr:uid="{00000000-0005-0000-0000-00005A0A0000}"/>
    <cellStyle name="20% - Accent5 4 19" xfId="2695" xr:uid="{00000000-0005-0000-0000-00005B0A0000}"/>
    <cellStyle name="20% - Accent5 4 2" xfId="2696" xr:uid="{00000000-0005-0000-0000-00005C0A0000}"/>
    <cellStyle name="20% - Accent5 4 2 2" xfId="2697" xr:uid="{00000000-0005-0000-0000-00005D0A0000}"/>
    <cellStyle name="20% - Accent5 4 20" xfId="2698" xr:uid="{00000000-0005-0000-0000-00005E0A0000}"/>
    <cellStyle name="20% - Accent5 4 21" xfId="2699" xr:uid="{00000000-0005-0000-0000-00005F0A0000}"/>
    <cellStyle name="20% - Accent5 4 22" xfId="2700" xr:uid="{00000000-0005-0000-0000-0000600A0000}"/>
    <cellStyle name="20% - Accent5 4 23" xfId="2701" xr:uid="{00000000-0005-0000-0000-0000610A0000}"/>
    <cellStyle name="20% - Accent5 4 24" xfId="2702" xr:uid="{00000000-0005-0000-0000-0000620A0000}"/>
    <cellStyle name="20% - Accent5 4 25" xfId="2703" xr:uid="{00000000-0005-0000-0000-0000630A0000}"/>
    <cellStyle name="20% - Accent5 4 26" xfId="2704" xr:uid="{00000000-0005-0000-0000-0000640A0000}"/>
    <cellStyle name="20% - Accent5 4 27" xfId="2705" xr:uid="{00000000-0005-0000-0000-0000650A0000}"/>
    <cellStyle name="20% - Accent5 4 28" xfId="2706" xr:uid="{00000000-0005-0000-0000-0000660A0000}"/>
    <cellStyle name="20% - Accent5 4 29" xfId="2707" xr:uid="{00000000-0005-0000-0000-0000670A0000}"/>
    <cellStyle name="20% - Accent5 4 3" xfId="2708" xr:uid="{00000000-0005-0000-0000-0000680A0000}"/>
    <cellStyle name="20% - Accent5 4 3 2" xfId="2709" xr:uid="{00000000-0005-0000-0000-0000690A0000}"/>
    <cellStyle name="20% - Accent5 4 30" xfId="2710" xr:uid="{00000000-0005-0000-0000-00006A0A0000}"/>
    <cellStyle name="20% - Accent5 4 31" xfId="2711" xr:uid="{00000000-0005-0000-0000-00006B0A0000}"/>
    <cellStyle name="20% - Accent5 4 32" xfId="2712" xr:uid="{00000000-0005-0000-0000-00006C0A0000}"/>
    <cellStyle name="20% - Accent5 4 33" xfId="2713" xr:uid="{00000000-0005-0000-0000-00006D0A0000}"/>
    <cellStyle name="20% - Accent5 4 34" xfId="2714" xr:uid="{00000000-0005-0000-0000-00006E0A0000}"/>
    <cellStyle name="20% - Accent5 4 35" xfId="2715" xr:uid="{00000000-0005-0000-0000-00006F0A0000}"/>
    <cellStyle name="20% - Accent5 4 36" xfId="2716" xr:uid="{00000000-0005-0000-0000-0000700A0000}"/>
    <cellStyle name="20% - Accent5 4 37" xfId="2717" xr:uid="{00000000-0005-0000-0000-0000710A0000}"/>
    <cellStyle name="20% - Accent5 4 38" xfId="2718" xr:uid="{00000000-0005-0000-0000-0000720A0000}"/>
    <cellStyle name="20% - Accent5 4 39" xfId="2719" xr:uid="{00000000-0005-0000-0000-0000730A0000}"/>
    <cellStyle name="20% - Accent5 4 4" xfId="2720" xr:uid="{00000000-0005-0000-0000-0000740A0000}"/>
    <cellStyle name="20% - Accent5 4 4 2" xfId="2721" xr:uid="{00000000-0005-0000-0000-0000750A0000}"/>
    <cellStyle name="20% - Accent5 4 40" xfId="2722" xr:uid="{00000000-0005-0000-0000-0000760A0000}"/>
    <cellStyle name="20% - Accent5 4 41" xfId="2723" xr:uid="{00000000-0005-0000-0000-0000770A0000}"/>
    <cellStyle name="20% - Accent5 4 42" xfId="2724" xr:uid="{00000000-0005-0000-0000-0000780A0000}"/>
    <cellStyle name="20% - Accent5 4 43" xfId="2725" xr:uid="{00000000-0005-0000-0000-0000790A0000}"/>
    <cellStyle name="20% - Accent5 4 44" xfId="2726" xr:uid="{00000000-0005-0000-0000-00007A0A0000}"/>
    <cellStyle name="20% - Accent5 4 45" xfId="2727" xr:uid="{00000000-0005-0000-0000-00007B0A0000}"/>
    <cellStyle name="20% - Accent5 4 46" xfId="2728" xr:uid="{00000000-0005-0000-0000-00007C0A0000}"/>
    <cellStyle name="20% - Accent5 4 47" xfId="2729" xr:uid="{00000000-0005-0000-0000-00007D0A0000}"/>
    <cellStyle name="20% - Accent5 4 48" xfId="2730" xr:uid="{00000000-0005-0000-0000-00007E0A0000}"/>
    <cellStyle name="20% - Accent5 4 49" xfId="2731" xr:uid="{00000000-0005-0000-0000-00007F0A0000}"/>
    <cellStyle name="20% - Accent5 4 5" xfId="2732" xr:uid="{00000000-0005-0000-0000-0000800A0000}"/>
    <cellStyle name="20% - Accent5 4 5 2" xfId="2733" xr:uid="{00000000-0005-0000-0000-0000810A0000}"/>
    <cellStyle name="20% - Accent5 4 50" xfId="2734" xr:uid="{00000000-0005-0000-0000-0000820A0000}"/>
    <cellStyle name="20% - Accent5 4 51" xfId="2735" xr:uid="{00000000-0005-0000-0000-0000830A0000}"/>
    <cellStyle name="20% - Accent5 4 52" xfId="2736" xr:uid="{00000000-0005-0000-0000-0000840A0000}"/>
    <cellStyle name="20% - Accent5 4 53" xfId="2737" xr:uid="{00000000-0005-0000-0000-0000850A0000}"/>
    <cellStyle name="20% - Accent5 4 54" xfId="2738" xr:uid="{00000000-0005-0000-0000-0000860A0000}"/>
    <cellStyle name="20% - Accent5 4 55" xfId="2739" xr:uid="{00000000-0005-0000-0000-0000870A0000}"/>
    <cellStyle name="20% - Accent5 4 56" xfId="2740" xr:uid="{00000000-0005-0000-0000-0000880A0000}"/>
    <cellStyle name="20% - Accent5 4 57" xfId="2741" xr:uid="{00000000-0005-0000-0000-0000890A0000}"/>
    <cellStyle name="20% - Accent5 4 58" xfId="2742" xr:uid="{00000000-0005-0000-0000-00008A0A0000}"/>
    <cellStyle name="20% - Accent5 4 59" xfId="2743" xr:uid="{00000000-0005-0000-0000-00008B0A0000}"/>
    <cellStyle name="20% - Accent5 4 6" xfId="2744" xr:uid="{00000000-0005-0000-0000-00008C0A0000}"/>
    <cellStyle name="20% - Accent5 4 6 2" xfId="2745" xr:uid="{00000000-0005-0000-0000-00008D0A0000}"/>
    <cellStyle name="20% - Accent5 4 60" xfId="2746" xr:uid="{00000000-0005-0000-0000-00008E0A0000}"/>
    <cellStyle name="20% - Accent5 4 61" xfId="2747" xr:uid="{00000000-0005-0000-0000-00008F0A0000}"/>
    <cellStyle name="20% - Accent5 4 62" xfId="2748" xr:uid="{00000000-0005-0000-0000-0000900A0000}"/>
    <cellStyle name="20% - Accent5 4 63" xfId="2749" xr:uid="{00000000-0005-0000-0000-0000910A0000}"/>
    <cellStyle name="20% - Accent5 4 64" xfId="2750" xr:uid="{00000000-0005-0000-0000-0000920A0000}"/>
    <cellStyle name="20% - Accent5 4 65" xfId="2751" xr:uid="{00000000-0005-0000-0000-0000930A0000}"/>
    <cellStyle name="20% - Accent5 4 66" xfId="2752" xr:uid="{00000000-0005-0000-0000-0000940A0000}"/>
    <cellStyle name="20% - Accent5 4 67" xfId="2753" xr:uid="{00000000-0005-0000-0000-0000950A0000}"/>
    <cellStyle name="20% - Accent5 4 68" xfId="2754" xr:uid="{00000000-0005-0000-0000-0000960A0000}"/>
    <cellStyle name="20% - Accent5 4 69" xfId="2755" xr:uid="{00000000-0005-0000-0000-0000970A0000}"/>
    <cellStyle name="20% - Accent5 4 7" xfId="2756" xr:uid="{00000000-0005-0000-0000-0000980A0000}"/>
    <cellStyle name="20% - Accent5 4 7 2" xfId="2757" xr:uid="{00000000-0005-0000-0000-0000990A0000}"/>
    <cellStyle name="20% - Accent5 4 70" xfId="2758" xr:uid="{00000000-0005-0000-0000-00009A0A0000}"/>
    <cellStyle name="20% - Accent5 4 71" xfId="2759" xr:uid="{00000000-0005-0000-0000-00009B0A0000}"/>
    <cellStyle name="20% - Accent5 4 72" xfId="2760" xr:uid="{00000000-0005-0000-0000-00009C0A0000}"/>
    <cellStyle name="20% - Accent5 4 73" xfId="2761" xr:uid="{00000000-0005-0000-0000-00009D0A0000}"/>
    <cellStyle name="20% - Accent5 4 74" xfId="2762" xr:uid="{00000000-0005-0000-0000-00009E0A0000}"/>
    <cellStyle name="20% - Accent5 4 75" xfId="2763" xr:uid="{00000000-0005-0000-0000-00009F0A0000}"/>
    <cellStyle name="20% - Accent5 4 8" xfId="2764" xr:uid="{00000000-0005-0000-0000-0000A00A0000}"/>
    <cellStyle name="20% - Accent5 4 8 2" xfId="2765" xr:uid="{00000000-0005-0000-0000-0000A10A0000}"/>
    <cellStyle name="20% - Accent5 4 9" xfId="2766" xr:uid="{00000000-0005-0000-0000-0000A20A0000}"/>
    <cellStyle name="20% - Accent5 4 9 2" xfId="2767" xr:uid="{00000000-0005-0000-0000-0000A30A0000}"/>
    <cellStyle name="20% - Accent5 40" xfId="2768" xr:uid="{00000000-0005-0000-0000-0000A40A0000}"/>
    <cellStyle name="20% - Accent5 41" xfId="2769" xr:uid="{00000000-0005-0000-0000-0000A50A0000}"/>
    <cellStyle name="20% - Accent5 42" xfId="2770" xr:uid="{00000000-0005-0000-0000-0000A60A0000}"/>
    <cellStyle name="20% - Accent5 43" xfId="2771" xr:uid="{00000000-0005-0000-0000-0000A70A0000}"/>
    <cellStyle name="20% - Accent5 44" xfId="2772" xr:uid="{00000000-0005-0000-0000-0000A80A0000}"/>
    <cellStyle name="20% - Accent5 45" xfId="2773" xr:uid="{00000000-0005-0000-0000-0000A90A0000}"/>
    <cellStyle name="20% - Accent5 46" xfId="2774" xr:uid="{00000000-0005-0000-0000-0000AA0A0000}"/>
    <cellStyle name="20% - Accent5 47" xfId="2775" xr:uid="{00000000-0005-0000-0000-0000AB0A0000}"/>
    <cellStyle name="20% - Accent5 48" xfId="2776" xr:uid="{00000000-0005-0000-0000-0000AC0A0000}"/>
    <cellStyle name="20% - Accent5 49" xfId="2777" xr:uid="{00000000-0005-0000-0000-0000AD0A0000}"/>
    <cellStyle name="20% - Accent5 5" xfId="2778" xr:uid="{00000000-0005-0000-0000-0000AE0A0000}"/>
    <cellStyle name="20% - Accent5 5 10" xfId="2779" xr:uid="{00000000-0005-0000-0000-0000AF0A0000}"/>
    <cellStyle name="20% - Accent5 5 11" xfId="2780" xr:uid="{00000000-0005-0000-0000-0000B00A0000}"/>
    <cellStyle name="20% - Accent5 5 12" xfId="2781" xr:uid="{00000000-0005-0000-0000-0000B10A0000}"/>
    <cellStyle name="20% - Accent5 5 13" xfId="2782" xr:uid="{00000000-0005-0000-0000-0000B20A0000}"/>
    <cellStyle name="20% - Accent5 5 14" xfId="2783" xr:uid="{00000000-0005-0000-0000-0000B30A0000}"/>
    <cellStyle name="20% - Accent5 5 15" xfId="2784" xr:uid="{00000000-0005-0000-0000-0000B40A0000}"/>
    <cellStyle name="20% - Accent5 5 16" xfId="2785" xr:uid="{00000000-0005-0000-0000-0000B50A0000}"/>
    <cellStyle name="20% - Accent5 5 17" xfId="2786" xr:uid="{00000000-0005-0000-0000-0000B60A0000}"/>
    <cellStyle name="20% - Accent5 5 18" xfId="2787" xr:uid="{00000000-0005-0000-0000-0000B70A0000}"/>
    <cellStyle name="20% - Accent5 5 19" xfId="2788" xr:uid="{00000000-0005-0000-0000-0000B80A0000}"/>
    <cellStyle name="20% - Accent5 5 2" xfId="2789" xr:uid="{00000000-0005-0000-0000-0000B90A0000}"/>
    <cellStyle name="20% - Accent5 5 2 2" xfId="2790" xr:uid="{00000000-0005-0000-0000-0000BA0A0000}"/>
    <cellStyle name="20% - Accent5 5 20" xfId="2791" xr:uid="{00000000-0005-0000-0000-0000BB0A0000}"/>
    <cellStyle name="20% - Accent5 5 21" xfId="2792" xr:uid="{00000000-0005-0000-0000-0000BC0A0000}"/>
    <cellStyle name="20% - Accent5 5 22" xfId="2793" xr:uid="{00000000-0005-0000-0000-0000BD0A0000}"/>
    <cellStyle name="20% - Accent5 5 23" xfId="2794" xr:uid="{00000000-0005-0000-0000-0000BE0A0000}"/>
    <cellStyle name="20% - Accent5 5 24" xfId="2795" xr:uid="{00000000-0005-0000-0000-0000BF0A0000}"/>
    <cellStyle name="20% - Accent5 5 25" xfId="2796" xr:uid="{00000000-0005-0000-0000-0000C00A0000}"/>
    <cellStyle name="20% - Accent5 5 26" xfId="2797" xr:uid="{00000000-0005-0000-0000-0000C10A0000}"/>
    <cellStyle name="20% - Accent5 5 27" xfId="2798" xr:uid="{00000000-0005-0000-0000-0000C20A0000}"/>
    <cellStyle name="20% - Accent5 5 28" xfId="2799" xr:uid="{00000000-0005-0000-0000-0000C30A0000}"/>
    <cellStyle name="20% - Accent5 5 29" xfId="2800" xr:uid="{00000000-0005-0000-0000-0000C40A0000}"/>
    <cellStyle name="20% - Accent5 5 3" xfId="2801" xr:uid="{00000000-0005-0000-0000-0000C50A0000}"/>
    <cellStyle name="20% - Accent5 5 30" xfId="2802" xr:uid="{00000000-0005-0000-0000-0000C60A0000}"/>
    <cellStyle name="20% - Accent5 5 31" xfId="2803" xr:uid="{00000000-0005-0000-0000-0000C70A0000}"/>
    <cellStyle name="20% - Accent5 5 32" xfId="2804" xr:uid="{00000000-0005-0000-0000-0000C80A0000}"/>
    <cellStyle name="20% - Accent5 5 33" xfId="2805" xr:uid="{00000000-0005-0000-0000-0000C90A0000}"/>
    <cellStyle name="20% - Accent5 5 34" xfId="2806" xr:uid="{00000000-0005-0000-0000-0000CA0A0000}"/>
    <cellStyle name="20% - Accent5 5 35" xfId="2807" xr:uid="{00000000-0005-0000-0000-0000CB0A0000}"/>
    <cellStyle name="20% - Accent5 5 36" xfId="2808" xr:uid="{00000000-0005-0000-0000-0000CC0A0000}"/>
    <cellStyle name="20% - Accent5 5 37" xfId="2809" xr:uid="{00000000-0005-0000-0000-0000CD0A0000}"/>
    <cellStyle name="20% - Accent5 5 38" xfId="2810" xr:uid="{00000000-0005-0000-0000-0000CE0A0000}"/>
    <cellStyle name="20% - Accent5 5 39" xfId="2811" xr:uid="{00000000-0005-0000-0000-0000CF0A0000}"/>
    <cellStyle name="20% - Accent5 5 4" xfId="2812" xr:uid="{00000000-0005-0000-0000-0000D00A0000}"/>
    <cellStyle name="20% - Accent5 5 5" xfId="2813" xr:uid="{00000000-0005-0000-0000-0000D10A0000}"/>
    <cellStyle name="20% - Accent5 5 6" xfId="2814" xr:uid="{00000000-0005-0000-0000-0000D20A0000}"/>
    <cellStyle name="20% - Accent5 5 7" xfId="2815" xr:uid="{00000000-0005-0000-0000-0000D30A0000}"/>
    <cellStyle name="20% - Accent5 5 8" xfId="2816" xr:uid="{00000000-0005-0000-0000-0000D40A0000}"/>
    <cellStyle name="20% - Accent5 5 9" xfId="2817" xr:uid="{00000000-0005-0000-0000-0000D50A0000}"/>
    <cellStyle name="20% - Accent5 50" xfId="2818" xr:uid="{00000000-0005-0000-0000-0000D60A0000}"/>
    <cellStyle name="20% - Accent5 51" xfId="2819" xr:uid="{00000000-0005-0000-0000-0000D70A0000}"/>
    <cellStyle name="20% - Accent5 52" xfId="2820" xr:uid="{00000000-0005-0000-0000-0000D80A0000}"/>
    <cellStyle name="20% - Accent5 53" xfId="2821" xr:uid="{00000000-0005-0000-0000-0000D90A0000}"/>
    <cellStyle name="20% - Accent5 54" xfId="2822" xr:uid="{00000000-0005-0000-0000-0000DA0A0000}"/>
    <cellStyle name="20% - Accent5 55" xfId="2823" xr:uid="{00000000-0005-0000-0000-0000DB0A0000}"/>
    <cellStyle name="20% - Accent5 56" xfId="2824" xr:uid="{00000000-0005-0000-0000-0000DC0A0000}"/>
    <cellStyle name="20% - Accent5 57" xfId="2825" xr:uid="{00000000-0005-0000-0000-0000DD0A0000}"/>
    <cellStyle name="20% - Accent5 58" xfId="2826" xr:uid="{00000000-0005-0000-0000-0000DE0A0000}"/>
    <cellStyle name="20% - Accent5 59" xfId="2827" xr:uid="{00000000-0005-0000-0000-0000DF0A0000}"/>
    <cellStyle name="20% - Accent5 6" xfId="2828" xr:uid="{00000000-0005-0000-0000-0000E00A0000}"/>
    <cellStyle name="20% - Accent5 6 10" xfId="2829" xr:uid="{00000000-0005-0000-0000-0000E10A0000}"/>
    <cellStyle name="20% - Accent5 6 11" xfId="2830" xr:uid="{00000000-0005-0000-0000-0000E20A0000}"/>
    <cellStyle name="20% - Accent5 6 12" xfId="2831" xr:uid="{00000000-0005-0000-0000-0000E30A0000}"/>
    <cellStyle name="20% - Accent5 6 13" xfId="2832" xr:uid="{00000000-0005-0000-0000-0000E40A0000}"/>
    <cellStyle name="20% - Accent5 6 14" xfId="2833" xr:uid="{00000000-0005-0000-0000-0000E50A0000}"/>
    <cellStyle name="20% - Accent5 6 15" xfId="2834" xr:uid="{00000000-0005-0000-0000-0000E60A0000}"/>
    <cellStyle name="20% - Accent5 6 16" xfId="2835" xr:uid="{00000000-0005-0000-0000-0000E70A0000}"/>
    <cellStyle name="20% - Accent5 6 17" xfId="2836" xr:uid="{00000000-0005-0000-0000-0000E80A0000}"/>
    <cellStyle name="20% - Accent5 6 18" xfId="2837" xr:uid="{00000000-0005-0000-0000-0000E90A0000}"/>
    <cellStyle name="20% - Accent5 6 19" xfId="2838" xr:uid="{00000000-0005-0000-0000-0000EA0A0000}"/>
    <cellStyle name="20% - Accent5 6 2" xfId="2839" xr:uid="{00000000-0005-0000-0000-0000EB0A0000}"/>
    <cellStyle name="20% - Accent5 6 20" xfId="2840" xr:uid="{00000000-0005-0000-0000-0000EC0A0000}"/>
    <cellStyle name="20% - Accent5 6 21" xfId="2841" xr:uid="{00000000-0005-0000-0000-0000ED0A0000}"/>
    <cellStyle name="20% - Accent5 6 22" xfId="2842" xr:uid="{00000000-0005-0000-0000-0000EE0A0000}"/>
    <cellStyle name="20% - Accent5 6 23" xfId="2843" xr:uid="{00000000-0005-0000-0000-0000EF0A0000}"/>
    <cellStyle name="20% - Accent5 6 24" xfId="2844" xr:uid="{00000000-0005-0000-0000-0000F00A0000}"/>
    <cellStyle name="20% - Accent5 6 25" xfId="2845" xr:uid="{00000000-0005-0000-0000-0000F10A0000}"/>
    <cellStyle name="20% - Accent5 6 26" xfId="2846" xr:uid="{00000000-0005-0000-0000-0000F20A0000}"/>
    <cellStyle name="20% - Accent5 6 27" xfId="2847" xr:uid="{00000000-0005-0000-0000-0000F30A0000}"/>
    <cellStyle name="20% - Accent5 6 28" xfId="2848" xr:uid="{00000000-0005-0000-0000-0000F40A0000}"/>
    <cellStyle name="20% - Accent5 6 29" xfId="2849" xr:uid="{00000000-0005-0000-0000-0000F50A0000}"/>
    <cellStyle name="20% - Accent5 6 3" xfId="2850" xr:uid="{00000000-0005-0000-0000-0000F60A0000}"/>
    <cellStyle name="20% - Accent5 6 30" xfId="2851" xr:uid="{00000000-0005-0000-0000-0000F70A0000}"/>
    <cellStyle name="20% - Accent5 6 31" xfId="2852" xr:uid="{00000000-0005-0000-0000-0000F80A0000}"/>
    <cellStyle name="20% - Accent5 6 32" xfId="2853" xr:uid="{00000000-0005-0000-0000-0000F90A0000}"/>
    <cellStyle name="20% - Accent5 6 33" xfId="2854" xr:uid="{00000000-0005-0000-0000-0000FA0A0000}"/>
    <cellStyle name="20% - Accent5 6 34" xfId="2855" xr:uid="{00000000-0005-0000-0000-0000FB0A0000}"/>
    <cellStyle name="20% - Accent5 6 35" xfId="2856" xr:uid="{00000000-0005-0000-0000-0000FC0A0000}"/>
    <cellStyle name="20% - Accent5 6 36" xfId="2857" xr:uid="{00000000-0005-0000-0000-0000FD0A0000}"/>
    <cellStyle name="20% - Accent5 6 37" xfId="2858" xr:uid="{00000000-0005-0000-0000-0000FE0A0000}"/>
    <cellStyle name="20% - Accent5 6 38" xfId="2859" xr:uid="{00000000-0005-0000-0000-0000FF0A0000}"/>
    <cellStyle name="20% - Accent5 6 39" xfId="2860" xr:uid="{00000000-0005-0000-0000-0000000B0000}"/>
    <cellStyle name="20% - Accent5 6 4" xfId="2861" xr:uid="{00000000-0005-0000-0000-0000010B0000}"/>
    <cellStyle name="20% - Accent5 6 5" xfId="2862" xr:uid="{00000000-0005-0000-0000-0000020B0000}"/>
    <cellStyle name="20% - Accent5 6 6" xfId="2863" xr:uid="{00000000-0005-0000-0000-0000030B0000}"/>
    <cellStyle name="20% - Accent5 6 7" xfId="2864" xr:uid="{00000000-0005-0000-0000-0000040B0000}"/>
    <cellStyle name="20% - Accent5 6 8" xfId="2865" xr:uid="{00000000-0005-0000-0000-0000050B0000}"/>
    <cellStyle name="20% - Accent5 6 9" xfId="2866" xr:uid="{00000000-0005-0000-0000-0000060B0000}"/>
    <cellStyle name="20% - Accent5 60" xfId="2867" xr:uid="{00000000-0005-0000-0000-0000070B0000}"/>
    <cellStyle name="20% - Accent5 61" xfId="2868" xr:uid="{00000000-0005-0000-0000-0000080B0000}"/>
    <cellStyle name="20% - Accent5 62" xfId="2869" xr:uid="{00000000-0005-0000-0000-0000090B0000}"/>
    <cellStyle name="20% - Accent5 63" xfId="2870" xr:uid="{00000000-0005-0000-0000-00000A0B0000}"/>
    <cellStyle name="20% - Accent5 64" xfId="2871" xr:uid="{00000000-0005-0000-0000-00000B0B0000}"/>
    <cellStyle name="20% - Accent5 65" xfId="2872" xr:uid="{00000000-0005-0000-0000-00000C0B0000}"/>
    <cellStyle name="20% - Accent5 66" xfId="2873" xr:uid="{00000000-0005-0000-0000-00000D0B0000}"/>
    <cellStyle name="20% - Accent5 67" xfId="2874" xr:uid="{00000000-0005-0000-0000-00000E0B0000}"/>
    <cellStyle name="20% - Accent5 68" xfId="2875" xr:uid="{00000000-0005-0000-0000-00000F0B0000}"/>
    <cellStyle name="20% - Accent5 69" xfId="2876" xr:uid="{00000000-0005-0000-0000-0000100B0000}"/>
    <cellStyle name="20% - Accent5 7" xfId="2877" xr:uid="{00000000-0005-0000-0000-0000110B0000}"/>
    <cellStyle name="20% - Accent5 7 10" xfId="2878" xr:uid="{00000000-0005-0000-0000-0000120B0000}"/>
    <cellStyle name="20% - Accent5 7 11" xfId="2879" xr:uid="{00000000-0005-0000-0000-0000130B0000}"/>
    <cellStyle name="20% - Accent5 7 12" xfId="2880" xr:uid="{00000000-0005-0000-0000-0000140B0000}"/>
    <cellStyle name="20% - Accent5 7 13" xfId="2881" xr:uid="{00000000-0005-0000-0000-0000150B0000}"/>
    <cellStyle name="20% - Accent5 7 14" xfId="2882" xr:uid="{00000000-0005-0000-0000-0000160B0000}"/>
    <cellStyle name="20% - Accent5 7 15" xfId="2883" xr:uid="{00000000-0005-0000-0000-0000170B0000}"/>
    <cellStyle name="20% - Accent5 7 16" xfId="2884" xr:uid="{00000000-0005-0000-0000-0000180B0000}"/>
    <cellStyle name="20% - Accent5 7 17" xfId="2885" xr:uid="{00000000-0005-0000-0000-0000190B0000}"/>
    <cellStyle name="20% - Accent5 7 18" xfId="2886" xr:uid="{00000000-0005-0000-0000-00001A0B0000}"/>
    <cellStyle name="20% - Accent5 7 19" xfId="2887" xr:uid="{00000000-0005-0000-0000-00001B0B0000}"/>
    <cellStyle name="20% - Accent5 7 2" xfId="2888" xr:uid="{00000000-0005-0000-0000-00001C0B0000}"/>
    <cellStyle name="20% - Accent5 7 20" xfId="2889" xr:uid="{00000000-0005-0000-0000-00001D0B0000}"/>
    <cellStyle name="20% - Accent5 7 21" xfId="2890" xr:uid="{00000000-0005-0000-0000-00001E0B0000}"/>
    <cellStyle name="20% - Accent5 7 22" xfId="2891" xr:uid="{00000000-0005-0000-0000-00001F0B0000}"/>
    <cellStyle name="20% - Accent5 7 23" xfId="2892" xr:uid="{00000000-0005-0000-0000-0000200B0000}"/>
    <cellStyle name="20% - Accent5 7 24" xfId="2893" xr:uid="{00000000-0005-0000-0000-0000210B0000}"/>
    <cellStyle name="20% - Accent5 7 25" xfId="2894" xr:uid="{00000000-0005-0000-0000-0000220B0000}"/>
    <cellStyle name="20% - Accent5 7 26" xfId="2895" xr:uid="{00000000-0005-0000-0000-0000230B0000}"/>
    <cellStyle name="20% - Accent5 7 27" xfId="2896" xr:uid="{00000000-0005-0000-0000-0000240B0000}"/>
    <cellStyle name="20% - Accent5 7 28" xfId="2897" xr:uid="{00000000-0005-0000-0000-0000250B0000}"/>
    <cellStyle name="20% - Accent5 7 29" xfId="2898" xr:uid="{00000000-0005-0000-0000-0000260B0000}"/>
    <cellStyle name="20% - Accent5 7 3" xfId="2899" xr:uid="{00000000-0005-0000-0000-0000270B0000}"/>
    <cellStyle name="20% - Accent5 7 30" xfId="2900" xr:uid="{00000000-0005-0000-0000-0000280B0000}"/>
    <cellStyle name="20% - Accent5 7 31" xfId="2901" xr:uid="{00000000-0005-0000-0000-0000290B0000}"/>
    <cellStyle name="20% - Accent5 7 32" xfId="2902" xr:uid="{00000000-0005-0000-0000-00002A0B0000}"/>
    <cellStyle name="20% - Accent5 7 33" xfId="2903" xr:uid="{00000000-0005-0000-0000-00002B0B0000}"/>
    <cellStyle name="20% - Accent5 7 34" xfId="2904" xr:uid="{00000000-0005-0000-0000-00002C0B0000}"/>
    <cellStyle name="20% - Accent5 7 35" xfId="2905" xr:uid="{00000000-0005-0000-0000-00002D0B0000}"/>
    <cellStyle name="20% - Accent5 7 36" xfId="2906" xr:uid="{00000000-0005-0000-0000-00002E0B0000}"/>
    <cellStyle name="20% - Accent5 7 37" xfId="2907" xr:uid="{00000000-0005-0000-0000-00002F0B0000}"/>
    <cellStyle name="20% - Accent5 7 38" xfId="2908" xr:uid="{00000000-0005-0000-0000-0000300B0000}"/>
    <cellStyle name="20% - Accent5 7 39" xfId="2909" xr:uid="{00000000-0005-0000-0000-0000310B0000}"/>
    <cellStyle name="20% - Accent5 7 4" xfId="2910" xr:uid="{00000000-0005-0000-0000-0000320B0000}"/>
    <cellStyle name="20% - Accent5 7 5" xfId="2911" xr:uid="{00000000-0005-0000-0000-0000330B0000}"/>
    <cellStyle name="20% - Accent5 7 6" xfId="2912" xr:uid="{00000000-0005-0000-0000-0000340B0000}"/>
    <cellStyle name="20% - Accent5 7 7" xfId="2913" xr:uid="{00000000-0005-0000-0000-0000350B0000}"/>
    <cellStyle name="20% - Accent5 7 8" xfId="2914" xr:uid="{00000000-0005-0000-0000-0000360B0000}"/>
    <cellStyle name="20% - Accent5 7 9" xfId="2915" xr:uid="{00000000-0005-0000-0000-0000370B0000}"/>
    <cellStyle name="20% - Accent5 70" xfId="2916" xr:uid="{00000000-0005-0000-0000-0000380B0000}"/>
    <cellStyle name="20% - Accent5 71" xfId="2917" xr:uid="{00000000-0005-0000-0000-0000390B0000}"/>
    <cellStyle name="20% - Accent5 72" xfId="2918" xr:uid="{00000000-0005-0000-0000-00003A0B0000}"/>
    <cellStyle name="20% - Accent5 73" xfId="2919" xr:uid="{00000000-0005-0000-0000-00003B0B0000}"/>
    <cellStyle name="20% - Accent5 74" xfId="2920" xr:uid="{00000000-0005-0000-0000-00003C0B0000}"/>
    <cellStyle name="20% - Accent5 75" xfId="2921" xr:uid="{00000000-0005-0000-0000-00003D0B0000}"/>
    <cellStyle name="20% - Accent5 76" xfId="2922" xr:uid="{00000000-0005-0000-0000-00003E0B0000}"/>
    <cellStyle name="20% - Accent5 77" xfId="2923" xr:uid="{00000000-0005-0000-0000-00003F0B0000}"/>
    <cellStyle name="20% - Accent5 78" xfId="2924" xr:uid="{00000000-0005-0000-0000-0000400B0000}"/>
    <cellStyle name="20% - Accent5 79" xfId="2925" xr:uid="{00000000-0005-0000-0000-0000410B0000}"/>
    <cellStyle name="20% - Accent5 8" xfId="2926" xr:uid="{00000000-0005-0000-0000-0000420B0000}"/>
    <cellStyle name="20% - Accent5 8 10" xfId="2927" xr:uid="{00000000-0005-0000-0000-0000430B0000}"/>
    <cellStyle name="20% - Accent5 8 11" xfId="2928" xr:uid="{00000000-0005-0000-0000-0000440B0000}"/>
    <cellStyle name="20% - Accent5 8 12" xfId="2929" xr:uid="{00000000-0005-0000-0000-0000450B0000}"/>
    <cellStyle name="20% - Accent5 8 13" xfId="2930" xr:uid="{00000000-0005-0000-0000-0000460B0000}"/>
    <cellStyle name="20% - Accent5 8 14" xfId="2931" xr:uid="{00000000-0005-0000-0000-0000470B0000}"/>
    <cellStyle name="20% - Accent5 8 15" xfId="2932" xr:uid="{00000000-0005-0000-0000-0000480B0000}"/>
    <cellStyle name="20% - Accent5 8 16" xfId="2933" xr:uid="{00000000-0005-0000-0000-0000490B0000}"/>
    <cellStyle name="20% - Accent5 8 17" xfId="2934" xr:uid="{00000000-0005-0000-0000-00004A0B0000}"/>
    <cellStyle name="20% - Accent5 8 18" xfId="2935" xr:uid="{00000000-0005-0000-0000-00004B0B0000}"/>
    <cellStyle name="20% - Accent5 8 19" xfId="2936" xr:uid="{00000000-0005-0000-0000-00004C0B0000}"/>
    <cellStyle name="20% - Accent5 8 2" xfId="2937" xr:uid="{00000000-0005-0000-0000-00004D0B0000}"/>
    <cellStyle name="20% - Accent5 8 20" xfId="2938" xr:uid="{00000000-0005-0000-0000-00004E0B0000}"/>
    <cellStyle name="20% - Accent5 8 21" xfId="2939" xr:uid="{00000000-0005-0000-0000-00004F0B0000}"/>
    <cellStyle name="20% - Accent5 8 22" xfId="2940" xr:uid="{00000000-0005-0000-0000-0000500B0000}"/>
    <cellStyle name="20% - Accent5 8 23" xfId="2941" xr:uid="{00000000-0005-0000-0000-0000510B0000}"/>
    <cellStyle name="20% - Accent5 8 24" xfId="2942" xr:uid="{00000000-0005-0000-0000-0000520B0000}"/>
    <cellStyle name="20% - Accent5 8 25" xfId="2943" xr:uid="{00000000-0005-0000-0000-0000530B0000}"/>
    <cellStyle name="20% - Accent5 8 26" xfId="2944" xr:uid="{00000000-0005-0000-0000-0000540B0000}"/>
    <cellStyle name="20% - Accent5 8 27" xfId="2945" xr:uid="{00000000-0005-0000-0000-0000550B0000}"/>
    <cellStyle name="20% - Accent5 8 28" xfId="2946" xr:uid="{00000000-0005-0000-0000-0000560B0000}"/>
    <cellStyle name="20% - Accent5 8 29" xfId="2947" xr:uid="{00000000-0005-0000-0000-0000570B0000}"/>
    <cellStyle name="20% - Accent5 8 3" xfId="2948" xr:uid="{00000000-0005-0000-0000-0000580B0000}"/>
    <cellStyle name="20% - Accent5 8 30" xfId="2949" xr:uid="{00000000-0005-0000-0000-0000590B0000}"/>
    <cellStyle name="20% - Accent5 8 31" xfId="2950" xr:uid="{00000000-0005-0000-0000-00005A0B0000}"/>
    <cellStyle name="20% - Accent5 8 32" xfId="2951" xr:uid="{00000000-0005-0000-0000-00005B0B0000}"/>
    <cellStyle name="20% - Accent5 8 33" xfId="2952" xr:uid="{00000000-0005-0000-0000-00005C0B0000}"/>
    <cellStyle name="20% - Accent5 8 34" xfId="2953" xr:uid="{00000000-0005-0000-0000-00005D0B0000}"/>
    <cellStyle name="20% - Accent5 8 35" xfId="2954" xr:uid="{00000000-0005-0000-0000-00005E0B0000}"/>
    <cellStyle name="20% - Accent5 8 36" xfId="2955" xr:uid="{00000000-0005-0000-0000-00005F0B0000}"/>
    <cellStyle name="20% - Accent5 8 37" xfId="2956" xr:uid="{00000000-0005-0000-0000-0000600B0000}"/>
    <cellStyle name="20% - Accent5 8 38" xfId="2957" xr:uid="{00000000-0005-0000-0000-0000610B0000}"/>
    <cellStyle name="20% - Accent5 8 39" xfId="2958" xr:uid="{00000000-0005-0000-0000-0000620B0000}"/>
    <cellStyle name="20% - Accent5 8 4" xfId="2959" xr:uid="{00000000-0005-0000-0000-0000630B0000}"/>
    <cellStyle name="20% - Accent5 8 5" xfId="2960" xr:uid="{00000000-0005-0000-0000-0000640B0000}"/>
    <cellStyle name="20% - Accent5 8 6" xfId="2961" xr:uid="{00000000-0005-0000-0000-0000650B0000}"/>
    <cellStyle name="20% - Accent5 8 7" xfId="2962" xr:uid="{00000000-0005-0000-0000-0000660B0000}"/>
    <cellStyle name="20% - Accent5 8 8" xfId="2963" xr:uid="{00000000-0005-0000-0000-0000670B0000}"/>
    <cellStyle name="20% - Accent5 8 9" xfId="2964" xr:uid="{00000000-0005-0000-0000-0000680B0000}"/>
    <cellStyle name="20% - Accent5 9" xfId="2965" xr:uid="{00000000-0005-0000-0000-0000690B0000}"/>
    <cellStyle name="20% - Accent5 9 10" xfId="2966" xr:uid="{00000000-0005-0000-0000-00006A0B0000}"/>
    <cellStyle name="20% - Accent5 9 11" xfId="2967" xr:uid="{00000000-0005-0000-0000-00006B0B0000}"/>
    <cellStyle name="20% - Accent5 9 12" xfId="2968" xr:uid="{00000000-0005-0000-0000-00006C0B0000}"/>
    <cellStyle name="20% - Accent5 9 13" xfId="2969" xr:uid="{00000000-0005-0000-0000-00006D0B0000}"/>
    <cellStyle name="20% - Accent5 9 14" xfId="2970" xr:uid="{00000000-0005-0000-0000-00006E0B0000}"/>
    <cellStyle name="20% - Accent5 9 15" xfId="2971" xr:uid="{00000000-0005-0000-0000-00006F0B0000}"/>
    <cellStyle name="20% - Accent5 9 16" xfId="2972" xr:uid="{00000000-0005-0000-0000-0000700B0000}"/>
    <cellStyle name="20% - Accent5 9 17" xfId="2973" xr:uid="{00000000-0005-0000-0000-0000710B0000}"/>
    <cellStyle name="20% - Accent5 9 18" xfId="2974" xr:uid="{00000000-0005-0000-0000-0000720B0000}"/>
    <cellStyle name="20% - Accent5 9 19" xfId="2975" xr:uid="{00000000-0005-0000-0000-0000730B0000}"/>
    <cellStyle name="20% - Accent5 9 2" xfId="2976" xr:uid="{00000000-0005-0000-0000-0000740B0000}"/>
    <cellStyle name="20% - Accent5 9 20" xfId="2977" xr:uid="{00000000-0005-0000-0000-0000750B0000}"/>
    <cellStyle name="20% - Accent5 9 21" xfId="2978" xr:uid="{00000000-0005-0000-0000-0000760B0000}"/>
    <cellStyle name="20% - Accent5 9 22" xfId="2979" xr:uid="{00000000-0005-0000-0000-0000770B0000}"/>
    <cellStyle name="20% - Accent5 9 23" xfId="2980" xr:uid="{00000000-0005-0000-0000-0000780B0000}"/>
    <cellStyle name="20% - Accent5 9 24" xfId="2981" xr:uid="{00000000-0005-0000-0000-0000790B0000}"/>
    <cellStyle name="20% - Accent5 9 25" xfId="2982" xr:uid="{00000000-0005-0000-0000-00007A0B0000}"/>
    <cellStyle name="20% - Accent5 9 26" xfId="2983" xr:uid="{00000000-0005-0000-0000-00007B0B0000}"/>
    <cellStyle name="20% - Accent5 9 27" xfId="2984" xr:uid="{00000000-0005-0000-0000-00007C0B0000}"/>
    <cellStyle name="20% - Accent5 9 28" xfId="2985" xr:uid="{00000000-0005-0000-0000-00007D0B0000}"/>
    <cellStyle name="20% - Accent5 9 29" xfId="2986" xr:uid="{00000000-0005-0000-0000-00007E0B0000}"/>
    <cellStyle name="20% - Accent5 9 3" xfId="2987" xr:uid="{00000000-0005-0000-0000-00007F0B0000}"/>
    <cellStyle name="20% - Accent5 9 30" xfId="2988" xr:uid="{00000000-0005-0000-0000-0000800B0000}"/>
    <cellStyle name="20% - Accent5 9 31" xfId="2989" xr:uid="{00000000-0005-0000-0000-0000810B0000}"/>
    <cellStyle name="20% - Accent5 9 32" xfId="2990" xr:uid="{00000000-0005-0000-0000-0000820B0000}"/>
    <cellStyle name="20% - Accent5 9 33" xfId="2991" xr:uid="{00000000-0005-0000-0000-0000830B0000}"/>
    <cellStyle name="20% - Accent5 9 34" xfId="2992" xr:uid="{00000000-0005-0000-0000-0000840B0000}"/>
    <cellStyle name="20% - Accent5 9 35" xfId="2993" xr:uid="{00000000-0005-0000-0000-0000850B0000}"/>
    <cellStyle name="20% - Accent5 9 36" xfId="2994" xr:uid="{00000000-0005-0000-0000-0000860B0000}"/>
    <cellStyle name="20% - Accent5 9 37" xfId="2995" xr:uid="{00000000-0005-0000-0000-0000870B0000}"/>
    <cellStyle name="20% - Accent5 9 38" xfId="2996" xr:uid="{00000000-0005-0000-0000-0000880B0000}"/>
    <cellStyle name="20% - Accent5 9 39" xfId="2997" xr:uid="{00000000-0005-0000-0000-0000890B0000}"/>
    <cellStyle name="20% - Accent5 9 4" xfId="2998" xr:uid="{00000000-0005-0000-0000-00008A0B0000}"/>
    <cellStyle name="20% - Accent5 9 5" xfId="2999" xr:uid="{00000000-0005-0000-0000-00008B0B0000}"/>
    <cellStyle name="20% - Accent5 9 6" xfId="3000" xr:uid="{00000000-0005-0000-0000-00008C0B0000}"/>
    <cellStyle name="20% - Accent5 9 7" xfId="3001" xr:uid="{00000000-0005-0000-0000-00008D0B0000}"/>
    <cellStyle name="20% - Accent5 9 8" xfId="3002" xr:uid="{00000000-0005-0000-0000-00008E0B0000}"/>
    <cellStyle name="20% - Accent5 9 9" xfId="3003" xr:uid="{00000000-0005-0000-0000-00008F0B0000}"/>
    <cellStyle name="20% - Accent6" xfId="40" builtinId="50" customBuiltin="1"/>
    <cellStyle name="20% - Accent6 10" xfId="3004" xr:uid="{00000000-0005-0000-0000-0000910B0000}"/>
    <cellStyle name="20% - Accent6 10 10" xfId="3005" xr:uid="{00000000-0005-0000-0000-0000920B0000}"/>
    <cellStyle name="20% - Accent6 10 11" xfId="3006" xr:uid="{00000000-0005-0000-0000-0000930B0000}"/>
    <cellStyle name="20% - Accent6 10 12" xfId="3007" xr:uid="{00000000-0005-0000-0000-0000940B0000}"/>
    <cellStyle name="20% - Accent6 10 13" xfId="3008" xr:uid="{00000000-0005-0000-0000-0000950B0000}"/>
    <cellStyle name="20% - Accent6 10 14" xfId="3009" xr:uid="{00000000-0005-0000-0000-0000960B0000}"/>
    <cellStyle name="20% - Accent6 10 15" xfId="3010" xr:uid="{00000000-0005-0000-0000-0000970B0000}"/>
    <cellStyle name="20% - Accent6 10 16" xfId="3011" xr:uid="{00000000-0005-0000-0000-0000980B0000}"/>
    <cellStyle name="20% - Accent6 10 17" xfId="3012" xr:uid="{00000000-0005-0000-0000-0000990B0000}"/>
    <cellStyle name="20% - Accent6 10 18" xfId="3013" xr:uid="{00000000-0005-0000-0000-00009A0B0000}"/>
    <cellStyle name="20% - Accent6 10 19" xfId="3014" xr:uid="{00000000-0005-0000-0000-00009B0B0000}"/>
    <cellStyle name="20% - Accent6 10 2" xfId="3015" xr:uid="{00000000-0005-0000-0000-00009C0B0000}"/>
    <cellStyle name="20% - Accent6 10 20" xfId="3016" xr:uid="{00000000-0005-0000-0000-00009D0B0000}"/>
    <cellStyle name="20% - Accent6 10 21" xfId="3017" xr:uid="{00000000-0005-0000-0000-00009E0B0000}"/>
    <cellStyle name="20% - Accent6 10 22" xfId="3018" xr:uid="{00000000-0005-0000-0000-00009F0B0000}"/>
    <cellStyle name="20% - Accent6 10 23" xfId="3019" xr:uid="{00000000-0005-0000-0000-0000A00B0000}"/>
    <cellStyle name="20% - Accent6 10 24" xfId="3020" xr:uid="{00000000-0005-0000-0000-0000A10B0000}"/>
    <cellStyle name="20% - Accent6 10 25" xfId="3021" xr:uid="{00000000-0005-0000-0000-0000A20B0000}"/>
    <cellStyle name="20% - Accent6 10 26" xfId="3022" xr:uid="{00000000-0005-0000-0000-0000A30B0000}"/>
    <cellStyle name="20% - Accent6 10 27" xfId="3023" xr:uid="{00000000-0005-0000-0000-0000A40B0000}"/>
    <cellStyle name="20% - Accent6 10 28" xfId="3024" xr:uid="{00000000-0005-0000-0000-0000A50B0000}"/>
    <cellStyle name="20% - Accent6 10 29" xfId="3025" xr:uid="{00000000-0005-0000-0000-0000A60B0000}"/>
    <cellStyle name="20% - Accent6 10 3" xfId="3026" xr:uid="{00000000-0005-0000-0000-0000A70B0000}"/>
    <cellStyle name="20% - Accent6 10 30" xfId="3027" xr:uid="{00000000-0005-0000-0000-0000A80B0000}"/>
    <cellStyle name="20% - Accent6 10 31" xfId="3028" xr:uid="{00000000-0005-0000-0000-0000A90B0000}"/>
    <cellStyle name="20% - Accent6 10 32" xfId="3029" xr:uid="{00000000-0005-0000-0000-0000AA0B0000}"/>
    <cellStyle name="20% - Accent6 10 33" xfId="3030" xr:uid="{00000000-0005-0000-0000-0000AB0B0000}"/>
    <cellStyle name="20% - Accent6 10 34" xfId="3031" xr:uid="{00000000-0005-0000-0000-0000AC0B0000}"/>
    <cellStyle name="20% - Accent6 10 35" xfId="3032" xr:uid="{00000000-0005-0000-0000-0000AD0B0000}"/>
    <cellStyle name="20% - Accent6 10 36" xfId="3033" xr:uid="{00000000-0005-0000-0000-0000AE0B0000}"/>
    <cellStyle name="20% - Accent6 10 37" xfId="3034" xr:uid="{00000000-0005-0000-0000-0000AF0B0000}"/>
    <cellStyle name="20% - Accent6 10 38" xfId="3035" xr:uid="{00000000-0005-0000-0000-0000B00B0000}"/>
    <cellStyle name="20% - Accent6 10 39" xfId="3036" xr:uid="{00000000-0005-0000-0000-0000B10B0000}"/>
    <cellStyle name="20% - Accent6 10 4" xfId="3037" xr:uid="{00000000-0005-0000-0000-0000B20B0000}"/>
    <cellStyle name="20% - Accent6 10 5" xfId="3038" xr:uid="{00000000-0005-0000-0000-0000B30B0000}"/>
    <cellStyle name="20% - Accent6 10 6" xfId="3039" xr:uid="{00000000-0005-0000-0000-0000B40B0000}"/>
    <cellStyle name="20% - Accent6 10 7" xfId="3040" xr:uid="{00000000-0005-0000-0000-0000B50B0000}"/>
    <cellStyle name="20% - Accent6 10 8" xfId="3041" xr:uid="{00000000-0005-0000-0000-0000B60B0000}"/>
    <cellStyle name="20% - Accent6 10 9" xfId="3042" xr:uid="{00000000-0005-0000-0000-0000B70B0000}"/>
    <cellStyle name="20% - Accent6 11" xfId="3043" xr:uid="{00000000-0005-0000-0000-0000B80B0000}"/>
    <cellStyle name="20% - Accent6 11 10" xfId="3044" xr:uid="{00000000-0005-0000-0000-0000B90B0000}"/>
    <cellStyle name="20% - Accent6 11 11" xfId="3045" xr:uid="{00000000-0005-0000-0000-0000BA0B0000}"/>
    <cellStyle name="20% - Accent6 11 12" xfId="3046" xr:uid="{00000000-0005-0000-0000-0000BB0B0000}"/>
    <cellStyle name="20% - Accent6 11 13" xfId="3047" xr:uid="{00000000-0005-0000-0000-0000BC0B0000}"/>
    <cellStyle name="20% - Accent6 11 14" xfId="3048" xr:uid="{00000000-0005-0000-0000-0000BD0B0000}"/>
    <cellStyle name="20% - Accent6 11 15" xfId="3049" xr:uid="{00000000-0005-0000-0000-0000BE0B0000}"/>
    <cellStyle name="20% - Accent6 11 16" xfId="3050" xr:uid="{00000000-0005-0000-0000-0000BF0B0000}"/>
    <cellStyle name="20% - Accent6 11 17" xfId="3051" xr:uid="{00000000-0005-0000-0000-0000C00B0000}"/>
    <cellStyle name="20% - Accent6 11 18" xfId="3052" xr:uid="{00000000-0005-0000-0000-0000C10B0000}"/>
    <cellStyle name="20% - Accent6 11 19" xfId="3053" xr:uid="{00000000-0005-0000-0000-0000C20B0000}"/>
    <cellStyle name="20% - Accent6 11 2" xfId="3054" xr:uid="{00000000-0005-0000-0000-0000C30B0000}"/>
    <cellStyle name="20% - Accent6 11 20" xfId="3055" xr:uid="{00000000-0005-0000-0000-0000C40B0000}"/>
    <cellStyle name="20% - Accent6 11 21" xfId="3056" xr:uid="{00000000-0005-0000-0000-0000C50B0000}"/>
    <cellStyle name="20% - Accent6 11 22" xfId="3057" xr:uid="{00000000-0005-0000-0000-0000C60B0000}"/>
    <cellStyle name="20% - Accent6 11 23" xfId="3058" xr:uid="{00000000-0005-0000-0000-0000C70B0000}"/>
    <cellStyle name="20% - Accent6 11 24" xfId="3059" xr:uid="{00000000-0005-0000-0000-0000C80B0000}"/>
    <cellStyle name="20% - Accent6 11 25" xfId="3060" xr:uid="{00000000-0005-0000-0000-0000C90B0000}"/>
    <cellStyle name="20% - Accent6 11 26" xfId="3061" xr:uid="{00000000-0005-0000-0000-0000CA0B0000}"/>
    <cellStyle name="20% - Accent6 11 27" xfId="3062" xr:uid="{00000000-0005-0000-0000-0000CB0B0000}"/>
    <cellStyle name="20% - Accent6 11 28" xfId="3063" xr:uid="{00000000-0005-0000-0000-0000CC0B0000}"/>
    <cellStyle name="20% - Accent6 11 29" xfId="3064" xr:uid="{00000000-0005-0000-0000-0000CD0B0000}"/>
    <cellStyle name="20% - Accent6 11 3" xfId="3065" xr:uid="{00000000-0005-0000-0000-0000CE0B0000}"/>
    <cellStyle name="20% - Accent6 11 30" xfId="3066" xr:uid="{00000000-0005-0000-0000-0000CF0B0000}"/>
    <cellStyle name="20% - Accent6 11 31" xfId="3067" xr:uid="{00000000-0005-0000-0000-0000D00B0000}"/>
    <cellStyle name="20% - Accent6 11 32" xfId="3068" xr:uid="{00000000-0005-0000-0000-0000D10B0000}"/>
    <cellStyle name="20% - Accent6 11 33" xfId="3069" xr:uid="{00000000-0005-0000-0000-0000D20B0000}"/>
    <cellStyle name="20% - Accent6 11 34" xfId="3070" xr:uid="{00000000-0005-0000-0000-0000D30B0000}"/>
    <cellStyle name="20% - Accent6 11 35" xfId="3071" xr:uid="{00000000-0005-0000-0000-0000D40B0000}"/>
    <cellStyle name="20% - Accent6 11 36" xfId="3072" xr:uid="{00000000-0005-0000-0000-0000D50B0000}"/>
    <cellStyle name="20% - Accent6 11 37" xfId="3073" xr:uid="{00000000-0005-0000-0000-0000D60B0000}"/>
    <cellStyle name="20% - Accent6 11 38" xfId="3074" xr:uid="{00000000-0005-0000-0000-0000D70B0000}"/>
    <cellStyle name="20% - Accent6 11 39" xfId="3075" xr:uid="{00000000-0005-0000-0000-0000D80B0000}"/>
    <cellStyle name="20% - Accent6 11 4" xfId="3076" xr:uid="{00000000-0005-0000-0000-0000D90B0000}"/>
    <cellStyle name="20% - Accent6 11 5" xfId="3077" xr:uid="{00000000-0005-0000-0000-0000DA0B0000}"/>
    <cellStyle name="20% - Accent6 11 6" xfId="3078" xr:uid="{00000000-0005-0000-0000-0000DB0B0000}"/>
    <cellStyle name="20% - Accent6 11 7" xfId="3079" xr:uid="{00000000-0005-0000-0000-0000DC0B0000}"/>
    <cellStyle name="20% - Accent6 11 8" xfId="3080" xr:uid="{00000000-0005-0000-0000-0000DD0B0000}"/>
    <cellStyle name="20% - Accent6 11 9" xfId="3081" xr:uid="{00000000-0005-0000-0000-0000DE0B0000}"/>
    <cellStyle name="20% - Accent6 12" xfId="3082" xr:uid="{00000000-0005-0000-0000-0000DF0B0000}"/>
    <cellStyle name="20% - Accent6 13" xfId="3083" xr:uid="{00000000-0005-0000-0000-0000E00B0000}"/>
    <cellStyle name="20% - Accent6 14" xfId="3084" xr:uid="{00000000-0005-0000-0000-0000E10B0000}"/>
    <cellStyle name="20% - Accent6 15" xfId="3085" xr:uid="{00000000-0005-0000-0000-0000E20B0000}"/>
    <cellStyle name="20% - Accent6 16" xfId="3086" xr:uid="{00000000-0005-0000-0000-0000E30B0000}"/>
    <cellStyle name="20% - Accent6 17" xfId="3087" xr:uid="{00000000-0005-0000-0000-0000E40B0000}"/>
    <cellStyle name="20% - Accent6 18" xfId="3088" xr:uid="{00000000-0005-0000-0000-0000E50B0000}"/>
    <cellStyle name="20% - Accent6 19" xfId="3089" xr:uid="{00000000-0005-0000-0000-0000E60B0000}"/>
    <cellStyle name="20% - Accent6 2" xfId="3090" xr:uid="{00000000-0005-0000-0000-0000E70B0000}"/>
    <cellStyle name="20% - Accent6 2 10" xfId="3091" xr:uid="{00000000-0005-0000-0000-0000E80B0000}"/>
    <cellStyle name="20% - Accent6 2 11" xfId="3092" xr:uid="{00000000-0005-0000-0000-0000E90B0000}"/>
    <cellStyle name="20% - Accent6 2 12" xfId="3093" xr:uid="{00000000-0005-0000-0000-0000EA0B0000}"/>
    <cellStyle name="20% - Accent6 2 13" xfId="3094" xr:uid="{00000000-0005-0000-0000-0000EB0B0000}"/>
    <cellStyle name="20% - Accent6 2 14" xfId="3095" xr:uid="{00000000-0005-0000-0000-0000EC0B0000}"/>
    <cellStyle name="20% - Accent6 2 15" xfId="3096" xr:uid="{00000000-0005-0000-0000-0000ED0B0000}"/>
    <cellStyle name="20% - Accent6 2 16" xfId="3097" xr:uid="{00000000-0005-0000-0000-0000EE0B0000}"/>
    <cellStyle name="20% - Accent6 2 17" xfId="3098" xr:uid="{00000000-0005-0000-0000-0000EF0B0000}"/>
    <cellStyle name="20% - Accent6 2 18" xfId="3099" xr:uid="{00000000-0005-0000-0000-0000F00B0000}"/>
    <cellStyle name="20% - Accent6 2 19" xfId="3100" xr:uid="{00000000-0005-0000-0000-0000F10B0000}"/>
    <cellStyle name="20% - Accent6 2 2" xfId="3101" xr:uid="{00000000-0005-0000-0000-0000F20B0000}"/>
    <cellStyle name="20% - Accent6 2 2 2" xfId="3102" xr:uid="{00000000-0005-0000-0000-0000F30B0000}"/>
    <cellStyle name="20% - Accent6 2 20" xfId="3103" xr:uid="{00000000-0005-0000-0000-0000F40B0000}"/>
    <cellStyle name="20% - Accent6 2 21" xfId="3104" xr:uid="{00000000-0005-0000-0000-0000F50B0000}"/>
    <cellStyle name="20% - Accent6 2 22" xfId="3105" xr:uid="{00000000-0005-0000-0000-0000F60B0000}"/>
    <cellStyle name="20% - Accent6 2 23" xfId="3106" xr:uid="{00000000-0005-0000-0000-0000F70B0000}"/>
    <cellStyle name="20% - Accent6 2 24" xfId="3107" xr:uid="{00000000-0005-0000-0000-0000F80B0000}"/>
    <cellStyle name="20% - Accent6 2 25" xfId="3108" xr:uid="{00000000-0005-0000-0000-0000F90B0000}"/>
    <cellStyle name="20% - Accent6 2 26" xfId="3109" xr:uid="{00000000-0005-0000-0000-0000FA0B0000}"/>
    <cellStyle name="20% - Accent6 2 27" xfId="3110" xr:uid="{00000000-0005-0000-0000-0000FB0B0000}"/>
    <cellStyle name="20% - Accent6 2 28" xfId="3111" xr:uid="{00000000-0005-0000-0000-0000FC0B0000}"/>
    <cellStyle name="20% - Accent6 2 29" xfId="3112" xr:uid="{00000000-0005-0000-0000-0000FD0B0000}"/>
    <cellStyle name="20% - Accent6 2 3" xfId="3113" xr:uid="{00000000-0005-0000-0000-0000FE0B0000}"/>
    <cellStyle name="20% - Accent6 2 3 2" xfId="3114" xr:uid="{00000000-0005-0000-0000-0000FF0B0000}"/>
    <cellStyle name="20% - Accent6 2 30" xfId="3115" xr:uid="{00000000-0005-0000-0000-0000000C0000}"/>
    <cellStyle name="20% - Accent6 2 31" xfId="3116" xr:uid="{00000000-0005-0000-0000-0000010C0000}"/>
    <cellStyle name="20% - Accent6 2 32" xfId="3117" xr:uid="{00000000-0005-0000-0000-0000020C0000}"/>
    <cellStyle name="20% - Accent6 2 33" xfId="3118" xr:uid="{00000000-0005-0000-0000-0000030C0000}"/>
    <cellStyle name="20% - Accent6 2 34" xfId="3119" xr:uid="{00000000-0005-0000-0000-0000040C0000}"/>
    <cellStyle name="20% - Accent6 2 35" xfId="3120" xr:uid="{00000000-0005-0000-0000-0000050C0000}"/>
    <cellStyle name="20% - Accent6 2 36" xfId="3121" xr:uid="{00000000-0005-0000-0000-0000060C0000}"/>
    <cellStyle name="20% - Accent6 2 37" xfId="3122" xr:uid="{00000000-0005-0000-0000-0000070C0000}"/>
    <cellStyle name="20% - Accent6 2 38" xfId="3123" xr:uid="{00000000-0005-0000-0000-0000080C0000}"/>
    <cellStyle name="20% - Accent6 2 39" xfId="3124" xr:uid="{00000000-0005-0000-0000-0000090C0000}"/>
    <cellStyle name="20% - Accent6 2 4" xfId="3125" xr:uid="{00000000-0005-0000-0000-00000A0C0000}"/>
    <cellStyle name="20% - Accent6 2 4 2" xfId="3126" xr:uid="{00000000-0005-0000-0000-00000B0C0000}"/>
    <cellStyle name="20% - Accent6 2 40" xfId="3127" xr:uid="{00000000-0005-0000-0000-00000C0C0000}"/>
    <cellStyle name="20% - Accent6 2 41" xfId="3128" xr:uid="{00000000-0005-0000-0000-00000D0C0000}"/>
    <cellStyle name="20% - Accent6 2 42" xfId="3129" xr:uid="{00000000-0005-0000-0000-00000E0C0000}"/>
    <cellStyle name="20% - Accent6 2 43" xfId="3130" xr:uid="{00000000-0005-0000-0000-00000F0C0000}"/>
    <cellStyle name="20% - Accent6 2 44" xfId="3131" xr:uid="{00000000-0005-0000-0000-0000100C0000}"/>
    <cellStyle name="20% - Accent6 2 45" xfId="3132" xr:uid="{00000000-0005-0000-0000-0000110C0000}"/>
    <cellStyle name="20% - Accent6 2 46" xfId="3133" xr:uid="{00000000-0005-0000-0000-0000120C0000}"/>
    <cellStyle name="20% - Accent6 2 47" xfId="3134" xr:uid="{00000000-0005-0000-0000-0000130C0000}"/>
    <cellStyle name="20% - Accent6 2 48" xfId="3135" xr:uid="{00000000-0005-0000-0000-0000140C0000}"/>
    <cellStyle name="20% - Accent6 2 49" xfId="3136" xr:uid="{00000000-0005-0000-0000-0000150C0000}"/>
    <cellStyle name="20% - Accent6 2 5" xfId="3137" xr:uid="{00000000-0005-0000-0000-0000160C0000}"/>
    <cellStyle name="20% - Accent6 2 5 2" xfId="3138" xr:uid="{00000000-0005-0000-0000-0000170C0000}"/>
    <cellStyle name="20% - Accent6 2 50" xfId="3139" xr:uid="{00000000-0005-0000-0000-0000180C0000}"/>
    <cellStyle name="20% - Accent6 2 51" xfId="3140" xr:uid="{00000000-0005-0000-0000-0000190C0000}"/>
    <cellStyle name="20% - Accent6 2 52" xfId="3141" xr:uid="{00000000-0005-0000-0000-00001A0C0000}"/>
    <cellStyle name="20% - Accent6 2 53" xfId="3142" xr:uid="{00000000-0005-0000-0000-00001B0C0000}"/>
    <cellStyle name="20% - Accent6 2 54" xfId="3143" xr:uid="{00000000-0005-0000-0000-00001C0C0000}"/>
    <cellStyle name="20% - Accent6 2 55" xfId="3144" xr:uid="{00000000-0005-0000-0000-00001D0C0000}"/>
    <cellStyle name="20% - Accent6 2 56" xfId="3145" xr:uid="{00000000-0005-0000-0000-00001E0C0000}"/>
    <cellStyle name="20% - Accent6 2 57" xfId="3146" xr:uid="{00000000-0005-0000-0000-00001F0C0000}"/>
    <cellStyle name="20% - Accent6 2 58" xfId="3147" xr:uid="{00000000-0005-0000-0000-0000200C0000}"/>
    <cellStyle name="20% - Accent6 2 59" xfId="3148" xr:uid="{00000000-0005-0000-0000-0000210C0000}"/>
    <cellStyle name="20% - Accent6 2 6" xfId="3149" xr:uid="{00000000-0005-0000-0000-0000220C0000}"/>
    <cellStyle name="20% - Accent6 2 6 2" xfId="3150" xr:uid="{00000000-0005-0000-0000-0000230C0000}"/>
    <cellStyle name="20% - Accent6 2 60" xfId="3151" xr:uid="{00000000-0005-0000-0000-0000240C0000}"/>
    <cellStyle name="20% - Accent6 2 61" xfId="3152" xr:uid="{00000000-0005-0000-0000-0000250C0000}"/>
    <cellStyle name="20% - Accent6 2 62" xfId="3153" xr:uid="{00000000-0005-0000-0000-0000260C0000}"/>
    <cellStyle name="20% - Accent6 2 63" xfId="3154" xr:uid="{00000000-0005-0000-0000-0000270C0000}"/>
    <cellStyle name="20% - Accent6 2 64" xfId="3155" xr:uid="{00000000-0005-0000-0000-0000280C0000}"/>
    <cellStyle name="20% - Accent6 2 65" xfId="3156" xr:uid="{00000000-0005-0000-0000-0000290C0000}"/>
    <cellStyle name="20% - Accent6 2 66" xfId="3157" xr:uid="{00000000-0005-0000-0000-00002A0C0000}"/>
    <cellStyle name="20% - Accent6 2 67" xfId="3158" xr:uid="{00000000-0005-0000-0000-00002B0C0000}"/>
    <cellStyle name="20% - Accent6 2 68" xfId="3159" xr:uid="{00000000-0005-0000-0000-00002C0C0000}"/>
    <cellStyle name="20% - Accent6 2 69" xfId="3160" xr:uid="{00000000-0005-0000-0000-00002D0C0000}"/>
    <cellStyle name="20% - Accent6 2 7" xfId="3161" xr:uid="{00000000-0005-0000-0000-00002E0C0000}"/>
    <cellStyle name="20% - Accent6 2 7 2" xfId="3162" xr:uid="{00000000-0005-0000-0000-00002F0C0000}"/>
    <cellStyle name="20% - Accent6 2 70" xfId="3163" xr:uid="{00000000-0005-0000-0000-0000300C0000}"/>
    <cellStyle name="20% - Accent6 2 71" xfId="3164" xr:uid="{00000000-0005-0000-0000-0000310C0000}"/>
    <cellStyle name="20% - Accent6 2 72" xfId="3165" xr:uid="{00000000-0005-0000-0000-0000320C0000}"/>
    <cellStyle name="20% - Accent6 2 73" xfId="3166" xr:uid="{00000000-0005-0000-0000-0000330C0000}"/>
    <cellStyle name="20% - Accent6 2 74" xfId="3167" xr:uid="{00000000-0005-0000-0000-0000340C0000}"/>
    <cellStyle name="20% - Accent6 2 75" xfId="3168" xr:uid="{00000000-0005-0000-0000-0000350C0000}"/>
    <cellStyle name="20% - Accent6 2 8" xfId="3169" xr:uid="{00000000-0005-0000-0000-0000360C0000}"/>
    <cellStyle name="20% - Accent6 2 8 2" xfId="3170" xr:uid="{00000000-0005-0000-0000-0000370C0000}"/>
    <cellStyle name="20% - Accent6 2 9" xfId="3171" xr:uid="{00000000-0005-0000-0000-0000380C0000}"/>
    <cellStyle name="20% - Accent6 2 9 2" xfId="3172" xr:uid="{00000000-0005-0000-0000-0000390C0000}"/>
    <cellStyle name="20% - Accent6 20" xfId="3173" xr:uid="{00000000-0005-0000-0000-00003A0C0000}"/>
    <cellStyle name="20% - Accent6 21" xfId="3174" xr:uid="{00000000-0005-0000-0000-00003B0C0000}"/>
    <cellStyle name="20% - Accent6 22" xfId="3175" xr:uid="{00000000-0005-0000-0000-00003C0C0000}"/>
    <cellStyle name="20% - Accent6 23" xfId="3176" xr:uid="{00000000-0005-0000-0000-00003D0C0000}"/>
    <cellStyle name="20% - Accent6 24" xfId="3177" xr:uid="{00000000-0005-0000-0000-00003E0C0000}"/>
    <cellStyle name="20% - Accent6 25" xfId="3178" xr:uid="{00000000-0005-0000-0000-00003F0C0000}"/>
    <cellStyle name="20% - Accent6 26" xfId="3179" xr:uid="{00000000-0005-0000-0000-0000400C0000}"/>
    <cellStyle name="20% - Accent6 27" xfId="3180" xr:uid="{00000000-0005-0000-0000-0000410C0000}"/>
    <cellStyle name="20% - Accent6 28" xfId="3181" xr:uid="{00000000-0005-0000-0000-0000420C0000}"/>
    <cellStyle name="20% - Accent6 29" xfId="3182" xr:uid="{00000000-0005-0000-0000-0000430C0000}"/>
    <cellStyle name="20% - Accent6 3" xfId="3183" xr:uid="{00000000-0005-0000-0000-0000440C0000}"/>
    <cellStyle name="20% - Accent6 3 10" xfId="3184" xr:uid="{00000000-0005-0000-0000-0000450C0000}"/>
    <cellStyle name="20% - Accent6 3 11" xfId="3185" xr:uid="{00000000-0005-0000-0000-0000460C0000}"/>
    <cellStyle name="20% - Accent6 3 12" xfId="3186" xr:uid="{00000000-0005-0000-0000-0000470C0000}"/>
    <cellStyle name="20% - Accent6 3 13" xfId="3187" xr:uid="{00000000-0005-0000-0000-0000480C0000}"/>
    <cellStyle name="20% - Accent6 3 14" xfId="3188" xr:uid="{00000000-0005-0000-0000-0000490C0000}"/>
    <cellStyle name="20% - Accent6 3 15" xfId="3189" xr:uid="{00000000-0005-0000-0000-00004A0C0000}"/>
    <cellStyle name="20% - Accent6 3 16" xfId="3190" xr:uid="{00000000-0005-0000-0000-00004B0C0000}"/>
    <cellStyle name="20% - Accent6 3 17" xfId="3191" xr:uid="{00000000-0005-0000-0000-00004C0C0000}"/>
    <cellStyle name="20% - Accent6 3 18" xfId="3192" xr:uid="{00000000-0005-0000-0000-00004D0C0000}"/>
    <cellStyle name="20% - Accent6 3 19" xfId="3193" xr:uid="{00000000-0005-0000-0000-00004E0C0000}"/>
    <cellStyle name="20% - Accent6 3 2" xfId="3194" xr:uid="{00000000-0005-0000-0000-00004F0C0000}"/>
    <cellStyle name="20% - Accent6 3 2 2" xfId="3195" xr:uid="{00000000-0005-0000-0000-0000500C0000}"/>
    <cellStyle name="20% - Accent6 3 20" xfId="3196" xr:uid="{00000000-0005-0000-0000-0000510C0000}"/>
    <cellStyle name="20% - Accent6 3 21" xfId="3197" xr:uid="{00000000-0005-0000-0000-0000520C0000}"/>
    <cellStyle name="20% - Accent6 3 22" xfId="3198" xr:uid="{00000000-0005-0000-0000-0000530C0000}"/>
    <cellStyle name="20% - Accent6 3 23" xfId="3199" xr:uid="{00000000-0005-0000-0000-0000540C0000}"/>
    <cellStyle name="20% - Accent6 3 24" xfId="3200" xr:uid="{00000000-0005-0000-0000-0000550C0000}"/>
    <cellStyle name="20% - Accent6 3 25" xfId="3201" xr:uid="{00000000-0005-0000-0000-0000560C0000}"/>
    <cellStyle name="20% - Accent6 3 26" xfId="3202" xr:uid="{00000000-0005-0000-0000-0000570C0000}"/>
    <cellStyle name="20% - Accent6 3 27" xfId="3203" xr:uid="{00000000-0005-0000-0000-0000580C0000}"/>
    <cellStyle name="20% - Accent6 3 28" xfId="3204" xr:uid="{00000000-0005-0000-0000-0000590C0000}"/>
    <cellStyle name="20% - Accent6 3 29" xfId="3205" xr:uid="{00000000-0005-0000-0000-00005A0C0000}"/>
    <cellStyle name="20% - Accent6 3 3" xfId="3206" xr:uid="{00000000-0005-0000-0000-00005B0C0000}"/>
    <cellStyle name="20% - Accent6 3 3 2" xfId="3207" xr:uid="{00000000-0005-0000-0000-00005C0C0000}"/>
    <cellStyle name="20% - Accent6 3 30" xfId="3208" xr:uid="{00000000-0005-0000-0000-00005D0C0000}"/>
    <cellStyle name="20% - Accent6 3 31" xfId="3209" xr:uid="{00000000-0005-0000-0000-00005E0C0000}"/>
    <cellStyle name="20% - Accent6 3 32" xfId="3210" xr:uid="{00000000-0005-0000-0000-00005F0C0000}"/>
    <cellStyle name="20% - Accent6 3 33" xfId="3211" xr:uid="{00000000-0005-0000-0000-0000600C0000}"/>
    <cellStyle name="20% - Accent6 3 34" xfId="3212" xr:uid="{00000000-0005-0000-0000-0000610C0000}"/>
    <cellStyle name="20% - Accent6 3 35" xfId="3213" xr:uid="{00000000-0005-0000-0000-0000620C0000}"/>
    <cellStyle name="20% - Accent6 3 36" xfId="3214" xr:uid="{00000000-0005-0000-0000-0000630C0000}"/>
    <cellStyle name="20% - Accent6 3 37" xfId="3215" xr:uid="{00000000-0005-0000-0000-0000640C0000}"/>
    <cellStyle name="20% - Accent6 3 38" xfId="3216" xr:uid="{00000000-0005-0000-0000-0000650C0000}"/>
    <cellStyle name="20% - Accent6 3 39" xfId="3217" xr:uid="{00000000-0005-0000-0000-0000660C0000}"/>
    <cellStyle name="20% - Accent6 3 4" xfId="3218" xr:uid="{00000000-0005-0000-0000-0000670C0000}"/>
    <cellStyle name="20% - Accent6 3 4 2" xfId="3219" xr:uid="{00000000-0005-0000-0000-0000680C0000}"/>
    <cellStyle name="20% - Accent6 3 40" xfId="3220" xr:uid="{00000000-0005-0000-0000-0000690C0000}"/>
    <cellStyle name="20% - Accent6 3 41" xfId="3221" xr:uid="{00000000-0005-0000-0000-00006A0C0000}"/>
    <cellStyle name="20% - Accent6 3 42" xfId="3222" xr:uid="{00000000-0005-0000-0000-00006B0C0000}"/>
    <cellStyle name="20% - Accent6 3 43" xfId="3223" xr:uid="{00000000-0005-0000-0000-00006C0C0000}"/>
    <cellStyle name="20% - Accent6 3 44" xfId="3224" xr:uid="{00000000-0005-0000-0000-00006D0C0000}"/>
    <cellStyle name="20% - Accent6 3 45" xfId="3225" xr:uid="{00000000-0005-0000-0000-00006E0C0000}"/>
    <cellStyle name="20% - Accent6 3 46" xfId="3226" xr:uid="{00000000-0005-0000-0000-00006F0C0000}"/>
    <cellStyle name="20% - Accent6 3 47" xfId="3227" xr:uid="{00000000-0005-0000-0000-0000700C0000}"/>
    <cellStyle name="20% - Accent6 3 48" xfId="3228" xr:uid="{00000000-0005-0000-0000-0000710C0000}"/>
    <cellStyle name="20% - Accent6 3 49" xfId="3229" xr:uid="{00000000-0005-0000-0000-0000720C0000}"/>
    <cellStyle name="20% - Accent6 3 5" xfId="3230" xr:uid="{00000000-0005-0000-0000-0000730C0000}"/>
    <cellStyle name="20% - Accent6 3 5 2" xfId="3231" xr:uid="{00000000-0005-0000-0000-0000740C0000}"/>
    <cellStyle name="20% - Accent6 3 50" xfId="3232" xr:uid="{00000000-0005-0000-0000-0000750C0000}"/>
    <cellStyle name="20% - Accent6 3 51" xfId="3233" xr:uid="{00000000-0005-0000-0000-0000760C0000}"/>
    <cellStyle name="20% - Accent6 3 52" xfId="3234" xr:uid="{00000000-0005-0000-0000-0000770C0000}"/>
    <cellStyle name="20% - Accent6 3 53" xfId="3235" xr:uid="{00000000-0005-0000-0000-0000780C0000}"/>
    <cellStyle name="20% - Accent6 3 54" xfId="3236" xr:uid="{00000000-0005-0000-0000-0000790C0000}"/>
    <cellStyle name="20% - Accent6 3 55" xfId="3237" xr:uid="{00000000-0005-0000-0000-00007A0C0000}"/>
    <cellStyle name="20% - Accent6 3 56" xfId="3238" xr:uid="{00000000-0005-0000-0000-00007B0C0000}"/>
    <cellStyle name="20% - Accent6 3 57" xfId="3239" xr:uid="{00000000-0005-0000-0000-00007C0C0000}"/>
    <cellStyle name="20% - Accent6 3 58" xfId="3240" xr:uid="{00000000-0005-0000-0000-00007D0C0000}"/>
    <cellStyle name="20% - Accent6 3 59" xfId="3241" xr:uid="{00000000-0005-0000-0000-00007E0C0000}"/>
    <cellStyle name="20% - Accent6 3 6" xfId="3242" xr:uid="{00000000-0005-0000-0000-00007F0C0000}"/>
    <cellStyle name="20% - Accent6 3 6 2" xfId="3243" xr:uid="{00000000-0005-0000-0000-0000800C0000}"/>
    <cellStyle name="20% - Accent6 3 60" xfId="3244" xr:uid="{00000000-0005-0000-0000-0000810C0000}"/>
    <cellStyle name="20% - Accent6 3 61" xfId="3245" xr:uid="{00000000-0005-0000-0000-0000820C0000}"/>
    <cellStyle name="20% - Accent6 3 62" xfId="3246" xr:uid="{00000000-0005-0000-0000-0000830C0000}"/>
    <cellStyle name="20% - Accent6 3 63" xfId="3247" xr:uid="{00000000-0005-0000-0000-0000840C0000}"/>
    <cellStyle name="20% - Accent6 3 64" xfId="3248" xr:uid="{00000000-0005-0000-0000-0000850C0000}"/>
    <cellStyle name="20% - Accent6 3 65" xfId="3249" xr:uid="{00000000-0005-0000-0000-0000860C0000}"/>
    <cellStyle name="20% - Accent6 3 66" xfId="3250" xr:uid="{00000000-0005-0000-0000-0000870C0000}"/>
    <cellStyle name="20% - Accent6 3 67" xfId="3251" xr:uid="{00000000-0005-0000-0000-0000880C0000}"/>
    <cellStyle name="20% - Accent6 3 68" xfId="3252" xr:uid="{00000000-0005-0000-0000-0000890C0000}"/>
    <cellStyle name="20% - Accent6 3 69" xfId="3253" xr:uid="{00000000-0005-0000-0000-00008A0C0000}"/>
    <cellStyle name="20% - Accent6 3 7" xfId="3254" xr:uid="{00000000-0005-0000-0000-00008B0C0000}"/>
    <cellStyle name="20% - Accent6 3 7 2" xfId="3255" xr:uid="{00000000-0005-0000-0000-00008C0C0000}"/>
    <cellStyle name="20% - Accent6 3 70" xfId="3256" xr:uid="{00000000-0005-0000-0000-00008D0C0000}"/>
    <cellStyle name="20% - Accent6 3 71" xfId="3257" xr:uid="{00000000-0005-0000-0000-00008E0C0000}"/>
    <cellStyle name="20% - Accent6 3 72" xfId="3258" xr:uid="{00000000-0005-0000-0000-00008F0C0000}"/>
    <cellStyle name="20% - Accent6 3 73" xfId="3259" xr:uid="{00000000-0005-0000-0000-0000900C0000}"/>
    <cellStyle name="20% - Accent6 3 74" xfId="3260" xr:uid="{00000000-0005-0000-0000-0000910C0000}"/>
    <cellStyle name="20% - Accent6 3 75" xfId="3261" xr:uid="{00000000-0005-0000-0000-0000920C0000}"/>
    <cellStyle name="20% - Accent6 3 8" xfId="3262" xr:uid="{00000000-0005-0000-0000-0000930C0000}"/>
    <cellStyle name="20% - Accent6 3 8 2" xfId="3263" xr:uid="{00000000-0005-0000-0000-0000940C0000}"/>
    <cellStyle name="20% - Accent6 3 9" xfId="3264" xr:uid="{00000000-0005-0000-0000-0000950C0000}"/>
    <cellStyle name="20% - Accent6 3 9 2" xfId="3265" xr:uid="{00000000-0005-0000-0000-0000960C0000}"/>
    <cellStyle name="20% - Accent6 30" xfId="3266" xr:uid="{00000000-0005-0000-0000-0000970C0000}"/>
    <cellStyle name="20% - Accent6 31" xfId="3267" xr:uid="{00000000-0005-0000-0000-0000980C0000}"/>
    <cellStyle name="20% - Accent6 32" xfId="3268" xr:uid="{00000000-0005-0000-0000-0000990C0000}"/>
    <cellStyle name="20% - Accent6 33" xfId="3269" xr:uid="{00000000-0005-0000-0000-00009A0C0000}"/>
    <cellStyle name="20% - Accent6 34" xfId="3270" xr:uid="{00000000-0005-0000-0000-00009B0C0000}"/>
    <cellStyle name="20% - Accent6 35" xfId="3271" xr:uid="{00000000-0005-0000-0000-00009C0C0000}"/>
    <cellStyle name="20% - Accent6 36" xfId="3272" xr:uid="{00000000-0005-0000-0000-00009D0C0000}"/>
    <cellStyle name="20% - Accent6 37" xfId="3273" xr:uid="{00000000-0005-0000-0000-00009E0C0000}"/>
    <cellStyle name="20% - Accent6 38" xfId="3274" xr:uid="{00000000-0005-0000-0000-00009F0C0000}"/>
    <cellStyle name="20% - Accent6 39" xfId="3275" xr:uid="{00000000-0005-0000-0000-0000A00C0000}"/>
    <cellStyle name="20% - Accent6 4" xfId="3276" xr:uid="{00000000-0005-0000-0000-0000A10C0000}"/>
    <cellStyle name="20% - Accent6 4 10" xfId="3277" xr:uid="{00000000-0005-0000-0000-0000A20C0000}"/>
    <cellStyle name="20% - Accent6 4 11" xfId="3278" xr:uid="{00000000-0005-0000-0000-0000A30C0000}"/>
    <cellStyle name="20% - Accent6 4 12" xfId="3279" xr:uid="{00000000-0005-0000-0000-0000A40C0000}"/>
    <cellStyle name="20% - Accent6 4 13" xfId="3280" xr:uid="{00000000-0005-0000-0000-0000A50C0000}"/>
    <cellStyle name="20% - Accent6 4 14" xfId="3281" xr:uid="{00000000-0005-0000-0000-0000A60C0000}"/>
    <cellStyle name="20% - Accent6 4 15" xfId="3282" xr:uid="{00000000-0005-0000-0000-0000A70C0000}"/>
    <cellStyle name="20% - Accent6 4 16" xfId="3283" xr:uid="{00000000-0005-0000-0000-0000A80C0000}"/>
    <cellStyle name="20% - Accent6 4 17" xfId="3284" xr:uid="{00000000-0005-0000-0000-0000A90C0000}"/>
    <cellStyle name="20% - Accent6 4 18" xfId="3285" xr:uid="{00000000-0005-0000-0000-0000AA0C0000}"/>
    <cellStyle name="20% - Accent6 4 19" xfId="3286" xr:uid="{00000000-0005-0000-0000-0000AB0C0000}"/>
    <cellStyle name="20% - Accent6 4 2" xfId="3287" xr:uid="{00000000-0005-0000-0000-0000AC0C0000}"/>
    <cellStyle name="20% - Accent6 4 2 2" xfId="3288" xr:uid="{00000000-0005-0000-0000-0000AD0C0000}"/>
    <cellStyle name="20% - Accent6 4 20" xfId="3289" xr:uid="{00000000-0005-0000-0000-0000AE0C0000}"/>
    <cellStyle name="20% - Accent6 4 21" xfId="3290" xr:uid="{00000000-0005-0000-0000-0000AF0C0000}"/>
    <cellStyle name="20% - Accent6 4 22" xfId="3291" xr:uid="{00000000-0005-0000-0000-0000B00C0000}"/>
    <cellStyle name="20% - Accent6 4 23" xfId="3292" xr:uid="{00000000-0005-0000-0000-0000B10C0000}"/>
    <cellStyle name="20% - Accent6 4 24" xfId="3293" xr:uid="{00000000-0005-0000-0000-0000B20C0000}"/>
    <cellStyle name="20% - Accent6 4 25" xfId="3294" xr:uid="{00000000-0005-0000-0000-0000B30C0000}"/>
    <cellStyle name="20% - Accent6 4 26" xfId="3295" xr:uid="{00000000-0005-0000-0000-0000B40C0000}"/>
    <cellStyle name="20% - Accent6 4 27" xfId="3296" xr:uid="{00000000-0005-0000-0000-0000B50C0000}"/>
    <cellStyle name="20% - Accent6 4 28" xfId="3297" xr:uid="{00000000-0005-0000-0000-0000B60C0000}"/>
    <cellStyle name="20% - Accent6 4 29" xfId="3298" xr:uid="{00000000-0005-0000-0000-0000B70C0000}"/>
    <cellStyle name="20% - Accent6 4 3" xfId="3299" xr:uid="{00000000-0005-0000-0000-0000B80C0000}"/>
    <cellStyle name="20% - Accent6 4 3 2" xfId="3300" xr:uid="{00000000-0005-0000-0000-0000B90C0000}"/>
    <cellStyle name="20% - Accent6 4 30" xfId="3301" xr:uid="{00000000-0005-0000-0000-0000BA0C0000}"/>
    <cellStyle name="20% - Accent6 4 31" xfId="3302" xr:uid="{00000000-0005-0000-0000-0000BB0C0000}"/>
    <cellStyle name="20% - Accent6 4 32" xfId="3303" xr:uid="{00000000-0005-0000-0000-0000BC0C0000}"/>
    <cellStyle name="20% - Accent6 4 33" xfId="3304" xr:uid="{00000000-0005-0000-0000-0000BD0C0000}"/>
    <cellStyle name="20% - Accent6 4 34" xfId="3305" xr:uid="{00000000-0005-0000-0000-0000BE0C0000}"/>
    <cellStyle name="20% - Accent6 4 35" xfId="3306" xr:uid="{00000000-0005-0000-0000-0000BF0C0000}"/>
    <cellStyle name="20% - Accent6 4 36" xfId="3307" xr:uid="{00000000-0005-0000-0000-0000C00C0000}"/>
    <cellStyle name="20% - Accent6 4 37" xfId="3308" xr:uid="{00000000-0005-0000-0000-0000C10C0000}"/>
    <cellStyle name="20% - Accent6 4 38" xfId="3309" xr:uid="{00000000-0005-0000-0000-0000C20C0000}"/>
    <cellStyle name="20% - Accent6 4 39" xfId="3310" xr:uid="{00000000-0005-0000-0000-0000C30C0000}"/>
    <cellStyle name="20% - Accent6 4 4" xfId="3311" xr:uid="{00000000-0005-0000-0000-0000C40C0000}"/>
    <cellStyle name="20% - Accent6 4 4 2" xfId="3312" xr:uid="{00000000-0005-0000-0000-0000C50C0000}"/>
    <cellStyle name="20% - Accent6 4 40" xfId="3313" xr:uid="{00000000-0005-0000-0000-0000C60C0000}"/>
    <cellStyle name="20% - Accent6 4 41" xfId="3314" xr:uid="{00000000-0005-0000-0000-0000C70C0000}"/>
    <cellStyle name="20% - Accent6 4 42" xfId="3315" xr:uid="{00000000-0005-0000-0000-0000C80C0000}"/>
    <cellStyle name="20% - Accent6 4 43" xfId="3316" xr:uid="{00000000-0005-0000-0000-0000C90C0000}"/>
    <cellStyle name="20% - Accent6 4 44" xfId="3317" xr:uid="{00000000-0005-0000-0000-0000CA0C0000}"/>
    <cellStyle name="20% - Accent6 4 45" xfId="3318" xr:uid="{00000000-0005-0000-0000-0000CB0C0000}"/>
    <cellStyle name="20% - Accent6 4 46" xfId="3319" xr:uid="{00000000-0005-0000-0000-0000CC0C0000}"/>
    <cellStyle name="20% - Accent6 4 47" xfId="3320" xr:uid="{00000000-0005-0000-0000-0000CD0C0000}"/>
    <cellStyle name="20% - Accent6 4 48" xfId="3321" xr:uid="{00000000-0005-0000-0000-0000CE0C0000}"/>
    <cellStyle name="20% - Accent6 4 49" xfId="3322" xr:uid="{00000000-0005-0000-0000-0000CF0C0000}"/>
    <cellStyle name="20% - Accent6 4 5" xfId="3323" xr:uid="{00000000-0005-0000-0000-0000D00C0000}"/>
    <cellStyle name="20% - Accent6 4 5 2" xfId="3324" xr:uid="{00000000-0005-0000-0000-0000D10C0000}"/>
    <cellStyle name="20% - Accent6 4 50" xfId="3325" xr:uid="{00000000-0005-0000-0000-0000D20C0000}"/>
    <cellStyle name="20% - Accent6 4 51" xfId="3326" xr:uid="{00000000-0005-0000-0000-0000D30C0000}"/>
    <cellStyle name="20% - Accent6 4 52" xfId="3327" xr:uid="{00000000-0005-0000-0000-0000D40C0000}"/>
    <cellStyle name="20% - Accent6 4 53" xfId="3328" xr:uid="{00000000-0005-0000-0000-0000D50C0000}"/>
    <cellStyle name="20% - Accent6 4 54" xfId="3329" xr:uid="{00000000-0005-0000-0000-0000D60C0000}"/>
    <cellStyle name="20% - Accent6 4 55" xfId="3330" xr:uid="{00000000-0005-0000-0000-0000D70C0000}"/>
    <cellStyle name="20% - Accent6 4 56" xfId="3331" xr:uid="{00000000-0005-0000-0000-0000D80C0000}"/>
    <cellStyle name="20% - Accent6 4 57" xfId="3332" xr:uid="{00000000-0005-0000-0000-0000D90C0000}"/>
    <cellStyle name="20% - Accent6 4 58" xfId="3333" xr:uid="{00000000-0005-0000-0000-0000DA0C0000}"/>
    <cellStyle name="20% - Accent6 4 59" xfId="3334" xr:uid="{00000000-0005-0000-0000-0000DB0C0000}"/>
    <cellStyle name="20% - Accent6 4 6" xfId="3335" xr:uid="{00000000-0005-0000-0000-0000DC0C0000}"/>
    <cellStyle name="20% - Accent6 4 6 2" xfId="3336" xr:uid="{00000000-0005-0000-0000-0000DD0C0000}"/>
    <cellStyle name="20% - Accent6 4 60" xfId="3337" xr:uid="{00000000-0005-0000-0000-0000DE0C0000}"/>
    <cellStyle name="20% - Accent6 4 61" xfId="3338" xr:uid="{00000000-0005-0000-0000-0000DF0C0000}"/>
    <cellStyle name="20% - Accent6 4 62" xfId="3339" xr:uid="{00000000-0005-0000-0000-0000E00C0000}"/>
    <cellStyle name="20% - Accent6 4 63" xfId="3340" xr:uid="{00000000-0005-0000-0000-0000E10C0000}"/>
    <cellStyle name="20% - Accent6 4 64" xfId="3341" xr:uid="{00000000-0005-0000-0000-0000E20C0000}"/>
    <cellStyle name="20% - Accent6 4 65" xfId="3342" xr:uid="{00000000-0005-0000-0000-0000E30C0000}"/>
    <cellStyle name="20% - Accent6 4 66" xfId="3343" xr:uid="{00000000-0005-0000-0000-0000E40C0000}"/>
    <cellStyle name="20% - Accent6 4 67" xfId="3344" xr:uid="{00000000-0005-0000-0000-0000E50C0000}"/>
    <cellStyle name="20% - Accent6 4 68" xfId="3345" xr:uid="{00000000-0005-0000-0000-0000E60C0000}"/>
    <cellStyle name="20% - Accent6 4 69" xfId="3346" xr:uid="{00000000-0005-0000-0000-0000E70C0000}"/>
    <cellStyle name="20% - Accent6 4 7" xfId="3347" xr:uid="{00000000-0005-0000-0000-0000E80C0000}"/>
    <cellStyle name="20% - Accent6 4 7 2" xfId="3348" xr:uid="{00000000-0005-0000-0000-0000E90C0000}"/>
    <cellStyle name="20% - Accent6 4 70" xfId="3349" xr:uid="{00000000-0005-0000-0000-0000EA0C0000}"/>
    <cellStyle name="20% - Accent6 4 71" xfId="3350" xr:uid="{00000000-0005-0000-0000-0000EB0C0000}"/>
    <cellStyle name="20% - Accent6 4 72" xfId="3351" xr:uid="{00000000-0005-0000-0000-0000EC0C0000}"/>
    <cellStyle name="20% - Accent6 4 73" xfId="3352" xr:uid="{00000000-0005-0000-0000-0000ED0C0000}"/>
    <cellStyle name="20% - Accent6 4 74" xfId="3353" xr:uid="{00000000-0005-0000-0000-0000EE0C0000}"/>
    <cellStyle name="20% - Accent6 4 75" xfId="3354" xr:uid="{00000000-0005-0000-0000-0000EF0C0000}"/>
    <cellStyle name="20% - Accent6 4 8" xfId="3355" xr:uid="{00000000-0005-0000-0000-0000F00C0000}"/>
    <cellStyle name="20% - Accent6 4 8 2" xfId="3356" xr:uid="{00000000-0005-0000-0000-0000F10C0000}"/>
    <cellStyle name="20% - Accent6 4 9" xfId="3357" xr:uid="{00000000-0005-0000-0000-0000F20C0000}"/>
    <cellStyle name="20% - Accent6 4 9 2" xfId="3358" xr:uid="{00000000-0005-0000-0000-0000F30C0000}"/>
    <cellStyle name="20% - Accent6 40" xfId="3359" xr:uid="{00000000-0005-0000-0000-0000F40C0000}"/>
    <cellStyle name="20% - Accent6 41" xfId="3360" xr:uid="{00000000-0005-0000-0000-0000F50C0000}"/>
    <cellStyle name="20% - Accent6 42" xfId="3361" xr:uid="{00000000-0005-0000-0000-0000F60C0000}"/>
    <cellStyle name="20% - Accent6 43" xfId="3362" xr:uid="{00000000-0005-0000-0000-0000F70C0000}"/>
    <cellStyle name="20% - Accent6 44" xfId="3363" xr:uid="{00000000-0005-0000-0000-0000F80C0000}"/>
    <cellStyle name="20% - Accent6 45" xfId="3364" xr:uid="{00000000-0005-0000-0000-0000F90C0000}"/>
    <cellStyle name="20% - Accent6 46" xfId="3365" xr:uid="{00000000-0005-0000-0000-0000FA0C0000}"/>
    <cellStyle name="20% - Accent6 47" xfId="3366" xr:uid="{00000000-0005-0000-0000-0000FB0C0000}"/>
    <cellStyle name="20% - Accent6 48" xfId="3367" xr:uid="{00000000-0005-0000-0000-0000FC0C0000}"/>
    <cellStyle name="20% - Accent6 49" xfId="3368" xr:uid="{00000000-0005-0000-0000-0000FD0C0000}"/>
    <cellStyle name="20% - Accent6 5" xfId="3369" xr:uid="{00000000-0005-0000-0000-0000FE0C0000}"/>
    <cellStyle name="20% - Accent6 5 10" xfId="3370" xr:uid="{00000000-0005-0000-0000-0000FF0C0000}"/>
    <cellStyle name="20% - Accent6 5 11" xfId="3371" xr:uid="{00000000-0005-0000-0000-0000000D0000}"/>
    <cellStyle name="20% - Accent6 5 12" xfId="3372" xr:uid="{00000000-0005-0000-0000-0000010D0000}"/>
    <cellStyle name="20% - Accent6 5 13" xfId="3373" xr:uid="{00000000-0005-0000-0000-0000020D0000}"/>
    <cellStyle name="20% - Accent6 5 14" xfId="3374" xr:uid="{00000000-0005-0000-0000-0000030D0000}"/>
    <cellStyle name="20% - Accent6 5 15" xfId="3375" xr:uid="{00000000-0005-0000-0000-0000040D0000}"/>
    <cellStyle name="20% - Accent6 5 16" xfId="3376" xr:uid="{00000000-0005-0000-0000-0000050D0000}"/>
    <cellStyle name="20% - Accent6 5 17" xfId="3377" xr:uid="{00000000-0005-0000-0000-0000060D0000}"/>
    <cellStyle name="20% - Accent6 5 18" xfId="3378" xr:uid="{00000000-0005-0000-0000-0000070D0000}"/>
    <cellStyle name="20% - Accent6 5 19" xfId="3379" xr:uid="{00000000-0005-0000-0000-0000080D0000}"/>
    <cellStyle name="20% - Accent6 5 2" xfId="3380" xr:uid="{00000000-0005-0000-0000-0000090D0000}"/>
    <cellStyle name="20% - Accent6 5 2 2" xfId="3381" xr:uid="{00000000-0005-0000-0000-00000A0D0000}"/>
    <cellStyle name="20% - Accent6 5 20" xfId="3382" xr:uid="{00000000-0005-0000-0000-00000B0D0000}"/>
    <cellStyle name="20% - Accent6 5 21" xfId="3383" xr:uid="{00000000-0005-0000-0000-00000C0D0000}"/>
    <cellStyle name="20% - Accent6 5 22" xfId="3384" xr:uid="{00000000-0005-0000-0000-00000D0D0000}"/>
    <cellStyle name="20% - Accent6 5 23" xfId="3385" xr:uid="{00000000-0005-0000-0000-00000E0D0000}"/>
    <cellStyle name="20% - Accent6 5 24" xfId="3386" xr:uid="{00000000-0005-0000-0000-00000F0D0000}"/>
    <cellStyle name="20% - Accent6 5 25" xfId="3387" xr:uid="{00000000-0005-0000-0000-0000100D0000}"/>
    <cellStyle name="20% - Accent6 5 26" xfId="3388" xr:uid="{00000000-0005-0000-0000-0000110D0000}"/>
    <cellStyle name="20% - Accent6 5 27" xfId="3389" xr:uid="{00000000-0005-0000-0000-0000120D0000}"/>
    <cellStyle name="20% - Accent6 5 28" xfId="3390" xr:uid="{00000000-0005-0000-0000-0000130D0000}"/>
    <cellStyle name="20% - Accent6 5 29" xfId="3391" xr:uid="{00000000-0005-0000-0000-0000140D0000}"/>
    <cellStyle name="20% - Accent6 5 3" xfId="3392" xr:uid="{00000000-0005-0000-0000-0000150D0000}"/>
    <cellStyle name="20% - Accent6 5 30" xfId="3393" xr:uid="{00000000-0005-0000-0000-0000160D0000}"/>
    <cellStyle name="20% - Accent6 5 31" xfId="3394" xr:uid="{00000000-0005-0000-0000-0000170D0000}"/>
    <cellStyle name="20% - Accent6 5 32" xfId="3395" xr:uid="{00000000-0005-0000-0000-0000180D0000}"/>
    <cellStyle name="20% - Accent6 5 33" xfId="3396" xr:uid="{00000000-0005-0000-0000-0000190D0000}"/>
    <cellStyle name="20% - Accent6 5 34" xfId="3397" xr:uid="{00000000-0005-0000-0000-00001A0D0000}"/>
    <cellStyle name="20% - Accent6 5 35" xfId="3398" xr:uid="{00000000-0005-0000-0000-00001B0D0000}"/>
    <cellStyle name="20% - Accent6 5 36" xfId="3399" xr:uid="{00000000-0005-0000-0000-00001C0D0000}"/>
    <cellStyle name="20% - Accent6 5 37" xfId="3400" xr:uid="{00000000-0005-0000-0000-00001D0D0000}"/>
    <cellStyle name="20% - Accent6 5 38" xfId="3401" xr:uid="{00000000-0005-0000-0000-00001E0D0000}"/>
    <cellStyle name="20% - Accent6 5 39" xfId="3402" xr:uid="{00000000-0005-0000-0000-00001F0D0000}"/>
    <cellStyle name="20% - Accent6 5 4" xfId="3403" xr:uid="{00000000-0005-0000-0000-0000200D0000}"/>
    <cellStyle name="20% - Accent6 5 5" xfId="3404" xr:uid="{00000000-0005-0000-0000-0000210D0000}"/>
    <cellStyle name="20% - Accent6 5 6" xfId="3405" xr:uid="{00000000-0005-0000-0000-0000220D0000}"/>
    <cellStyle name="20% - Accent6 5 7" xfId="3406" xr:uid="{00000000-0005-0000-0000-0000230D0000}"/>
    <cellStyle name="20% - Accent6 5 8" xfId="3407" xr:uid="{00000000-0005-0000-0000-0000240D0000}"/>
    <cellStyle name="20% - Accent6 5 9" xfId="3408" xr:uid="{00000000-0005-0000-0000-0000250D0000}"/>
    <cellStyle name="20% - Accent6 50" xfId="3409" xr:uid="{00000000-0005-0000-0000-0000260D0000}"/>
    <cellStyle name="20% - Accent6 51" xfId="3410" xr:uid="{00000000-0005-0000-0000-0000270D0000}"/>
    <cellStyle name="20% - Accent6 52" xfId="3411" xr:uid="{00000000-0005-0000-0000-0000280D0000}"/>
    <cellStyle name="20% - Accent6 53" xfId="3412" xr:uid="{00000000-0005-0000-0000-0000290D0000}"/>
    <cellStyle name="20% - Accent6 54" xfId="3413" xr:uid="{00000000-0005-0000-0000-00002A0D0000}"/>
    <cellStyle name="20% - Accent6 55" xfId="3414" xr:uid="{00000000-0005-0000-0000-00002B0D0000}"/>
    <cellStyle name="20% - Accent6 56" xfId="3415" xr:uid="{00000000-0005-0000-0000-00002C0D0000}"/>
    <cellStyle name="20% - Accent6 57" xfId="3416" xr:uid="{00000000-0005-0000-0000-00002D0D0000}"/>
    <cellStyle name="20% - Accent6 58" xfId="3417" xr:uid="{00000000-0005-0000-0000-00002E0D0000}"/>
    <cellStyle name="20% - Accent6 59" xfId="3418" xr:uid="{00000000-0005-0000-0000-00002F0D0000}"/>
    <cellStyle name="20% - Accent6 6" xfId="3419" xr:uid="{00000000-0005-0000-0000-0000300D0000}"/>
    <cellStyle name="20% - Accent6 6 10" xfId="3420" xr:uid="{00000000-0005-0000-0000-0000310D0000}"/>
    <cellStyle name="20% - Accent6 6 11" xfId="3421" xr:uid="{00000000-0005-0000-0000-0000320D0000}"/>
    <cellStyle name="20% - Accent6 6 12" xfId="3422" xr:uid="{00000000-0005-0000-0000-0000330D0000}"/>
    <cellStyle name="20% - Accent6 6 13" xfId="3423" xr:uid="{00000000-0005-0000-0000-0000340D0000}"/>
    <cellStyle name="20% - Accent6 6 14" xfId="3424" xr:uid="{00000000-0005-0000-0000-0000350D0000}"/>
    <cellStyle name="20% - Accent6 6 15" xfId="3425" xr:uid="{00000000-0005-0000-0000-0000360D0000}"/>
    <cellStyle name="20% - Accent6 6 16" xfId="3426" xr:uid="{00000000-0005-0000-0000-0000370D0000}"/>
    <cellStyle name="20% - Accent6 6 17" xfId="3427" xr:uid="{00000000-0005-0000-0000-0000380D0000}"/>
    <cellStyle name="20% - Accent6 6 18" xfId="3428" xr:uid="{00000000-0005-0000-0000-0000390D0000}"/>
    <cellStyle name="20% - Accent6 6 19" xfId="3429" xr:uid="{00000000-0005-0000-0000-00003A0D0000}"/>
    <cellStyle name="20% - Accent6 6 2" xfId="3430" xr:uid="{00000000-0005-0000-0000-00003B0D0000}"/>
    <cellStyle name="20% - Accent6 6 20" xfId="3431" xr:uid="{00000000-0005-0000-0000-00003C0D0000}"/>
    <cellStyle name="20% - Accent6 6 21" xfId="3432" xr:uid="{00000000-0005-0000-0000-00003D0D0000}"/>
    <cellStyle name="20% - Accent6 6 22" xfId="3433" xr:uid="{00000000-0005-0000-0000-00003E0D0000}"/>
    <cellStyle name="20% - Accent6 6 23" xfId="3434" xr:uid="{00000000-0005-0000-0000-00003F0D0000}"/>
    <cellStyle name="20% - Accent6 6 24" xfId="3435" xr:uid="{00000000-0005-0000-0000-0000400D0000}"/>
    <cellStyle name="20% - Accent6 6 25" xfId="3436" xr:uid="{00000000-0005-0000-0000-0000410D0000}"/>
    <cellStyle name="20% - Accent6 6 26" xfId="3437" xr:uid="{00000000-0005-0000-0000-0000420D0000}"/>
    <cellStyle name="20% - Accent6 6 27" xfId="3438" xr:uid="{00000000-0005-0000-0000-0000430D0000}"/>
    <cellStyle name="20% - Accent6 6 28" xfId="3439" xr:uid="{00000000-0005-0000-0000-0000440D0000}"/>
    <cellStyle name="20% - Accent6 6 29" xfId="3440" xr:uid="{00000000-0005-0000-0000-0000450D0000}"/>
    <cellStyle name="20% - Accent6 6 3" xfId="3441" xr:uid="{00000000-0005-0000-0000-0000460D0000}"/>
    <cellStyle name="20% - Accent6 6 30" xfId="3442" xr:uid="{00000000-0005-0000-0000-0000470D0000}"/>
    <cellStyle name="20% - Accent6 6 31" xfId="3443" xr:uid="{00000000-0005-0000-0000-0000480D0000}"/>
    <cellStyle name="20% - Accent6 6 32" xfId="3444" xr:uid="{00000000-0005-0000-0000-0000490D0000}"/>
    <cellStyle name="20% - Accent6 6 33" xfId="3445" xr:uid="{00000000-0005-0000-0000-00004A0D0000}"/>
    <cellStyle name="20% - Accent6 6 34" xfId="3446" xr:uid="{00000000-0005-0000-0000-00004B0D0000}"/>
    <cellStyle name="20% - Accent6 6 35" xfId="3447" xr:uid="{00000000-0005-0000-0000-00004C0D0000}"/>
    <cellStyle name="20% - Accent6 6 36" xfId="3448" xr:uid="{00000000-0005-0000-0000-00004D0D0000}"/>
    <cellStyle name="20% - Accent6 6 37" xfId="3449" xr:uid="{00000000-0005-0000-0000-00004E0D0000}"/>
    <cellStyle name="20% - Accent6 6 38" xfId="3450" xr:uid="{00000000-0005-0000-0000-00004F0D0000}"/>
    <cellStyle name="20% - Accent6 6 39" xfId="3451" xr:uid="{00000000-0005-0000-0000-0000500D0000}"/>
    <cellStyle name="20% - Accent6 6 4" xfId="3452" xr:uid="{00000000-0005-0000-0000-0000510D0000}"/>
    <cellStyle name="20% - Accent6 6 5" xfId="3453" xr:uid="{00000000-0005-0000-0000-0000520D0000}"/>
    <cellStyle name="20% - Accent6 6 6" xfId="3454" xr:uid="{00000000-0005-0000-0000-0000530D0000}"/>
    <cellStyle name="20% - Accent6 6 7" xfId="3455" xr:uid="{00000000-0005-0000-0000-0000540D0000}"/>
    <cellStyle name="20% - Accent6 6 8" xfId="3456" xr:uid="{00000000-0005-0000-0000-0000550D0000}"/>
    <cellStyle name="20% - Accent6 6 9" xfId="3457" xr:uid="{00000000-0005-0000-0000-0000560D0000}"/>
    <cellStyle name="20% - Accent6 60" xfId="3458" xr:uid="{00000000-0005-0000-0000-0000570D0000}"/>
    <cellStyle name="20% - Accent6 61" xfId="3459" xr:uid="{00000000-0005-0000-0000-0000580D0000}"/>
    <cellStyle name="20% - Accent6 62" xfId="3460" xr:uid="{00000000-0005-0000-0000-0000590D0000}"/>
    <cellStyle name="20% - Accent6 63" xfId="3461" xr:uid="{00000000-0005-0000-0000-00005A0D0000}"/>
    <cellStyle name="20% - Accent6 64" xfId="3462" xr:uid="{00000000-0005-0000-0000-00005B0D0000}"/>
    <cellStyle name="20% - Accent6 65" xfId="3463" xr:uid="{00000000-0005-0000-0000-00005C0D0000}"/>
    <cellStyle name="20% - Accent6 66" xfId="3464" xr:uid="{00000000-0005-0000-0000-00005D0D0000}"/>
    <cellStyle name="20% - Accent6 67" xfId="3465" xr:uid="{00000000-0005-0000-0000-00005E0D0000}"/>
    <cellStyle name="20% - Accent6 68" xfId="3466" xr:uid="{00000000-0005-0000-0000-00005F0D0000}"/>
    <cellStyle name="20% - Accent6 69" xfId="3467" xr:uid="{00000000-0005-0000-0000-0000600D0000}"/>
    <cellStyle name="20% - Accent6 7" xfId="3468" xr:uid="{00000000-0005-0000-0000-0000610D0000}"/>
    <cellStyle name="20% - Accent6 7 10" xfId="3469" xr:uid="{00000000-0005-0000-0000-0000620D0000}"/>
    <cellStyle name="20% - Accent6 7 11" xfId="3470" xr:uid="{00000000-0005-0000-0000-0000630D0000}"/>
    <cellStyle name="20% - Accent6 7 12" xfId="3471" xr:uid="{00000000-0005-0000-0000-0000640D0000}"/>
    <cellStyle name="20% - Accent6 7 13" xfId="3472" xr:uid="{00000000-0005-0000-0000-0000650D0000}"/>
    <cellStyle name="20% - Accent6 7 14" xfId="3473" xr:uid="{00000000-0005-0000-0000-0000660D0000}"/>
    <cellStyle name="20% - Accent6 7 15" xfId="3474" xr:uid="{00000000-0005-0000-0000-0000670D0000}"/>
    <cellStyle name="20% - Accent6 7 16" xfId="3475" xr:uid="{00000000-0005-0000-0000-0000680D0000}"/>
    <cellStyle name="20% - Accent6 7 17" xfId="3476" xr:uid="{00000000-0005-0000-0000-0000690D0000}"/>
    <cellStyle name="20% - Accent6 7 18" xfId="3477" xr:uid="{00000000-0005-0000-0000-00006A0D0000}"/>
    <cellStyle name="20% - Accent6 7 19" xfId="3478" xr:uid="{00000000-0005-0000-0000-00006B0D0000}"/>
    <cellStyle name="20% - Accent6 7 2" xfId="3479" xr:uid="{00000000-0005-0000-0000-00006C0D0000}"/>
    <cellStyle name="20% - Accent6 7 20" xfId="3480" xr:uid="{00000000-0005-0000-0000-00006D0D0000}"/>
    <cellStyle name="20% - Accent6 7 21" xfId="3481" xr:uid="{00000000-0005-0000-0000-00006E0D0000}"/>
    <cellStyle name="20% - Accent6 7 22" xfId="3482" xr:uid="{00000000-0005-0000-0000-00006F0D0000}"/>
    <cellStyle name="20% - Accent6 7 23" xfId="3483" xr:uid="{00000000-0005-0000-0000-0000700D0000}"/>
    <cellStyle name="20% - Accent6 7 24" xfId="3484" xr:uid="{00000000-0005-0000-0000-0000710D0000}"/>
    <cellStyle name="20% - Accent6 7 25" xfId="3485" xr:uid="{00000000-0005-0000-0000-0000720D0000}"/>
    <cellStyle name="20% - Accent6 7 26" xfId="3486" xr:uid="{00000000-0005-0000-0000-0000730D0000}"/>
    <cellStyle name="20% - Accent6 7 27" xfId="3487" xr:uid="{00000000-0005-0000-0000-0000740D0000}"/>
    <cellStyle name="20% - Accent6 7 28" xfId="3488" xr:uid="{00000000-0005-0000-0000-0000750D0000}"/>
    <cellStyle name="20% - Accent6 7 29" xfId="3489" xr:uid="{00000000-0005-0000-0000-0000760D0000}"/>
    <cellStyle name="20% - Accent6 7 3" xfId="3490" xr:uid="{00000000-0005-0000-0000-0000770D0000}"/>
    <cellStyle name="20% - Accent6 7 30" xfId="3491" xr:uid="{00000000-0005-0000-0000-0000780D0000}"/>
    <cellStyle name="20% - Accent6 7 31" xfId="3492" xr:uid="{00000000-0005-0000-0000-0000790D0000}"/>
    <cellStyle name="20% - Accent6 7 32" xfId="3493" xr:uid="{00000000-0005-0000-0000-00007A0D0000}"/>
    <cellStyle name="20% - Accent6 7 33" xfId="3494" xr:uid="{00000000-0005-0000-0000-00007B0D0000}"/>
    <cellStyle name="20% - Accent6 7 34" xfId="3495" xr:uid="{00000000-0005-0000-0000-00007C0D0000}"/>
    <cellStyle name="20% - Accent6 7 35" xfId="3496" xr:uid="{00000000-0005-0000-0000-00007D0D0000}"/>
    <cellStyle name="20% - Accent6 7 36" xfId="3497" xr:uid="{00000000-0005-0000-0000-00007E0D0000}"/>
    <cellStyle name="20% - Accent6 7 37" xfId="3498" xr:uid="{00000000-0005-0000-0000-00007F0D0000}"/>
    <cellStyle name="20% - Accent6 7 38" xfId="3499" xr:uid="{00000000-0005-0000-0000-0000800D0000}"/>
    <cellStyle name="20% - Accent6 7 39" xfId="3500" xr:uid="{00000000-0005-0000-0000-0000810D0000}"/>
    <cellStyle name="20% - Accent6 7 4" xfId="3501" xr:uid="{00000000-0005-0000-0000-0000820D0000}"/>
    <cellStyle name="20% - Accent6 7 5" xfId="3502" xr:uid="{00000000-0005-0000-0000-0000830D0000}"/>
    <cellStyle name="20% - Accent6 7 6" xfId="3503" xr:uid="{00000000-0005-0000-0000-0000840D0000}"/>
    <cellStyle name="20% - Accent6 7 7" xfId="3504" xr:uid="{00000000-0005-0000-0000-0000850D0000}"/>
    <cellStyle name="20% - Accent6 7 8" xfId="3505" xr:uid="{00000000-0005-0000-0000-0000860D0000}"/>
    <cellStyle name="20% - Accent6 7 9" xfId="3506" xr:uid="{00000000-0005-0000-0000-0000870D0000}"/>
    <cellStyle name="20% - Accent6 70" xfId="3507" xr:uid="{00000000-0005-0000-0000-0000880D0000}"/>
    <cellStyle name="20% - Accent6 71" xfId="3508" xr:uid="{00000000-0005-0000-0000-0000890D0000}"/>
    <cellStyle name="20% - Accent6 72" xfId="3509" xr:uid="{00000000-0005-0000-0000-00008A0D0000}"/>
    <cellStyle name="20% - Accent6 73" xfId="3510" xr:uid="{00000000-0005-0000-0000-00008B0D0000}"/>
    <cellStyle name="20% - Accent6 74" xfId="3511" xr:uid="{00000000-0005-0000-0000-00008C0D0000}"/>
    <cellStyle name="20% - Accent6 75" xfId="3512" xr:uid="{00000000-0005-0000-0000-00008D0D0000}"/>
    <cellStyle name="20% - Accent6 76" xfId="3513" xr:uid="{00000000-0005-0000-0000-00008E0D0000}"/>
    <cellStyle name="20% - Accent6 77" xfId="3514" xr:uid="{00000000-0005-0000-0000-00008F0D0000}"/>
    <cellStyle name="20% - Accent6 78" xfId="3515" xr:uid="{00000000-0005-0000-0000-0000900D0000}"/>
    <cellStyle name="20% - Accent6 79" xfId="3516" xr:uid="{00000000-0005-0000-0000-0000910D0000}"/>
    <cellStyle name="20% - Accent6 8" xfId="3517" xr:uid="{00000000-0005-0000-0000-0000920D0000}"/>
    <cellStyle name="20% - Accent6 8 10" xfId="3518" xr:uid="{00000000-0005-0000-0000-0000930D0000}"/>
    <cellStyle name="20% - Accent6 8 11" xfId="3519" xr:uid="{00000000-0005-0000-0000-0000940D0000}"/>
    <cellStyle name="20% - Accent6 8 12" xfId="3520" xr:uid="{00000000-0005-0000-0000-0000950D0000}"/>
    <cellStyle name="20% - Accent6 8 13" xfId="3521" xr:uid="{00000000-0005-0000-0000-0000960D0000}"/>
    <cellStyle name="20% - Accent6 8 14" xfId="3522" xr:uid="{00000000-0005-0000-0000-0000970D0000}"/>
    <cellStyle name="20% - Accent6 8 15" xfId="3523" xr:uid="{00000000-0005-0000-0000-0000980D0000}"/>
    <cellStyle name="20% - Accent6 8 16" xfId="3524" xr:uid="{00000000-0005-0000-0000-0000990D0000}"/>
    <cellStyle name="20% - Accent6 8 17" xfId="3525" xr:uid="{00000000-0005-0000-0000-00009A0D0000}"/>
    <cellStyle name="20% - Accent6 8 18" xfId="3526" xr:uid="{00000000-0005-0000-0000-00009B0D0000}"/>
    <cellStyle name="20% - Accent6 8 19" xfId="3527" xr:uid="{00000000-0005-0000-0000-00009C0D0000}"/>
    <cellStyle name="20% - Accent6 8 2" xfId="3528" xr:uid="{00000000-0005-0000-0000-00009D0D0000}"/>
    <cellStyle name="20% - Accent6 8 20" xfId="3529" xr:uid="{00000000-0005-0000-0000-00009E0D0000}"/>
    <cellStyle name="20% - Accent6 8 21" xfId="3530" xr:uid="{00000000-0005-0000-0000-00009F0D0000}"/>
    <cellStyle name="20% - Accent6 8 22" xfId="3531" xr:uid="{00000000-0005-0000-0000-0000A00D0000}"/>
    <cellStyle name="20% - Accent6 8 23" xfId="3532" xr:uid="{00000000-0005-0000-0000-0000A10D0000}"/>
    <cellStyle name="20% - Accent6 8 24" xfId="3533" xr:uid="{00000000-0005-0000-0000-0000A20D0000}"/>
    <cellStyle name="20% - Accent6 8 25" xfId="3534" xr:uid="{00000000-0005-0000-0000-0000A30D0000}"/>
    <cellStyle name="20% - Accent6 8 26" xfId="3535" xr:uid="{00000000-0005-0000-0000-0000A40D0000}"/>
    <cellStyle name="20% - Accent6 8 27" xfId="3536" xr:uid="{00000000-0005-0000-0000-0000A50D0000}"/>
    <cellStyle name="20% - Accent6 8 28" xfId="3537" xr:uid="{00000000-0005-0000-0000-0000A60D0000}"/>
    <cellStyle name="20% - Accent6 8 29" xfId="3538" xr:uid="{00000000-0005-0000-0000-0000A70D0000}"/>
    <cellStyle name="20% - Accent6 8 3" xfId="3539" xr:uid="{00000000-0005-0000-0000-0000A80D0000}"/>
    <cellStyle name="20% - Accent6 8 30" xfId="3540" xr:uid="{00000000-0005-0000-0000-0000A90D0000}"/>
    <cellStyle name="20% - Accent6 8 31" xfId="3541" xr:uid="{00000000-0005-0000-0000-0000AA0D0000}"/>
    <cellStyle name="20% - Accent6 8 32" xfId="3542" xr:uid="{00000000-0005-0000-0000-0000AB0D0000}"/>
    <cellStyle name="20% - Accent6 8 33" xfId="3543" xr:uid="{00000000-0005-0000-0000-0000AC0D0000}"/>
    <cellStyle name="20% - Accent6 8 34" xfId="3544" xr:uid="{00000000-0005-0000-0000-0000AD0D0000}"/>
    <cellStyle name="20% - Accent6 8 35" xfId="3545" xr:uid="{00000000-0005-0000-0000-0000AE0D0000}"/>
    <cellStyle name="20% - Accent6 8 36" xfId="3546" xr:uid="{00000000-0005-0000-0000-0000AF0D0000}"/>
    <cellStyle name="20% - Accent6 8 37" xfId="3547" xr:uid="{00000000-0005-0000-0000-0000B00D0000}"/>
    <cellStyle name="20% - Accent6 8 38" xfId="3548" xr:uid="{00000000-0005-0000-0000-0000B10D0000}"/>
    <cellStyle name="20% - Accent6 8 39" xfId="3549" xr:uid="{00000000-0005-0000-0000-0000B20D0000}"/>
    <cellStyle name="20% - Accent6 8 4" xfId="3550" xr:uid="{00000000-0005-0000-0000-0000B30D0000}"/>
    <cellStyle name="20% - Accent6 8 5" xfId="3551" xr:uid="{00000000-0005-0000-0000-0000B40D0000}"/>
    <cellStyle name="20% - Accent6 8 6" xfId="3552" xr:uid="{00000000-0005-0000-0000-0000B50D0000}"/>
    <cellStyle name="20% - Accent6 8 7" xfId="3553" xr:uid="{00000000-0005-0000-0000-0000B60D0000}"/>
    <cellStyle name="20% - Accent6 8 8" xfId="3554" xr:uid="{00000000-0005-0000-0000-0000B70D0000}"/>
    <cellStyle name="20% - Accent6 8 9" xfId="3555" xr:uid="{00000000-0005-0000-0000-0000B80D0000}"/>
    <cellStyle name="20% - Accent6 9" xfId="3556" xr:uid="{00000000-0005-0000-0000-0000B90D0000}"/>
    <cellStyle name="20% - Accent6 9 10" xfId="3557" xr:uid="{00000000-0005-0000-0000-0000BA0D0000}"/>
    <cellStyle name="20% - Accent6 9 11" xfId="3558" xr:uid="{00000000-0005-0000-0000-0000BB0D0000}"/>
    <cellStyle name="20% - Accent6 9 12" xfId="3559" xr:uid="{00000000-0005-0000-0000-0000BC0D0000}"/>
    <cellStyle name="20% - Accent6 9 13" xfId="3560" xr:uid="{00000000-0005-0000-0000-0000BD0D0000}"/>
    <cellStyle name="20% - Accent6 9 14" xfId="3561" xr:uid="{00000000-0005-0000-0000-0000BE0D0000}"/>
    <cellStyle name="20% - Accent6 9 15" xfId="3562" xr:uid="{00000000-0005-0000-0000-0000BF0D0000}"/>
    <cellStyle name="20% - Accent6 9 16" xfId="3563" xr:uid="{00000000-0005-0000-0000-0000C00D0000}"/>
    <cellStyle name="20% - Accent6 9 17" xfId="3564" xr:uid="{00000000-0005-0000-0000-0000C10D0000}"/>
    <cellStyle name="20% - Accent6 9 18" xfId="3565" xr:uid="{00000000-0005-0000-0000-0000C20D0000}"/>
    <cellStyle name="20% - Accent6 9 19" xfId="3566" xr:uid="{00000000-0005-0000-0000-0000C30D0000}"/>
    <cellStyle name="20% - Accent6 9 2" xfId="3567" xr:uid="{00000000-0005-0000-0000-0000C40D0000}"/>
    <cellStyle name="20% - Accent6 9 20" xfId="3568" xr:uid="{00000000-0005-0000-0000-0000C50D0000}"/>
    <cellStyle name="20% - Accent6 9 21" xfId="3569" xr:uid="{00000000-0005-0000-0000-0000C60D0000}"/>
    <cellStyle name="20% - Accent6 9 22" xfId="3570" xr:uid="{00000000-0005-0000-0000-0000C70D0000}"/>
    <cellStyle name="20% - Accent6 9 23" xfId="3571" xr:uid="{00000000-0005-0000-0000-0000C80D0000}"/>
    <cellStyle name="20% - Accent6 9 24" xfId="3572" xr:uid="{00000000-0005-0000-0000-0000C90D0000}"/>
    <cellStyle name="20% - Accent6 9 25" xfId="3573" xr:uid="{00000000-0005-0000-0000-0000CA0D0000}"/>
    <cellStyle name="20% - Accent6 9 26" xfId="3574" xr:uid="{00000000-0005-0000-0000-0000CB0D0000}"/>
    <cellStyle name="20% - Accent6 9 27" xfId="3575" xr:uid="{00000000-0005-0000-0000-0000CC0D0000}"/>
    <cellStyle name="20% - Accent6 9 28" xfId="3576" xr:uid="{00000000-0005-0000-0000-0000CD0D0000}"/>
    <cellStyle name="20% - Accent6 9 29" xfId="3577" xr:uid="{00000000-0005-0000-0000-0000CE0D0000}"/>
    <cellStyle name="20% - Accent6 9 3" xfId="3578" xr:uid="{00000000-0005-0000-0000-0000CF0D0000}"/>
    <cellStyle name="20% - Accent6 9 30" xfId="3579" xr:uid="{00000000-0005-0000-0000-0000D00D0000}"/>
    <cellStyle name="20% - Accent6 9 31" xfId="3580" xr:uid="{00000000-0005-0000-0000-0000D10D0000}"/>
    <cellStyle name="20% - Accent6 9 32" xfId="3581" xr:uid="{00000000-0005-0000-0000-0000D20D0000}"/>
    <cellStyle name="20% - Accent6 9 33" xfId="3582" xr:uid="{00000000-0005-0000-0000-0000D30D0000}"/>
    <cellStyle name="20% - Accent6 9 34" xfId="3583" xr:uid="{00000000-0005-0000-0000-0000D40D0000}"/>
    <cellStyle name="20% - Accent6 9 35" xfId="3584" xr:uid="{00000000-0005-0000-0000-0000D50D0000}"/>
    <cellStyle name="20% - Accent6 9 36" xfId="3585" xr:uid="{00000000-0005-0000-0000-0000D60D0000}"/>
    <cellStyle name="20% - Accent6 9 37" xfId="3586" xr:uid="{00000000-0005-0000-0000-0000D70D0000}"/>
    <cellStyle name="20% - Accent6 9 38" xfId="3587" xr:uid="{00000000-0005-0000-0000-0000D80D0000}"/>
    <cellStyle name="20% - Accent6 9 39" xfId="3588" xr:uid="{00000000-0005-0000-0000-0000D90D0000}"/>
    <cellStyle name="20% - Accent6 9 4" xfId="3589" xr:uid="{00000000-0005-0000-0000-0000DA0D0000}"/>
    <cellStyle name="20% - Accent6 9 5" xfId="3590" xr:uid="{00000000-0005-0000-0000-0000DB0D0000}"/>
    <cellStyle name="20% - Accent6 9 6" xfId="3591" xr:uid="{00000000-0005-0000-0000-0000DC0D0000}"/>
    <cellStyle name="20% - Accent6 9 7" xfId="3592" xr:uid="{00000000-0005-0000-0000-0000DD0D0000}"/>
    <cellStyle name="20% - Accent6 9 8" xfId="3593" xr:uid="{00000000-0005-0000-0000-0000DE0D0000}"/>
    <cellStyle name="20% - Accent6 9 9" xfId="3594" xr:uid="{00000000-0005-0000-0000-0000DF0D0000}"/>
    <cellStyle name="40% - Accent1" xfId="21" builtinId="31" customBuiltin="1"/>
    <cellStyle name="40% - Accent1 10" xfId="3595" xr:uid="{00000000-0005-0000-0000-0000E10D0000}"/>
    <cellStyle name="40% - Accent1 10 10" xfId="3596" xr:uid="{00000000-0005-0000-0000-0000E20D0000}"/>
    <cellStyle name="40% - Accent1 10 11" xfId="3597" xr:uid="{00000000-0005-0000-0000-0000E30D0000}"/>
    <cellStyle name="40% - Accent1 10 12" xfId="3598" xr:uid="{00000000-0005-0000-0000-0000E40D0000}"/>
    <cellStyle name="40% - Accent1 10 13" xfId="3599" xr:uid="{00000000-0005-0000-0000-0000E50D0000}"/>
    <cellStyle name="40% - Accent1 10 14" xfId="3600" xr:uid="{00000000-0005-0000-0000-0000E60D0000}"/>
    <cellStyle name="40% - Accent1 10 15" xfId="3601" xr:uid="{00000000-0005-0000-0000-0000E70D0000}"/>
    <cellStyle name="40% - Accent1 10 16" xfId="3602" xr:uid="{00000000-0005-0000-0000-0000E80D0000}"/>
    <cellStyle name="40% - Accent1 10 17" xfId="3603" xr:uid="{00000000-0005-0000-0000-0000E90D0000}"/>
    <cellStyle name="40% - Accent1 10 18" xfId="3604" xr:uid="{00000000-0005-0000-0000-0000EA0D0000}"/>
    <cellStyle name="40% - Accent1 10 19" xfId="3605" xr:uid="{00000000-0005-0000-0000-0000EB0D0000}"/>
    <cellStyle name="40% - Accent1 10 2" xfId="3606" xr:uid="{00000000-0005-0000-0000-0000EC0D0000}"/>
    <cellStyle name="40% - Accent1 10 20" xfId="3607" xr:uid="{00000000-0005-0000-0000-0000ED0D0000}"/>
    <cellStyle name="40% - Accent1 10 21" xfId="3608" xr:uid="{00000000-0005-0000-0000-0000EE0D0000}"/>
    <cellStyle name="40% - Accent1 10 22" xfId="3609" xr:uid="{00000000-0005-0000-0000-0000EF0D0000}"/>
    <cellStyle name="40% - Accent1 10 23" xfId="3610" xr:uid="{00000000-0005-0000-0000-0000F00D0000}"/>
    <cellStyle name="40% - Accent1 10 24" xfId="3611" xr:uid="{00000000-0005-0000-0000-0000F10D0000}"/>
    <cellStyle name="40% - Accent1 10 25" xfId="3612" xr:uid="{00000000-0005-0000-0000-0000F20D0000}"/>
    <cellStyle name="40% - Accent1 10 26" xfId="3613" xr:uid="{00000000-0005-0000-0000-0000F30D0000}"/>
    <cellStyle name="40% - Accent1 10 27" xfId="3614" xr:uid="{00000000-0005-0000-0000-0000F40D0000}"/>
    <cellStyle name="40% - Accent1 10 28" xfId="3615" xr:uid="{00000000-0005-0000-0000-0000F50D0000}"/>
    <cellStyle name="40% - Accent1 10 29" xfId="3616" xr:uid="{00000000-0005-0000-0000-0000F60D0000}"/>
    <cellStyle name="40% - Accent1 10 3" xfId="3617" xr:uid="{00000000-0005-0000-0000-0000F70D0000}"/>
    <cellStyle name="40% - Accent1 10 30" xfId="3618" xr:uid="{00000000-0005-0000-0000-0000F80D0000}"/>
    <cellStyle name="40% - Accent1 10 31" xfId="3619" xr:uid="{00000000-0005-0000-0000-0000F90D0000}"/>
    <cellStyle name="40% - Accent1 10 32" xfId="3620" xr:uid="{00000000-0005-0000-0000-0000FA0D0000}"/>
    <cellStyle name="40% - Accent1 10 33" xfId="3621" xr:uid="{00000000-0005-0000-0000-0000FB0D0000}"/>
    <cellStyle name="40% - Accent1 10 34" xfId="3622" xr:uid="{00000000-0005-0000-0000-0000FC0D0000}"/>
    <cellStyle name="40% - Accent1 10 35" xfId="3623" xr:uid="{00000000-0005-0000-0000-0000FD0D0000}"/>
    <cellStyle name="40% - Accent1 10 36" xfId="3624" xr:uid="{00000000-0005-0000-0000-0000FE0D0000}"/>
    <cellStyle name="40% - Accent1 10 37" xfId="3625" xr:uid="{00000000-0005-0000-0000-0000FF0D0000}"/>
    <cellStyle name="40% - Accent1 10 38" xfId="3626" xr:uid="{00000000-0005-0000-0000-0000000E0000}"/>
    <cellStyle name="40% - Accent1 10 39" xfId="3627" xr:uid="{00000000-0005-0000-0000-0000010E0000}"/>
    <cellStyle name="40% - Accent1 10 4" xfId="3628" xr:uid="{00000000-0005-0000-0000-0000020E0000}"/>
    <cellStyle name="40% - Accent1 10 5" xfId="3629" xr:uid="{00000000-0005-0000-0000-0000030E0000}"/>
    <cellStyle name="40% - Accent1 10 6" xfId="3630" xr:uid="{00000000-0005-0000-0000-0000040E0000}"/>
    <cellStyle name="40% - Accent1 10 7" xfId="3631" xr:uid="{00000000-0005-0000-0000-0000050E0000}"/>
    <cellStyle name="40% - Accent1 10 8" xfId="3632" xr:uid="{00000000-0005-0000-0000-0000060E0000}"/>
    <cellStyle name="40% - Accent1 10 9" xfId="3633" xr:uid="{00000000-0005-0000-0000-0000070E0000}"/>
    <cellStyle name="40% - Accent1 11" xfId="3634" xr:uid="{00000000-0005-0000-0000-0000080E0000}"/>
    <cellStyle name="40% - Accent1 11 10" xfId="3635" xr:uid="{00000000-0005-0000-0000-0000090E0000}"/>
    <cellStyle name="40% - Accent1 11 11" xfId="3636" xr:uid="{00000000-0005-0000-0000-00000A0E0000}"/>
    <cellStyle name="40% - Accent1 11 12" xfId="3637" xr:uid="{00000000-0005-0000-0000-00000B0E0000}"/>
    <cellStyle name="40% - Accent1 11 13" xfId="3638" xr:uid="{00000000-0005-0000-0000-00000C0E0000}"/>
    <cellStyle name="40% - Accent1 11 14" xfId="3639" xr:uid="{00000000-0005-0000-0000-00000D0E0000}"/>
    <cellStyle name="40% - Accent1 11 15" xfId="3640" xr:uid="{00000000-0005-0000-0000-00000E0E0000}"/>
    <cellStyle name="40% - Accent1 11 16" xfId="3641" xr:uid="{00000000-0005-0000-0000-00000F0E0000}"/>
    <cellStyle name="40% - Accent1 11 17" xfId="3642" xr:uid="{00000000-0005-0000-0000-0000100E0000}"/>
    <cellStyle name="40% - Accent1 11 18" xfId="3643" xr:uid="{00000000-0005-0000-0000-0000110E0000}"/>
    <cellStyle name="40% - Accent1 11 19" xfId="3644" xr:uid="{00000000-0005-0000-0000-0000120E0000}"/>
    <cellStyle name="40% - Accent1 11 2" xfId="3645" xr:uid="{00000000-0005-0000-0000-0000130E0000}"/>
    <cellStyle name="40% - Accent1 11 20" xfId="3646" xr:uid="{00000000-0005-0000-0000-0000140E0000}"/>
    <cellStyle name="40% - Accent1 11 21" xfId="3647" xr:uid="{00000000-0005-0000-0000-0000150E0000}"/>
    <cellStyle name="40% - Accent1 11 22" xfId="3648" xr:uid="{00000000-0005-0000-0000-0000160E0000}"/>
    <cellStyle name="40% - Accent1 11 23" xfId="3649" xr:uid="{00000000-0005-0000-0000-0000170E0000}"/>
    <cellStyle name="40% - Accent1 11 24" xfId="3650" xr:uid="{00000000-0005-0000-0000-0000180E0000}"/>
    <cellStyle name="40% - Accent1 11 25" xfId="3651" xr:uid="{00000000-0005-0000-0000-0000190E0000}"/>
    <cellStyle name="40% - Accent1 11 26" xfId="3652" xr:uid="{00000000-0005-0000-0000-00001A0E0000}"/>
    <cellStyle name="40% - Accent1 11 27" xfId="3653" xr:uid="{00000000-0005-0000-0000-00001B0E0000}"/>
    <cellStyle name="40% - Accent1 11 28" xfId="3654" xr:uid="{00000000-0005-0000-0000-00001C0E0000}"/>
    <cellStyle name="40% - Accent1 11 29" xfId="3655" xr:uid="{00000000-0005-0000-0000-00001D0E0000}"/>
    <cellStyle name="40% - Accent1 11 3" xfId="3656" xr:uid="{00000000-0005-0000-0000-00001E0E0000}"/>
    <cellStyle name="40% - Accent1 11 30" xfId="3657" xr:uid="{00000000-0005-0000-0000-00001F0E0000}"/>
    <cellStyle name="40% - Accent1 11 31" xfId="3658" xr:uid="{00000000-0005-0000-0000-0000200E0000}"/>
    <cellStyle name="40% - Accent1 11 32" xfId="3659" xr:uid="{00000000-0005-0000-0000-0000210E0000}"/>
    <cellStyle name="40% - Accent1 11 33" xfId="3660" xr:uid="{00000000-0005-0000-0000-0000220E0000}"/>
    <cellStyle name="40% - Accent1 11 34" xfId="3661" xr:uid="{00000000-0005-0000-0000-0000230E0000}"/>
    <cellStyle name="40% - Accent1 11 35" xfId="3662" xr:uid="{00000000-0005-0000-0000-0000240E0000}"/>
    <cellStyle name="40% - Accent1 11 36" xfId="3663" xr:uid="{00000000-0005-0000-0000-0000250E0000}"/>
    <cellStyle name="40% - Accent1 11 37" xfId="3664" xr:uid="{00000000-0005-0000-0000-0000260E0000}"/>
    <cellStyle name="40% - Accent1 11 38" xfId="3665" xr:uid="{00000000-0005-0000-0000-0000270E0000}"/>
    <cellStyle name="40% - Accent1 11 39" xfId="3666" xr:uid="{00000000-0005-0000-0000-0000280E0000}"/>
    <cellStyle name="40% - Accent1 11 4" xfId="3667" xr:uid="{00000000-0005-0000-0000-0000290E0000}"/>
    <cellStyle name="40% - Accent1 11 5" xfId="3668" xr:uid="{00000000-0005-0000-0000-00002A0E0000}"/>
    <cellStyle name="40% - Accent1 11 6" xfId="3669" xr:uid="{00000000-0005-0000-0000-00002B0E0000}"/>
    <cellStyle name="40% - Accent1 11 7" xfId="3670" xr:uid="{00000000-0005-0000-0000-00002C0E0000}"/>
    <cellStyle name="40% - Accent1 11 8" xfId="3671" xr:uid="{00000000-0005-0000-0000-00002D0E0000}"/>
    <cellStyle name="40% - Accent1 11 9" xfId="3672" xr:uid="{00000000-0005-0000-0000-00002E0E0000}"/>
    <cellStyle name="40% - Accent1 12" xfId="3673" xr:uid="{00000000-0005-0000-0000-00002F0E0000}"/>
    <cellStyle name="40% - Accent1 13" xfId="3674" xr:uid="{00000000-0005-0000-0000-0000300E0000}"/>
    <cellStyle name="40% - Accent1 14" xfId="3675" xr:uid="{00000000-0005-0000-0000-0000310E0000}"/>
    <cellStyle name="40% - Accent1 15" xfId="3676" xr:uid="{00000000-0005-0000-0000-0000320E0000}"/>
    <cellStyle name="40% - Accent1 16" xfId="3677" xr:uid="{00000000-0005-0000-0000-0000330E0000}"/>
    <cellStyle name="40% - Accent1 17" xfId="3678" xr:uid="{00000000-0005-0000-0000-0000340E0000}"/>
    <cellStyle name="40% - Accent1 18" xfId="3679" xr:uid="{00000000-0005-0000-0000-0000350E0000}"/>
    <cellStyle name="40% - Accent1 19" xfId="3680" xr:uid="{00000000-0005-0000-0000-0000360E0000}"/>
    <cellStyle name="40% - Accent1 2" xfId="3681" xr:uid="{00000000-0005-0000-0000-0000370E0000}"/>
    <cellStyle name="40% - Accent1 2 10" xfId="3682" xr:uid="{00000000-0005-0000-0000-0000380E0000}"/>
    <cellStyle name="40% - Accent1 2 11" xfId="3683" xr:uid="{00000000-0005-0000-0000-0000390E0000}"/>
    <cellStyle name="40% - Accent1 2 12" xfId="3684" xr:uid="{00000000-0005-0000-0000-00003A0E0000}"/>
    <cellStyle name="40% - Accent1 2 13" xfId="3685" xr:uid="{00000000-0005-0000-0000-00003B0E0000}"/>
    <cellStyle name="40% - Accent1 2 14" xfId="3686" xr:uid="{00000000-0005-0000-0000-00003C0E0000}"/>
    <cellStyle name="40% - Accent1 2 15" xfId="3687" xr:uid="{00000000-0005-0000-0000-00003D0E0000}"/>
    <cellStyle name="40% - Accent1 2 16" xfId="3688" xr:uid="{00000000-0005-0000-0000-00003E0E0000}"/>
    <cellStyle name="40% - Accent1 2 17" xfId="3689" xr:uid="{00000000-0005-0000-0000-00003F0E0000}"/>
    <cellStyle name="40% - Accent1 2 18" xfId="3690" xr:uid="{00000000-0005-0000-0000-0000400E0000}"/>
    <cellStyle name="40% - Accent1 2 19" xfId="3691" xr:uid="{00000000-0005-0000-0000-0000410E0000}"/>
    <cellStyle name="40% - Accent1 2 2" xfId="3692" xr:uid="{00000000-0005-0000-0000-0000420E0000}"/>
    <cellStyle name="40% - Accent1 2 2 2" xfId="3693" xr:uid="{00000000-0005-0000-0000-0000430E0000}"/>
    <cellStyle name="40% - Accent1 2 20" xfId="3694" xr:uid="{00000000-0005-0000-0000-0000440E0000}"/>
    <cellStyle name="40% - Accent1 2 21" xfId="3695" xr:uid="{00000000-0005-0000-0000-0000450E0000}"/>
    <cellStyle name="40% - Accent1 2 22" xfId="3696" xr:uid="{00000000-0005-0000-0000-0000460E0000}"/>
    <cellStyle name="40% - Accent1 2 23" xfId="3697" xr:uid="{00000000-0005-0000-0000-0000470E0000}"/>
    <cellStyle name="40% - Accent1 2 24" xfId="3698" xr:uid="{00000000-0005-0000-0000-0000480E0000}"/>
    <cellStyle name="40% - Accent1 2 25" xfId="3699" xr:uid="{00000000-0005-0000-0000-0000490E0000}"/>
    <cellStyle name="40% - Accent1 2 26" xfId="3700" xr:uid="{00000000-0005-0000-0000-00004A0E0000}"/>
    <cellStyle name="40% - Accent1 2 27" xfId="3701" xr:uid="{00000000-0005-0000-0000-00004B0E0000}"/>
    <cellStyle name="40% - Accent1 2 28" xfId="3702" xr:uid="{00000000-0005-0000-0000-00004C0E0000}"/>
    <cellStyle name="40% - Accent1 2 29" xfId="3703" xr:uid="{00000000-0005-0000-0000-00004D0E0000}"/>
    <cellStyle name="40% - Accent1 2 3" xfId="3704" xr:uid="{00000000-0005-0000-0000-00004E0E0000}"/>
    <cellStyle name="40% - Accent1 2 3 2" xfId="3705" xr:uid="{00000000-0005-0000-0000-00004F0E0000}"/>
    <cellStyle name="40% - Accent1 2 30" xfId="3706" xr:uid="{00000000-0005-0000-0000-0000500E0000}"/>
    <cellStyle name="40% - Accent1 2 31" xfId="3707" xr:uid="{00000000-0005-0000-0000-0000510E0000}"/>
    <cellStyle name="40% - Accent1 2 32" xfId="3708" xr:uid="{00000000-0005-0000-0000-0000520E0000}"/>
    <cellStyle name="40% - Accent1 2 33" xfId="3709" xr:uid="{00000000-0005-0000-0000-0000530E0000}"/>
    <cellStyle name="40% - Accent1 2 34" xfId="3710" xr:uid="{00000000-0005-0000-0000-0000540E0000}"/>
    <cellStyle name="40% - Accent1 2 35" xfId="3711" xr:uid="{00000000-0005-0000-0000-0000550E0000}"/>
    <cellStyle name="40% - Accent1 2 36" xfId="3712" xr:uid="{00000000-0005-0000-0000-0000560E0000}"/>
    <cellStyle name="40% - Accent1 2 37" xfId="3713" xr:uid="{00000000-0005-0000-0000-0000570E0000}"/>
    <cellStyle name="40% - Accent1 2 38" xfId="3714" xr:uid="{00000000-0005-0000-0000-0000580E0000}"/>
    <cellStyle name="40% - Accent1 2 39" xfId="3715" xr:uid="{00000000-0005-0000-0000-0000590E0000}"/>
    <cellStyle name="40% - Accent1 2 4" xfId="3716" xr:uid="{00000000-0005-0000-0000-00005A0E0000}"/>
    <cellStyle name="40% - Accent1 2 4 2" xfId="3717" xr:uid="{00000000-0005-0000-0000-00005B0E0000}"/>
    <cellStyle name="40% - Accent1 2 40" xfId="3718" xr:uid="{00000000-0005-0000-0000-00005C0E0000}"/>
    <cellStyle name="40% - Accent1 2 41" xfId="3719" xr:uid="{00000000-0005-0000-0000-00005D0E0000}"/>
    <cellStyle name="40% - Accent1 2 42" xfId="3720" xr:uid="{00000000-0005-0000-0000-00005E0E0000}"/>
    <cellStyle name="40% - Accent1 2 43" xfId="3721" xr:uid="{00000000-0005-0000-0000-00005F0E0000}"/>
    <cellStyle name="40% - Accent1 2 44" xfId="3722" xr:uid="{00000000-0005-0000-0000-0000600E0000}"/>
    <cellStyle name="40% - Accent1 2 45" xfId="3723" xr:uid="{00000000-0005-0000-0000-0000610E0000}"/>
    <cellStyle name="40% - Accent1 2 46" xfId="3724" xr:uid="{00000000-0005-0000-0000-0000620E0000}"/>
    <cellStyle name="40% - Accent1 2 47" xfId="3725" xr:uid="{00000000-0005-0000-0000-0000630E0000}"/>
    <cellStyle name="40% - Accent1 2 48" xfId="3726" xr:uid="{00000000-0005-0000-0000-0000640E0000}"/>
    <cellStyle name="40% - Accent1 2 49" xfId="3727" xr:uid="{00000000-0005-0000-0000-0000650E0000}"/>
    <cellStyle name="40% - Accent1 2 5" xfId="3728" xr:uid="{00000000-0005-0000-0000-0000660E0000}"/>
    <cellStyle name="40% - Accent1 2 5 2" xfId="3729" xr:uid="{00000000-0005-0000-0000-0000670E0000}"/>
    <cellStyle name="40% - Accent1 2 50" xfId="3730" xr:uid="{00000000-0005-0000-0000-0000680E0000}"/>
    <cellStyle name="40% - Accent1 2 51" xfId="3731" xr:uid="{00000000-0005-0000-0000-0000690E0000}"/>
    <cellStyle name="40% - Accent1 2 52" xfId="3732" xr:uid="{00000000-0005-0000-0000-00006A0E0000}"/>
    <cellStyle name="40% - Accent1 2 53" xfId="3733" xr:uid="{00000000-0005-0000-0000-00006B0E0000}"/>
    <cellStyle name="40% - Accent1 2 54" xfId="3734" xr:uid="{00000000-0005-0000-0000-00006C0E0000}"/>
    <cellStyle name="40% - Accent1 2 55" xfId="3735" xr:uid="{00000000-0005-0000-0000-00006D0E0000}"/>
    <cellStyle name="40% - Accent1 2 56" xfId="3736" xr:uid="{00000000-0005-0000-0000-00006E0E0000}"/>
    <cellStyle name="40% - Accent1 2 57" xfId="3737" xr:uid="{00000000-0005-0000-0000-00006F0E0000}"/>
    <cellStyle name="40% - Accent1 2 58" xfId="3738" xr:uid="{00000000-0005-0000-0000-0000700E0000}"/>
    <cellStyle name="40% - Accent1 2 59" xfId="3739" xr:uid="{00000000-0005-0000-0000-0000710E0000}"/>
    <cellStyle name="40% - Accent1 2 6" xfId="3740" xr:uid="{00000000-0005-0000-0000-0000720E0000}"/>
    <cellStyle name="40% - Accent1 2 6 2" xfId="3741" xr:uid="{00000000-0005-0000-0000-0000730E0000}"/>
    <cellStyle name="40% - Accent1 2 60" xfId="3742" xr:uid="{00000000-0005-0000-0000-0000740E0000}"/>
    <cellStyle name="40% - Accent1 2 61" xfId="3743" xr:uid="{00000000-0005-0000-0000-0000750E0000}"/>
    <cellStyle name="40% - Accent1 2 62" xfId="3744" xr:uid="{00000000-0005-0000-0000-0000760E0000}"/>
    <cellStyle name="40% - Accent1 2 63" xfId="3745" xr:uid="{00000000-0005-0000-0000-0000770E0000}"/>
    <cellStyle name="40% - Accent1 2 64" xfId="3746" xr:uid="{00000000-0005-0000-0000-0000780E0000}"/>
    <cellStyle name="40% - Accent1 2 65" xfId="3747" xr:uid="{00000000-0005-0000-0000-0000790E0000}"/>
    <cellStyle name="40% - Accent1 2 66" xfId="3748" xr:uid="{00000000-0005-0000-0000-00007A0E0000}"/>
    <cellStyle name="40% - Accent1 2 67" xfId="3749" xr:uid="{00000000-0005-0000-0000-00007B0E0000}"/>
    <cellStyle name="40% - Accent1 2 68" xfId="3750" xr:uid="{00000000-0005-0000-0000-00007C0E0000}"/>
    <cellStyle name="40% - Accent1 2 69" xfId="3751" xr:uid="{00000000-0005-0000-0000-00007D0E0000}"/>
    <cellStyle name="40% - Accent1 2 7" xfId="3752" xr:uid="{00000000-0005-0000-0000-00007E0E0000}"/>
    <cellStyle name="40% - Accent1 2 7 2" xfId="3753" xr:uid="{00000000-0005-0000-0000-00007F0E0000}"/>
    <cellStyle name="40% - Accent1 2 70" xfId="3754" xr:uid="{00000000-0005-0000-0000-0000800E0000}"/>
    <cellStyle name="40% - Accent1 2 71" xfId="3755" xr:uid="{00000000-0005-0000-0000-0000810E0000}"/>
    <cellStyle name="40% - Accent1 2 72" xfId="3756" xr:uid="{00000000-0005-0000-0000-0000820E0000}"/>
    <cellStyle name="40% - Accent1 2 73" xfId="3757" xr:uid="{00000000-0005-0000-0000-0000830E0000}"/>
    <cellStyle name="40% - Accent1 2 74" xfId="3758" xr:uid="{00000000-0005-0000-0000-0000840E0000}"/>
    <cellStyle name="40% - Accent1 2 75" xfId="3759" xr:uid="{00000000-0005-0000-0000-0000850E0000}"/>
    <cellStyle name="40% - Accent1 2 8" xfId="3760" xr:uid="{00000000-0005-0000-0000-0000860E0000}"/>
    <cellStyle name="40% - Accent1 2 8 2" xfId="3761" xr:uid="{00000000-0005-0000-0000-0000870E0000}"/>
    <cellStyle name="40% - Accent1 2 9" xfId="3762" xr:uid="{00000000-0005-0000-0000-0000880E0000}"/>
    <cellStyle name="40% - Accent1 2 9 2" xfId="3763" xr:uid="{00000000-0005-0000-0000-0000890E0000}"/>
    <cellStyle name="40% - Accent1 20" xfId="3764" xr:uid="{00000000-0005-0000-0000-00008A0E0000}"/>
    <cellStyle name="40% - Accent1 21" xfId="3765" xr:uid="{00000000-0005-0000-0000-00008B0E0000}"/>
    <cellStyle name="40% - Accent1 22" xfId="3766" xr:uid="{00000000-0005-0000-0000-00008C0E0000}"/>
    <cellStyle name="40% - Accent1 23" xfId="3767" xr:uid="{00000000-0005-0000-0000-00008D0E0000}"/>
    <cellStyle name="40% - Accent1 24" xfId="3768" xr:uid="{00000000-0005-0000-0000-00008E0E0000}"/>
    <cellStyle name="40% - Accent1 25" xfId="3769" xr:uid="{00000000-0005-0000-0000-00008F0E0000}"/>
    <cellStyle name="40% - Accent1 26" xfId="3770" xr:uid="{00000000-0005-0000-0000-0000900E0000}"/>
    <cellStyle name="40% - Accent1 27" xfId="3771" xr:uid="{00000000-0005-0000-0000-0000910E0000}"/>
    <cellStyle name="40% - Accent1 28" xfId="3772" xr:uid="{00000000-0005-0000-0000-0000920E0000}"/>
    <cellStyle name="40% - Accent1 29" xfId="3773" xr:uid="{00000000-0005-0000-0000-0000930E0000}"/>
    <cellStyle name="40% - Accent1 3" xfId="3774" xr:uid="{00000000-0005-0000-0000-0000940E0000}"/>
    <cellStyle name="40% - Accent1 3 10" xfId="3775" xr:uid="{00000000-0005-0000-0000-0000950E0000}"/>
    <cellStyle name="40% - Accent1 3 11" xfId="3776" xr:uid="{00000000-0005-0000-0000-0000960E0000}"/>
    <cellStyle name="40% - Accent1 3 12" xfId="3777" xr:uid="{00000000-0005-0000-0000-0000970E0000}"/>
    <cellStyle name="40% - Accent1 3 13" xfId="3778" xr:uid="{00000000-0005-0000-0000-0000980E0000}"/>
    <cellStyle name="40% - Accent1 3 14" xfId="3779" xr:uid="{00000000-0005-0000-0000-0000990E0000}"/>
    <cellStyle name="40% - Accent1 3 15" xfId="3780" xr:uid="{00000000-0005-0000-0000-00009A0E0000}"/>
    <cellStyle name="40% - Accent1 3 16" xfId="3781" xr:uid="{00000000-0005-0000-0000-00009B0E0000}"/>
    <cellStyle name="40% - Accent1 3 17" xfId="3782" xr:uid="{00000000-0005-0000-0000-00009C0E0000}"/>
    <cellStyle name="40% - Accent1 3 18" xfId="3783" xr:uid="{00000000-0005-0000-0000-00009D0E0000}"/>
    <cellStyle name="40% - Accent1 3 19" xfId="3784" xr:uid="{00000000-0005-0000-0000-00009E0E0000}"/>
    <cellStyle name="40% - Accent1 3 2" xfId="3785" xr:uid="{00000000-0005-0000-0000-00009F0E0000}"/>
    <cellStyle name="40% - Accent1 3 2 2" xfId="3786" xr:uid="{00000000-0005-0000-0000-0000A00E0000}"/>
    <cellStyle name="40% - Accent1 3 20" xfId="3787" xr:uid="{00000000-0005-0000-0000-0000A10E0000}"/>
    <cellStyle name="40% - Accent1 3 21" xfId="3788" xr:uid="{00000000-0005-0000-0000-0000A20E0000}"/>
    <cellStyle name="40% - Accent1 3 22" xfId="3789" xr:uid="{00000000-0005-0000-0000-0000A30E0000}"/>
    <cellStyle name="40% - Accent1 3 23" xfId="3790" xr:uid="{00000000-0005-0000-0000-0000A40E0000}"/>
    <cellStyle name="40% - Accent1 3 24" xfId="3791" xr:uid="{00000000-0005-0000-0000-0000A50E0000}"/>
    <cellStyle name="40% - Accent1 3 25" xfId="3792" xr:uid="{00000000-0005-0000-0000-0000A60E0000}"/>
    <cellStyle name="40% - Accent1 3 26" xfId="3793" xr:uid="{00000000-0005-0000-0000-0000A70E0000}"/>
    <cellStyle name="40% - Accent1 3 27" xfId="3794" xr:uid="{00000000-0005-0000-0000-0000A80E0000}"/>
    <cellStyle name="40% - Accent1 3 28" xfId="3795" xr:uid="{00000000-0005-0000-0000-0000A90E0000}"/>
    <cellStyle name="40% - Accent1 3 29" xfId="3796" xr:uid="{00000000-0005-0000-0000-0000AA0E0000}"/>
    <cellStyle name="40% - Accent1 3 3" xfId="3797" xr:uid="{00000000-0005-0000-0000-0000AB0E0000}"/>
    <cellStyle name="40% - Accent1 3 3 2" xfId="3798" xr:uid="{00000000-0005-0000-0000-0000AC0E0000}"/>
    <cellStyle name="40% - Accent1 3 30" xfId="3799" xr:uid="{00000000-0005-0000-0000-0000AD0E0000}"/>
    <cellStyle name="40% - Accent1 3 31" xfId="3800" xr:uid="{00000000-0005-0000-0000-0000AE0E0000}"/>
    <cellStyle name="40% - Accent1 3 32" xfId="3801" xr:uid="{00000000-0005-0000-0000-0000AF0E0000}"/>
    <cellStyle name="40% - Accent1 3 33" xfId="3802" xr:uid="{00000000-0005-0000-0000-0000B00E0000}"/>
    <cellStyle name="40% - Accent1 3 34" xfId="3803" xr:uid="{00000000-0005-0000-0000-0000B10E0000}"/>
    <cellStyle name="40% - Accent1 3 35" xfId="3804" xr:uid="{00000000-0005-0000-0000-0000B20E0000}"/>
    <cellStyle name="40% - Accent1 3 36" xfId="3805" xr:uid="{00000000-0005-0000-0000-0000B30E0000}"/>
    <cellStyle name="40% - Accent1 3 37" xfId="3806" xr:uid="{00000000-0005-0000-0000-0000B40E0000}"/>
    <cellStyle name="40% - Accent1 3 38" xfId="3807" xr:uid="{00000000-0005-0000-0000-0000B50E0000}"/>
    <cellStyle name="40% - Accent1 3 39" xfId="3808" xr:uid="{00000000-0005-0000-0000-0000B60E0000}"/>
    <cellStyle name="40% - Accent1 3 4" xfId="3809" xr:uid="{00000000-0005-0000-0000-0000B70E0000}"/>
    <cellStyle name="40% - Accent1 3 4 2" xfId="3810" xr:uid="{00000000-0005-0000-0000-0000B80E0000}"/>
    <cellStyle name="40% - Accent1 3 40" xfId="3811" xr:uid="{00000000-0005-0000-0000-0000B90E0000}"/>
    <cellStyle name="40% - Accent1 3 41" xfId="3812" xr:uid="{00000000-0005-0000-0000-0000BA0E0000}"/>
    <cellStyle name="40% - Accent1 3 42" xfId="3813" xr:uid="{00000000-0005-0000-0000-0000BB0E0000}"/>
    <cellStyle name="40% - Accent1 3 43" xfId="3814" xr:uid="{00000000-0005-0000-0000-0000BC0E0000}"/>
    <cellStyle name="40% - Accent1 3 44" xfId="3815" xr:uid="{00000000-0005-0000-0000-0000BD0E0000}"/>
    <cellStyle name="40% - Accent1 3 45" xfId="3816" xr:uid="{00000000-0005-0000-0000-0000BE0E0000}"/>
    <cellStyle name="40% - Accent1 3 46" xfId="3817" xr:uid="{00000000-0005-0000-0000-0000BF0E0000}"/>
    <cellStyle name="40% - Accent1 3 47" xfId="3818" xr:uid="{00000000-0005-0000-0000-0000C00E0000}"/>
    <cellStyle name="40% - Accent1 3 48" xfId="3819" xr:uid="{00000000-0005-0000-0000-0000C10E0000}"/>
    <cellStyle name="40% - Accent1 3 49" xfId="3820" xr:uid="{00000000-0005-0000-0000-0000C20E0000}"/>
    <cellStyle name="40% - Accent1 3 5" xfId="3821" xr:uid="{00000000-0005-0000-0000-0000C30E0000}"/>
    <cellStyle name="40% - Accent1 3 5 2" xfId="3822" xr:uid="{00000000-0005-0000-0000-0000C40E0000}"/>
    <cellStyle name="40% - Accent1 3 50" xfId="3823" xr:uid="{00000000-0005-0000-0000-0000C50E0000}"/>
    <cellStyle name="40% - Accent1 3 51" xfId="3824" xr:uid="{00000000-0005-0000-0000-0000C60E0000}"/>
    <cellStyle name="40% - Accent1 3 52" xfId="3825" xr:uid="{00000000-0005-0000-0000-0000C70E0000}"/>
    <cellStyle name="40% - Accent1 3 53" xfId="3826" xr:uid="{00000000-0005-0000-0000-0000C80E0000}"/>
    <cellStyle name="40% - Accent1 3 54" xfId="3827" xr:uid="{00000000-0005-0000-0000-0000C90E0000}"/>
    <cellStyle name="40% - Accent1 3 55" xfId="3828" xr:uid="{00000000-0005-0000-0000-0000CA0E0000}"/>
    <cellStyle name="40% - Accent1 3 56" xfId="3829" xr:uid="{00000000-0005-0000-0000-0000CB0E0000}"/>
    <cellStyle name="40% - Accent1 3 57" xfId="3830" xr:uid="{00000000-0005-0000-0000-0000CC0E0000}"/>
    <cellStyle name="40% - Accent1 3 58" xfId="3831" xr:uid="{00000000-0005-0000-0000-0000CD0E0000}"/>
    <cellStyle name="40% - Accent1 3 59" xfId="3832" xr:uid="{00000000-0005-0000-0000-0000CE0E0000}"/>
    <cellStyle name="40% - Accent1 3 6" xfId="3833" xr:uid="{00000000-0005-0000-0000-0000CF0E0000}"/>
    <cellStyle name="40% - Accent1 3 6 2" xfId="3834" xr:uid="{00000000-0005-0000-0000-0000D00E0000}"/>
    <cellStyle name="40% - Accent1 3 60" xfId="3835" xr:uid="{00000000-0005-0000-0000-0000D10E0000}"/>
    <cellStyle name="40% - Accent1 3 61" xfId="3836" xr:uid="{00000000-0005-0000-0000-0000D20E0000}"/>
    <cellStyle name="40% - Accent1 3 62" xfId="3837" xr:uid="{00000000-0005-0000-0000-0000D30E0000}"/>
    <cellStyle name="40% - Accent1 3 63" xfId="3838" xr:uid="{00000000-0005-0000-0000-0000D40E0000}"/>
    <cellStyle name="40% - Accent1 3 64" xfId="3839" xr:uid="{00000000-0005-0000-0000-0000D50E0000}"/>
    <cellStyle name="40% - Accent1 3 65" xfId="3840" xr:uid="{00000000-0005-0000-0000-0000D60E0000}"/>
    <cellStyle name="40% - Accent1 3 66" xfId="3841" xr:uid="{00000000-0005-0000-0000-0000D70E0000}"/>
    <cellStyle name="40% - Accent1 3 67" xfId="3842" xr:uid="{00000000-0005-0000-0000-0000D80E0000}"/>
    <cellStyle name="40% - Accent1 3 68" xfId="3843" xr:uid="{00000000-0005-0000-0000-0000D90E0000}"/>
    <cellStyle name="40% - Accent1 3 69" xfId="3844" xr:uid="{00000000-0005-0000-0000-0000DA0E0000}"/>
    <cellStyle name="40% - Accent1 3 7" xfId="3845" xr:uid="{00000000-0005-0000-0000-0000DB0E0000}"/>
    <cellStyle name="40% - Accent1 3 7 2" xfId="3846" xr:uid="{00000000-0005-0000-0000-0000DC0E0000}"/>
    <cellStyle name="40% - Accent1 3 70" xfId="3847" xr:uid="{00000000-0005-0000-0000-0000DD0E0000}"/>
    <cellStyle name="40% - Accent1 3 71" xfId="3848" xr:uid="{00000000-0005-0000-0000-0000DE0E0000}"/>
    <cellStyle name="40% - Accent1 3 72" xfId="3849" xr:uid="{00000000-0005-0000-0000-0000DF0E0000}"/>
    <cellStyle name="40% - Accent1 3 73" xfId="3850" xr:uid="{00000000-0005-0000-0000-0000E00E0000}"/>
    <cellStyle name="40% - Accent1 3 74" xfId="3851" xr:uid="{00000000-0005-0000-0000-0000E10E0000}"/>
    <cellStyle name="40% - Accent1 3 75" xfId="3852" xr:uid="{00000000-0005-0000-0000-0000E20E0000}"/>
    <cellStyle name="40% - Accent1 3 8" xfId="3853" xr:uid="{00000000-0005-0000-0000-0000E30E0000}"/>
    <cellStyle name="40% - Accent1 3 8 2" xfId="3854" xr:uid="{00000000-0005-0000-0000-0000E40E0000}"/>
    <cellStyle name="40% - Accent1 3 9" xfId="3855" xr:uid="{00000000-0005-0000-0000-0000E50E0000}"/>
    <cellStyle name="40% - Accent1 3 9 2" xfId="3856" xr:uid="{00000000-0005-0000-0000-0000E60E0000}"/>
    <cellStyle name="40% - Accent1 30" xfId="3857" xr:uid="{00000000-0005-0000-0000-0000E70E0000}"/>
    <cellStyle name="40% - Accent1 31" xfId="3858" xr:uid="{00000000-0005-0000-0000-0000E80E0000}"/>
    <cellStyle name="40% - Accent1 32" xfId="3859" xr:uid="{00000000-0005-0000-0000-0000E90E0000}"/>
    <cellStyle name="40% - Accent1 33" xfId="3860" xr:uid="{00000000-0005-0000-0000-0000EA0E0000}"/>
    <cellStyle name="40% - Accent1 34" xfId="3861" xr:uid="{00000000-0005-0000-0000-0000EB0E0000}"/>
    <cellStyle name="40% - Accent1 35" xfId="3862" xr:uid="{00000000-0005-0000-0000-0000EC0E0000}"/>
    <cellStyle name="40% - Accent1 36" xfId="3863" xr:uid="{00000000-0005-0000-0000-0000ED0E0000}"/>
    <cellStyle name="40% - Accent1 37" xfId="3864" xr:uid="{00000000-0005-0000-0000-0000EE0E0000}"/>
    <cellStyle name="40% - Accent1 38" xfId="3865" xr:uid="{00000000-0005-0000-0000-0000EF0E0000}"/>
    <cellStyle name="40% - Accent1 39" xfId="3866" xr:uid="{00000000-0005-0000-0000-0000F00E0000}"/>
    <cellStyle name="40% - Accent1 4" xfId="3867" xr:uid="{00000000-0005-0000-0000-0000F10E0000}"/>
    <cellStyle name="40% - Accent1 4 10" xfId="3868" xr:uid="{00000000-0005-0000-0000-0000F20E0000}"/>
    <cellStyle name="40% - Accent1 4 11" xfId="3869" xr:uid="{00000000-0005-0000-0000-0000F30E0000}"/>
    <cellStyle name="40% - Accent1 4 12" xfId="3870" xr:uid="{00000000-0005-0000-0000-0000F40E0000}"/>
    <cellStyle name="40% - Accent1 4 13" xfId="3871" xr:uid="{00000000-0005-0000-0000-0000F50E0000}"/>
    <cellStyle name="40% - Accent1 4 14" xfId="3872" xr:uid="{00000000-0005-0000-0000-0000F60E0000}"/>
    <cellStyle name="40% - Accent1 4 15" xfId="3873" xr:uid="{00000000-0005-0000-0000-0000F70E0000}"/>
    <cellStyle name="40% - Accent1 4 16" xfId="3874" xr:uid="{00000000-0005-0000-0000-0000F80E0000}"/>
    <cellStyle name="40% - Accent1 4 17" xfId="3875" xr:uid="{00000000-0005-0000-0000-0000F90E0000}"/>
    <cellStyle name="40% - Accent1 4 18" xfId="3876" xr:uid="{00000000-0005-0000-0000-0000FA0E0000}"/>
    <cellStyle name="40% - Accent1 4 19" xfId="3877" xr:uid="{00000000-0005-0000-0000-0000FB0E0000}"/>
    <cellStyle name="40% - Accent1 4 2" xfId="3878" xr:uid="{00000000-0005-0000-0000-0000FC0E0000}"/>
    <cellStyle name="40% - Accent1 4 2 2" xfId="3879" xr:uid="{00000000-0005-0000-0000-0000FD0E0000}"/>
    <cellStyle name="40% - Accent1 4 20" xfId="3880" xr:uid="{00000000-0005-0000-0000-0000FE0E0000}"/>
    <cellStyle name="40% - Accent1 4 21" xfId="3881" xr:uid="{00000000-0005-0000-0000-0000FF0E0000}"/>
    <cellStyle name="40% - Accent1 4 22" xfId="3882" xr:uid="{00000000-0005-0000-0000-0000000F0000}"/>
    <cellStyle name="40% - Accent1 4 23" xfId="3883" xr:uid="{00000000-0005-0000-0000-0000010F0000}"/>
    <cellStyle name="40% - Accent1 4 24" xfId="3884" xr:uid="{00000000-0005-0000-0000-0000020F0000}"/>
    <cellStyle name="40% - Accent1 4 25" xfId="3885" xr:uid="{00000000-0005-0000-0000-0000030F0000}"/>
    <cellStyle name="40% - Accent1 4 26" xfId="3886" xr:uid="{00000000-0005-0000-0000-0000040F0000}"/>
    <cellStyle name="40% - Accent1 4 27" xfId="3887" xr:uid="{00000000-0005-0000-0000-0000050F0000}"/>
    <cellStyle name="40% - Accent1 4 28" xfId="3888" xr:uid="{00000000-0005-0000-0000-0000060F0000}"/>
    <cellStyle name="40% - Accent1 4 29" xfId="3889" xr:uid="{00000000-0005-0000-0000-0000070F0000}"/>
    <cellStyle name="40% - Accent1 4 3" xfId="3890" xr:uid="{00000000-0005-0000-0000-0000080F0000}"/>
    <cellStyle name="40% - Accent1 4 3 2" xfId="3891" xr:uid="{00000000-0005-0000-0000-0000090F0000}"/>
    <cellStyle name="40% - Accent1 4 30" xfId="3892" xr:uid="{00000000-0005-0000-0000-00000A0F0000}"/>
    <cellStyle name="40% - Accent1 4 31" xfId="3893" xr:uid="{00000000-0005-0000-0000-00000B0F0000}"/>
    <cellStyle name="40% - Accent1 4 32" xfId="3894" xr:uid="{00000000-0005-0000-0000-00000C0F0000}"/>
    <cellStyle name="40% - Accent1 4 33" xfId="3895" xr:uid="{00000000-0005-0000-0000-00000D0F0000}"/>
    <cellStyle name="40% - Accent1 4 34" xfId="3896" xr:uid="{00000000-0005-0000-0000-00000E0F0000}"/>
    <cellStyle name="40% - Accent1 4 35" xfId="3897" xr:uid="{00000000-0005-0000-0000-00000F0F0000}"/>
    <cellStyle name="40% - Accent1 4 36" xfId="3898" xr:uid="{00000000-0005-0000-0000-0000100F0000}"/>
    <cellStyle name="40% - Accent1 4 37" xfId="3899" xr:uid="{00000000-0005-0000-0000-0000110F0000}"/>
    <cellStyle name="40% - Accent1 4 38" xfId="3900" xr:uid="{00000000-0005-0000-0000-0000120F0000}"/>
    <cellStyle name="40% - Accent1 4 39" xfId="3901" xr:uid="{00000000-0005-0000-0000-0000130F0000}"/>
    <cellStyle name="40% - Accent1 4 4" xfId="3902" xr:uid="{00000000-0005-0000-0000-0000140F0000}"/>
    <cellStyle name="40% - Accent1 4 4 2" xfId="3903" xr:uid="{00000000-0005-0000-0000-0000150F0000}"/>
    <cellStyle name="40% - Accent1 4 40" xfId="3904" xr:uid="{00000000-0005-0000-0000-0000160F0000}"/>
    <cellStyle name="40% - Accent1 4 41" xfId="3905" xr:uid="{00000000-0005-0000-0000-0000170F0000}"/>
    <cellStyle name="40% - Accent1 4 42" xfId="3906" xr:uid="{00000000-0005-0000-0000-0000180F0000}"/>
    <cellStyle name="40% - Accent1 4 43" xfId="3907" xr:uid="{00000000-0005-0000-0000-0000190F0000}"/>
    <cellStyle name="40% - Accent1 4 44" xfId="3908" xr:uid="{00000000-0005-0000-0000-00001A0F0000}"/>
    <cellStyle name="40% - Accent1 4 45" xfId="3909" xr:uid="{00000000-0005-0000-0000-00001B0F0000}"/>
    <cellStyle name="40% - Accent1 4 46" xfId="3910" xr:uid="{00000000-0005-0000-0000-00001C0F0000}"/>
    <cellStyle name="40% - Accent1 4 47" xfId="3911" xr:uid="{00000000-0005-0000-0000-00001D0F0000}"/>
    <cellStyle name="40% - Accent1 4 48" xfId="3912" xr:uid="{00000000-0005-0000-0000-00001E0F0000}"/>
    <cellStyle name="40% - Accent1 4 49" xfId="3913" xr:uid="{00000000-0005-0000-0000-00001F0F0000}"/>
    <cellStyle name="40% - Accent1 4 5" xfId="3914" xr:uid="{00000000-0005-0000-0000-0000200F0000}"/>
    <cellStyle name="40% - Accent1 4 5 2" xfId="3915" xr:uid="{00000000-0005-0000-0000-0000210F0000}"/>
    <cellStyle name="40% - Accent1 4 50" xfId="3916" xr:uid="{00000000-0005-0000-0000-0000220F0000}"/>
    <cellStyle name="40% - Accent1 4 51" xfId="3917" xr:uid="{00000000-0005-0000-0000-0000230F0000}"/>
    <cellStyle name="40% - Accent1 4 52" xfId="3918" xr:uid="{00000000-0005-0000-0000-0000240F0000}"/>
    <cellStyle name="40% - Accent1 4 53" xfId="3919" xr:uid="{00000000-0005-0000-0000-0000250F0000}"/>
    <cellStyle name="40% - Accent1 4 54" xfId="3920" xr:uid="{00000000-0005-0000-0000-0000260F0000}"/>
    <cellStyle name="40% - Accent1 4 55" xfId="3921" xr:uid="{00000000-0005-0000-0000-0000270F0000}"/>
    <cellStyle name="40% - Accent1 4 56" xfId="3922" xr:uid="{00000000-0005-0000-0000-0000280F0000}"/>
    <cellStyle name="40% - Accent1 4 57" xfId="3923" xr:uid="{00000000-0005-0000-0000-0000290F0000}"/>
    <cellStyle name="40% - Accent1 4 58" xfId="3924" xr:uid="{00000000-0005-0000-0000-00002A0F0000}"/>
    <cellStyle name="40% - Accent1 4 59" xfId="3925" xr:uid="{00000000-0005-0000-0000-00002B0F0000}"/>
    <cellStyle name="40% - Accent1 4 6" xfId="3926" xr:uid="{00000000-0005-0000-0000-00002C0F0000}"/>
    <cellStyle name="40% - Accent1 4 6 2" xfId="3927" xr:uid="{00000000-0005-0000-0000-00002D0F0000}"/>
    <cellStyle name="40% - Accent1 4 60" xfId="3928" xr:uid="{00000000-0005-0000-0000-00002E0F0000}"/>
    <cellStyle name="40% - Accent1 4 61" xfId="3929" xr:uid="{00000000-0005-0000-0000-00002F0F0000}"/>
    <cellStyle name="40% - Accent1 4 62" xfId="3930" xr:uid="{00000000-0005-0000-0000-0000300F0000}"/>
    <cellStyle name="40% - Accent1 4 63" xfId="3931" xr:uid="{00000000-0005-0000-0000-0000310F0000}"/>
    <cellStyle name="40% - Accent1 4 64" xfId="3932" xr:uid="{00000000-0005-0000-0000-0000320F0000}"/>
    <cellStyle name="40% - Accent1 4 65" xfId="3933" xr:uid="{00000000-0005-0000-0000-0000330F0000}"/>
    <cellStyle name="40% - Accent1 4 66" xfId="3934" xr:uid="{00000000-0005-0000-0000-0000340F0000}"/>
    <cellStyle name="40% - Accent1 4 67" xfId="3935" xr:uid="{00000000-0005-0000-0000-0000350F0000}"/>
    <cellStyle name="40% - Accent1 4 68" xfId="3936" xr:uid="{00000000-0005-0000-0000-0000360F0000}"/>
    <cellStyle name="40% - Accent1 4 69" xfId="3937" xr:uid="{00000000-0005-0000-0000-0000370F0000}"/>
    <cellStyle name="40% - Accent1 4 7" xfId="3938" xr:uid="{00000000-0005-0000-0000-0000380F0000}"/>
    <cellStyle name="40% - Accent1 4 7 2" xfId="3939" xr:uid="{00000000-0005-0000-0000-0000390F0000}"/>
    <cellStyle name="40% - Accent1 4 70" xfId="3940" xr:uid="{00000000-0005-0000-0000-00003A0F0000}"/>
    <cellStyle name="40% - Accent1 4 71" xfId="3941" xr:uid="{00000000-0005-0000-0000-00003B0F0000}"/>
    <cellStyle name="40% - Accent1 4 72" xfId="3942" xr:uid="{00000000-0005-0000-0000-00003C0F0000}"/>
    <cellStyle name="40% - Accent1 4 73" xfId="3943" xr:uid="{00000000-0005-0000-0000-00003D0F0000}"/>
    <cellStyle name="40% - Accent1 4 74" xfId="3944" xr:uid="{00000000-0005-0000-0000-00003E0F0000}"/>
    <cellStyle name="40% - Accent1 4 75" xfId="3945" xr:uid="{00000000-0005-0000-0000-00003F0F0000}"/>
    <cellStyle name="40% - Accent1 4 8" xfId="3946" xr:uid="{00000000-0005-0000-0000-0000400F0000}"/>
    <cellStyle name="40% - Accent1 4 8 2" xfId="3947" xr:uid="{00000000-0005-0000-0000-0000410F0000}"/>
    <cellStyle name="40% - Accent1 4 9" xfId="3948" xr:uid="{00000000-0005-0000-0000-0000420F0000}"/>
    <cellStyle name="40% - Accent1 4 9 2" xfId="3949" xr:uid="{00000000-0005-0000-0000-0000430F0000}"/>
    <cellStyle name="40% - Accent1 40" xfId="3950" xr:uid="{00000000-0005-0000-0000-0000440F0000}"/>
    <cellStyle name="40% - Accent1 41" xfId="3951" xr:uid="{00000000-0005-0000-0000-0000450F0000}"/>
    <cellStyle name="40% - Accent1 42" xfId="3952" xr:uid="{00000000-0005-0000-0000-0000460F0000}"/>
    <cellStyle name="40% - Accent1 43" xfId="3953" xr:uid="{00000000-0005-0000-0000-0000470F0000}"/>
    <cellStyle name="40% - Accent1 44" xfId="3954" xr:uid="{00000000-0005-0000-0000-0000480F0000}"/>
    <cellStyle name="40% - Accent1 45" xfId="3955" xr:uid="{00000000-0005-0000-0000-0000490F0000}"/>
    <cellStyle name="40% - Accent1 46" xfId="3956" xr:uid="{00000000-0005-0000-0000-00004A0F0000}"/>
    <cellStyle name="40% - Accent1 47" xfId="3957" xr:uid="{00000000-0005-0000-0000-00004B0F0000}"/>
    <cellStyle name="40% - Accent1 48" xfId="3958" xr:uid="{00000000-0005-0000-0000-00004C0F0000}"/>
    <cellStyle name="40% - Accent1 49" xfId="3959" xr:uid="{00000000-0005-0000-0000-00004D0F0000}"/>
    <cellStyle name="40% - Accent1 5" xfId="3960" xr:uid="{00000000-0005-0000-0000-00004E0F0000}"/>
    <cellStyle name="40% - Accent1 5 10" xfId="3961" xr:uid="{00000000-0005-0000-0000-00004F0F0000}"/>
    <cellStyle name="40% - Accent1 5 11" xfId="3962" xr:uid="{00000000-0005-0000-0000-0000500F0000}"/>
    <cellStyle name="40% - Accent1 5 12" xfId="3963" xr:uid="{00000000-0005-0000-0000-0000510F0000}"/>
    <cellStyle name="40% - Accent1 5 13" xfId="3964" xr:uid="{00000000-0005-0000-0000-0000520F0000}"/>
    <cellStyle name="40% - Accent1 5 14" xfId="3965" xr:uid="{00000000-0005-0000-0000-0000530F0000}"/>
    <cellStyle name="40% - Accent1 5 15" xfId="3966" xr:uid="{00000000-0005-0000-0000-0000540F0000}"/>
    <cellStyle name="40% - Accent1 5 16" xfId="3967" xr:uid="{00000000-0005-0000-0000-0000550F0000}"/>
    <cellStyle name="40% - Accent1 5 17" xfId="3968" xr:uid="{00000000-0005-0000-0000-0000560F0000}"/>
    <cellStyle name="40% - Accent1 5 18" xfId="3969" xr:uid="{00000000-0005-0000-0000-0000570F0000}"/>
    <cellStyle name="40% - Accent1 5 19" xfId="3970" xr:uid="{00000000-0005-0000-0000-0000580F0000}"/>
    <cellStyle name="40% - Accent1 5 2" xfId="3971" xr:uid="{00000000-0005-0000-0000-0000590F0000}"/>
    <cellStyle name="40% - Accent1 5 2 2" xfId="3972" xr:uid="{00000000-0005-0000-0000-00005A0F0000}"/>
    <cellStyle name="40% - Accent1 5 20" xfId="3973" xr:uid="{00000000-0005-0000-0000-00005B0F0000}"/>
    <cellStyle name="40% - Accent1 5 21" xfId="3974" xr:uid="{00000000-0005-0000-0000-00005C0F0000}"/>
    <cellStyle name="40% - Accent1 5 22" xfId="3975" xr:uid="{00000000-0005-0000-0000-00005D0F0000}"/>
    <cellStyle name="40% - Accent1 5 23" xfId="3976" xr:uid="{00000000-0005-0000-0000-00005E0F0000}"/>
    <cellStyle name="40% - Accent1 5 24" xfId="3977" xr:uid="{00000000-0005-0000-0000-00005F0F0000}"/>
    <cellStyle name="40% - Accent1 5 25" xfId="3978" xr:uid="{00000000-0005-0000-0000-0000600F0000}"/>
    <cellStyle name="40% - Accent1 5 26" xfId="3979" xr:uid="{00000000-0005-0000-0000-0000610F0000}"/>
    <cellStyle name="40% - Accent1 5 27" xfId="3980" xr:uid="{00000000-0005-0000-0000-0000620F0000}"/>
    <cellStyle name="40% - Accent1 5 28" xfId="3981" xr:uid="{00000000-0005-0000-0000-0000630F0000}"/>
    <cellStyle name="40% - Accent1 5 29" xfId="3982" xr:uid="{00000000-0005-0000-0000-0000640F0000}"/>
    <cellStyle name="40% - Accent1 5 3" xfId="3983" xr:uid="{00000000-0005-0000-0000-0000650F0000}"/>
    <cellStyle name="40% - Accent1 5 30" xfId="3984" xr:uid="{00000000-0005-0000-0000-0000660F0000}"/>
    <cellStyle name="40% - Accent1 5 31" xfId="3985" xr:uid="{00000000-0005-0000-0000-0000670F0000}"/>
    <cellStyle name="40% - Accent1 5 32" xfId="3986" xr:uid="{00000000-0005-0000-0000-0000680F0000}"/>
    <cellStyle name="40% - Accent1 5 33" xfId="3987" xr:uid="{00000000-0005-0000-0000-0000690F0000}"/>
    <cellStyle name="40% - Accent1 5 34" xfId="3988" xr:uid="{00000000-0005-0000-0000-00006A0F0000}"/>
    <cellStyle name="40% - Accent1 5 35" xfId="3989" xr:uid="{00000000-0005-0000-0000-00006B0F0000}"/>
    <cellStyle name="40% - Accent1 5 36" xfId="3990" xr:uid="{00000000-0005-0000-0000-00006C0F0000}"/>
    <cellStyle name="40% - Accent1 5 37" xfId="3991" xr:uid="{00000000-0005-0000-0000-00006D0F0000}"/>
    <cellStyle name="40% - Accent1 5 38" xfId="3992" xr:uid="{00000000-0005-0000-0000-00006E0F0000}"/>
    <cellStyle name="40% - Accent1 5 39" xfId="3993" xr:uid="{00000000-0005-0000-0000-00006F0F0000}"/>
    <cellStyle name="40% - Accent1 5 4" xfId="3994" xr:uid="{00000000-0005-0000-0000-0000700F0000}"/>
    <cellStyle name="40% - Accent1 5 5" xfId="3995" xr:uid="{00000000-0005-0000-0000-0000710F0000}"/>
    <cellStyle name="40% - Accent1 5 6" xfId="3996" xr:uid="{00000000-0005-0000-0000-0000720F0000}"/>
    <cellStyle name="40% - Accent1 5 7" xfId="3997" xr:uid="{00000000-0005-0000-0000-0000730F0000}"/>
    <cellStyle name="40% - Accent1 5 8" xfId="3998" xr:uid="{00000000-0005-0000-0000-0000740F0000}"/>
    <cellStyle name="40% - Accent1 5 9" xfId="3999" xr:uid="{00000000-0005-0000-0000-0000750F0000}"/>
    <cellStyle name="40% - Accent1 50" xfId="4000" xr:uid="{00000000-0005-0000-0000-0000760F0000}"/>
    <cellStyle name="40% - Accent1 51" xfId="4001" xr:uid="{00000000-0005-0000-0000-0000770F0000}"/>
    <cellStyle name="40% - Accent1 52" xfId="4002" xr:uid="{00000000-0005-0000-0000-0000780F0000}"/>
    <cellStyle name="40% - Accent1 53" xfId="4003" xr:uid="{00000000-0005-0000-0000-0000790F0000}"/>
    <cellStyle name="40% - Accent1 54" xfId="4004" xr:uid="{00000000-0005-0000-0000-00007A0F0000}"/>
    <cellStyle name="40% - Accent1 55" xfId="4005" xr:uid="{00000000-0005-0000-0000-00007B0F0000}"/>
    <cellStyle name="40% - Accent1 56" xfId="4006" xr:uid="{00000000-0005-0000-0000-00007C0F0000}"/>
    <cellStyle name="40% - Accent1 57" xfId="4007" xr:uid="{00000000-0005-0000-0000-00007D0F0000}"/>
    <cellStyle name="40% - Accent1 58" xfId="4008" xr:uid="{00000000-0005-0000-0000-00007E0F0000}"/>
    <cellStyle name="40% - Accent1 59" xfId="4009" xr:uid="{00000000-0005-0000-0000-00007F0F0000}"/>
    <cellStyle name="40% - Accent1 6" xfId="4010" xr:uid="{00000000-0005-0000-0000-0000800F0000}"/>
    <cellStyle name="40% - Accent1 6 10" xfId="4011" xr:uid="{00000000-0005-0000-0000-0000810F0000}"/>
    <cellStyle name="40% - Accent1 6 11" xfId="4012" xr:uid="{00000000-0005-0000-0000-0000820F0000}"/>
    <cellStyle name="40% - Accent1 6 12" xfId="4013" xr:uid="{00000000-0005-0000-0000-0000830F0000}"/>
    <cellStyle name="40% - Accent1 6 13" xfId="4014" xr:uid="{00000000-0005-0000-0000-0000840F0000}"/>
    <cellStyle name="40% - Accent1 6 14" xfId="4015" xr:uid="{00000000-0005-0000-0000-0000850F0000}"/>
    <cellStyle name="40% - Accent1 6 15" xfId="4016" xr:uid="{00000000-0005-0000-0000-0000860F0000}"/>
    <cellStyle name="40% - Accent1 6 16" xfId="4017" xr:uid="{00000000-0005-0000-0000-0000870F0000}"/>
    <cellStyle name="40% - Accent1 6 17" xfId="4018" xr:uid="{00000000-0005-0000-0000-0000880F0000}"/>
    <cellStyle name="40% - Accent1 6 18" xfId="4019" xr:uid="{00000000-0005-0000-0000-0000890F0000}"/>
    <cellStyle name="40% - Accent1 6 19" xfId="4020" xr:uid="{00000000-0005-0000-0000-00008A0F0000}"/>
    <cellStyle name="40% - Accent1 6 2" xfId="4021" xr:uid="{00000000-0005-0000-0000-00008B0F0000}"/>
    <cellStyle name="40% - Accent1 6 20" xfId="4022" xr:uid="{00000000-0005-0000-0000-00008C0F0000}"/>
    <cellStyle name="40% - Accent1 6 21" xfId="4023" xr:uid="{00000000-0005-0000-0000-00008D0F0000}"/>
    <cellStyle name="40% - Accent1 6 22" xfId="4024" xr:uid="{00000000-0005-0000-0000-00008E0F0000}"/>
    <cellStyle name="40% - Accent1 6 23" xfId="4025" xr:uid="{00000000-0005-0000-0000-00008F0F0000}"/>
    <cellStyle name="40% - Accent1 6 24" xfId="4026" xr:uid="{00000000-0005-0000-0000-0000900F0000}"/>
    <cellStyle name="40% - Accent1 6 25" xfId="4027" xr:uid="{00000000-0005-0000-0000-0000910F0000}"/>
    <cellStyle name="40% - Accent1 6 26" xfId="4028" xr:uid="{00000000-0005-0000-0000-0000920F0000}"/>
    <cellStyle name="40% - Accent1 6 27" xfId="4029" xr:uid="{00000000-0005-0000-0000-0000930F0000}"/>
    <cellStyle name="40% - Accent1 6 28" xfId="4030" xr:uid="{00000000-0005-0000-0000-0000940F0000}"/>
    <cellStyle name="40% - Accent1 6 29" xfId="4031" xr:uid="{00000000-0005-0000-0000-0000950F0000}"/>
    <cellStyle name="40% - Accent1 6 3" xfId="4032" xr:uid="{00000000-0005-0000-0000-0000960F0000}"/>
    <cellStyle name="40% - Accent1 6 30" xfId="4033" xr:uid="{00000000-0005-0000-0000-0000970F0000}"/>
    <cellStyle name="40% - Accent1 6 31" xfId="4034" xr:uid="{00000000-0005-0000-0000-0000980F0000}"/>
    <cellStyle name="40% - Accent1 6 32" xfId="4035" xr:uid="{00000000-0005-0000-0000-0000990F0000}"/>
    <cellStyle name="40% - Accent1 6 33" xfId="4036" xr:uid="{00000000-0005-0000-0000-00009A0F0000}"/>
    <cellStyle name="40% - Accent1 6 34" xfId="4037" xr:uid="{00000000-0005-0000-0000-00009B0F0000}"/>
    <cellStyle name="40% - Accent1 6 35" xfId="4038" xr:uid="{00000000-0005-0000-0000-00009C0F0000}"/>
    <cellStyle name="40% - Accent1 6 36" xfId="4039" xr:uid="{00000000-0005-0000-0000-00009D0F0000}"/>
    <cellStyle name="40% - Accent1 6 37" xfId="4040" xr:uid="{00000000-0005-0000-0000-00009E0F0000}"/>
    <cellStyle name="40% - Accent1 6 38" xfId="4041" xr:uid="{00000000-0005-0000-0000-00009F0F0000}"/>
    <cellStyle name="40% - Accent1 6 39" xfId="4042" xr:uid="{00000000-0005-0000-0000-0000A00F0000}"/>
    <cellStyle name="40% - Accent1 6 4" xfId="4043" xr:uid="{00000000-0005-0000-0000-0000A10F0000}"/>
    <cellStyle name="40% - Accent1 6 5" xfId="4044" xr:uid="{00000000-0005-0000-0000-0000A20F0000}"/>
    <cellStyle name="40% - Accent1 6 6" xfId="4045" xr:uid="{00000000-0005-0000-0000-0000A30F0000}"/>
    <cellStyle name="40% - Accent1 6 7" xfId="4046" xr:uid="{00000000-0005-0000-0000-0000A40F0000}"/>
    <cellStyle name="40% - Accent1 6 8" xfId="4047" xr:uid="{00000000-0005-0000-0000-0000A50F0000}"/>
    <cellStyle name="40% - Accent1 6 9" xfId="4048" xr:uid="{00000000-0005-0000-0000-0000A60F0000}"/>
    <cellStyle name="40% - Accent1 60" xfId="4049" xr:uid="{00000000-0005-0000-0000-0000A70F0000}"/>
    <cellStyle name="40% - Accent1 61" xfId="4050" xr:uid="{00000000-0005-0000-0000-0000A80F0000}"/>
    <cellStyle name="40% - Accent1 62" xfId="4051" xr:uid="{00000000-0005-0000-0000-0000A90F0000}"/>
    <cellStyle name="40% - Accent1 63" xfId="4052" xr:uid="{00000000-0005-0000-0000-0000AA0F0000}"/>
    <cellStyle name="40% - Accent1 64" xfId="4053" xr:uid="{00000000-0005-0000-0000-0000AB0F0000}"/>
    <cellStyle name="40% - Accent1 65" xfId="4054" xr:uid="{00000000-0005-0000-0000-0000AC0F0000}"/>
    <cellStyle name="40% - Accent1 66" xfId="4055" xr:uid="{00000000-0005-0000-0000-0000AD0F0000}"/>
    <cellStyle name="40% - Accent1 67" xfId="4056" xr:uid="{00000000-0005-0000-0000-0000AE0F0000}"/>
    <cellStyle name="40% - Accent1 68" xfId="4057" xr:uid="{00000000-0005-0000-0000-0000AF0F0000}"/>
    <cellStyle name="40% - Accent1 69" xfId="4058" xr:uid="{00000000-0005-0000-0000-0000B00F0000}"/>
    <cellStyle name="40% - Accent1 7" xfId="4059" xr:uid="{00000000-0005-0000-0000-0000B10F0000}"/>
    <cellStyle name="40% - Accent1 7 10" xfId="4060" xr:uid="{00000000-0005-0000-0000-0000B20F0000}"/>
    <cellStyle name="40% - Accent1 7 11" xfId="4061" xr:uid="{00000000-0005-0000-0000-0000B30F0000}"/>
    <cellStyle name="40% - Accent1 7 12" xfId="4062" xr:uid="{00000000-0005-0000-0000-0000B40F0000}"/>
    <cellStyle name="40% - Accent1 7 13" xfId="4063" xr:uid="{00000000-0005-0000-0000-0000B50F0000}"/>
    <cellStyle name="40% - Accent1 7 14" xfId="4064" xr:uid="{00000000-0005-0000-0000-0000B60F0000}"/>
    <cellStyle name="40% - Accent1 7 15" xfId="4065" xr:uid="{00000000-0005-0000-0000-0000B70F0000}"/>
    <cellStyle name="40% - Accent1 7 16" xfId="4066" xr:uid="{00000000-0005-0000-0000-0000B80F0000}"/>
    <cellStyle name="40% - Accent1 7 17" xfId="4067" xr:uid="{00000000-0005-0000-0000-0000B90F0000}"/>
    <cellStyle name="40% - Accent1 7 18" xfId="4068" xr:uid="{00000000-0005-0000-0000-0000BA0F0000}"/>
    <cellStyle name="40% - Accent1 7 19" xfId="4069" xr:uid="{00000000-0005-0000-0000-0000BB0F0000}"/>
    <cellStyle name="40% - Accent1 7 2" xfId="4070" xr:uid="{00000000-0005-0000-0000-0000BC0F0000}"/>
    <cellStyle name="40% - Accent1 7 20" xfId="4071" xr:uid="{00000000-0005-0000-0000-0000BD0F0000}"/>
    <cellStyle name="40% - Accent1 7 21" xfId="4072" xr:uid="{00000000-0005-0000-0000-0000BE0F0000}"/>
    <cellStyle name="40% - Accent1 7 22" xfId="4073" xr:uid="{00000000-0005-0000-0000-0000BF0F0000}"/>
    <cellStyle name="40% - Accent1 7 23" xfId="4074" xr:uid="{00000000-0005-0000-0000-0000C00F0000}"/>
    <cellStyle name="40% - Accent1 7 24" xfId="4075" xr:uid="{00000000-0005-0000-0000-0000C10F0000}"/>
    <cellStyle name="40% - Accent1 7 25" xfId="4076" xr:uid="{00000000-0005-0000-0000-0000C20F0000}"/>
    <cellStyle name="40% - Accent1 7 26" xfId="4077" xr:uid="{00000000-0005-0000-0000-0000C30F0000}"/>
    <cellStyle name="40% - Accent1 7 27" xfId="4078" xr:uid="{00000000-0005-0000-0000-0000C40F0000}"/>
    <cellStyle name="40% - Accent1 7 28" xfId="4079" xr:uid="{00000000-0005-0000-0000-0000C50F0000}"/>
    <cellStyle name="40% - Accent1 7 29" xfId="4080" xr:uid="{00000000-0005-0000-0000-0000C60F0000}"/>
    <cellStyle name="40% - Accent1 7 3" xfId="4081" xr:uid="{00000000-0005-0000-0000-0000C70F0000}"/>
    <cellStyle name="40% - Accent1 7 30" xfId="4082" xr:uid="{00000000-0005-0000-0000-0000C80F0000}"/>
    <cellStyle name="40% - Accent1 7 31" xfId="4083" xr:uid="{00000000-0005-0000-0000-0000C90F0000}"/>
    <cellStyle name="40% - Accent1 7 32" xfId="4084" xr:uid="{00000000-0005-0000-0000-0000CA0F0000}"/>
    <cellStyle name="40% - Accent1 7 33" xfId="4085" xr:uid="{00000000-0005-0000-0000-0000CB0F0000}"/>
    <cellStyle name="40% - Accent1 7 34" xfId="4086" xr:uid="{00000000-0005-0000-0000-0000CC0F0000}"/>
    <cellStyle name="40% - Accent1 7 35" xfId="4087" xr:uid="{00000000-0005-0000-0000-0000CD0F0000}"/>
    <cellStyle name="40% - Accent1 7 36" xfId="4088" xr:uid="{00000000-0005-0000-0000-0000CE0F0000}"/>
    <cellStyle name="40% - Accent1 7 37" xfId="4089" xr:uid="{00000000-0005-0000-0000-0000CF0F0000}"/>
    <cellStyle name="40% - Accent1 7 38" xfId="4090" xr:uid="{00000000-0005-0000-0000-0000D00F0000}"/>
    <cellStyle name="40% - Accent1 7 39" xfId="4091" xr:uid="{00000000-0005-0000-0000-0000D10F0000}"/>
    <cellStyle name="40% - Accent1 7 4" xfId="4092" xr:uid="{00000000-0005-0000-0000-0000D20F0000}"/>
    <cellStyle name="40% - Accent1 7 5" xfId="4093" xr:uid="{00000000-0005-0000-0000-0000D30F0000}"/>
    <cellStyle name="40% - Accent1 7 6" xfId="4094" xr:uid="{00000000-0005-0000-0000-0000D40F0000}"/>
    <cellStyle name="40% - Accent1 7 7" xfId="4095" xr:uid="{00000000-0005-0000-0000-0000D50F0000}"/>
    <cellStyle name="40% - Accent1 7 8" xfId="4096" xr:uid="{00000000-0005-0000-0000-0000D60F0000}"/>
    <cellStyle name="40% - Accent1 7 9" xfId="4097" xr:uid="{00000000-0005-0000-0000-0000D70F0000}"/>
    <cellStyle name="40% - Accent1 70" xfId="4098" xr:uid="{00000000-0005-0000-0000-0000D80F0000}"/>
    <cellStyle name="40% - Accent1 71" xfId="4099" xr:uid="{00000000-0005-0000-0000-0000D90F0000}"/>
    <cellStyle name="40% - Accent1 72" xfId="4100" xr:uid="{00000000-0005-0000-0000-0000DA0F0000}"/>
    <cellStyle name="40% - Accent1 73" xfId="4101" xr:uid="{00000000-0005-0000-0000-0000DB0F0000}"/>
    <cellStyle name="40% - Accent1 74" xfId="4102" xr:uid="{00000000-0005-0000-0000-0000DC0F0000}"/>
    <cellStyle name="40% - Accent1 75" xfId="4103" xr:uid="{00000000-0005-0000-0000-0000DD0F0000}"/>
    <cellStyle name="40% - Accent1 76" xfId="4104" xr:uid="{00000000-0005-0000-0000-0000DE0F0000}"/>
    <cellStyle name="40% - Accent1 77" xfId="4105" xr:uid="{00000000-0005-0000-0000-0000DF0F0000}"/>
    <cellStyle name="40% - Accent1 78" xfId="4106" xr:uid="{00000000-0005-0000-0000-0000E00F0000}"/>
    <cellStyle name="40% - Accent1 79" xfId="4107" xr:uid="{00000000-0005-0000-0000-0000E10F0000}"/>
    <cellStyle name="40% - Accent1 8" xfId="4108" xr:uid="{00000000-0005-0000-0000-0000E20F0000}"/>
    <cellStyle name="40% - Accent1 8 10" xfId="4109" xr:uid="{00000000-0005-0000-0000-0000E30F0000}"/>
    <cellStyle name="40% - Accent1 8 11" xfId="4110" xr:uid="{00000000-0005-0000-0000-0000E40F0000}"/>
    <cellStyle name="40% - Accent1 8 12" xfId="4111" xr:uid="{00000000-0005-0000-0000-0000E50F0000}"/>
    <cellStyle name="40% - Accent1 8 13" xfId="4112" xr:uid="{00000000-0005-0000-0000-0000E60F0000}"/>
    <cellStyle name="40% - Accent1 8 14" xfId="4113" xr:uid="{00000000-0005-0000-0000-0000E70F0000}"/>
    <cellStyle name="40% - Accent1 8 15" xfId="4114" xr:uid="{00000000-0005-0000-0000-0000E80F0000}"/>
    <cellStyle name="40% - Accent1 8 16" xfId="4115" xr:uid="{00000000-0005-0000-0000-0000E90F0000}"/>
    <cellStyle name="40% - Accent1 8 17" xfId="4116" xr:uid="{00000000-0005-0000-0000-0000EA0F0000}"/>
    <cellStyle name="40% - Accent1 8 18" xfId="4117" xr:uid="{00000000-0005-0000-0000-0000EB0F0000}"/>
    <cellStyle name="40% - Accent1 8 19" xfId="4118" xr:uid="{00000000-0005-0000-0000-0000EC0F0000}"/>
    <cellStyle name="40% - Accent1 8 2" xfId="4119" xr:uid="{00000000-0005-0000-0000-0000ED0F0000}"/>
    <cellStyle name="40% - Accent1 8 20" xfId="4120" xr:uid="{00000000-0005-0000-0000-0000EE0F0000}"/>
    <cellStyle name="40% - Accent1 8 21" xfId="4121" xr:uid="{00000000-0005-0000-0000-0000EF0F0000}"/>
    <cellStyle name="40% - Accent1 8 22" xfId="4122" xr:uid="{00000000-0005-0000-0000-0000F00F0000}"/>
    <cellStyle name="40% - Accent1 8 23" xfId="4123" xr:uid="{00000000-0005-0000-0000-0000F10F0000}"/>
    <cellStyle name="40% - Accent1 8 24" xfId="4124" xr:uid="{00000000-0005-0000-0000-0000F20F0000}"/>
    <cellStyle name="40% - Accent1 8 25" xfId="4125" xr:uid="{00000000-0005-0000-0000-0000F30F0000}"/>
    <cellStyle name="40% - Accent1 8 26" xfId="4126" xr:uid="{00000000-0005-0000-0000-0000F40F0000}"/>
    <cellStyle name="40% - Accent1 8 27" xfId="4127" xr:uid="{00000000-0005-0000-0000-0000F50F0000}"/>
    <cellStyle name="40% - Accent1 8 28" xfId="4128" xr:uid="{00000000-0005-0000-0000-0000F60F0000}"/>
    <cellStyle name="40% - Accent1 8 29" xfId="4129" xr:uid="{00000000-0005-0000-0000-0000F70F0000}"/>
    <cellStyle name="40% - Accent1 8 3" xfId="4130" xr:uid="{00000000-0005-0000-0000-0000F80F0000}"/>
    <cellStyle name="40% - Accent1 8 30" xfId="4131" xr:uid="{00000000-0005-0000-0000-0000F90F0000}"/>
    <cellStyle name="40% - Accent1 8 31" xfId="4132" xr:uid="{00000000-0005-0000-0000-0000FA0F0000}"/>
    <cellStyle name="40% - Accent1 8 32" xfId="4133" xr:uid="{00000000-0005-0000-0000-0000FB0F0000}"/>
    <cellStyle name="40% - Accent1 8 33" xfId="4134" xr:uid="{00000000-0005-0000-0000-0000FC0F0000}"/>
    <cellStyle name="40% - Accent1 8 34" xfId="4135" xr:uid="{00000000-0005-0000-0000-0000FD0F0000}"/>
    <cellStyle name="40% - Accent1 8 35" xfId="4136" xr:uid="{00000000-0005-0000-0000-0000FE0F0000}"/>
    <cellStyle name="40% - Accent1 8 36" xfId="4137" xr:uid="{00000000-0005-0000-0000-0000FF0F0000}"/>
    <cellStyle name="40% - Accent1 8 37" xfId="4138" xr:uid="{00000000-0005-0000-0000-000000100000}"/>
    <cellStyle name="40% - Accent1 8 38" xfId="4139" xr:uid="{00000000-0005-0000-0000-000001100000}"/>
    <cellStyle name="40% - Accent1 8 39" xfId="4140" xr:uid="{00000000-0005-0000-0000-000002100000}"/>
    <cellStyle name="40% - Accent1 8 4" xfId="4141" xr:uid="{00000000-0005-0000-0000-000003100000}"/>
    <cellStyle name="40% - Accent1 8 5" xfId="4142" xr:uid="{00000000-0005-0000-0000-000004100000}"/>
    <cellStyle name="40% - Accent1 8 6" xfId="4143" xr:uid="{00000000-0005-0000-0000-000005100000}"/>
    <cellStyle name="40% - Accent1 8 7" xfId="4144" xr:uid="{00000000-0005-0000-0000-000006100000}"/>
    <cellStyle name="40% - Accent1 8 8" xfId="4145" xr:uid="{00000000-0005-0000-0000-000007100000}"/>
    <cellStyle name="40% - Accent1 8 9" xfId="4146" xr:uid="{00000000-0005-0000-0000-000008100000}"/>
    <cellStyle name="40% - Accent1 9" xfId="4147" xr:uid="{00000000-0005-0000-0000-000009100000}"/>
    <cellStyle name="40% - Accent1 9 10" xfId="4148" xr:uid="{00000000-0005-0000-0000-00000A100000}"/>
    <cellStyle name="40% - Accent1 9 11" xfId="4149" xr:uid="{00000000-0005-0000-0000-00000B100000}"/>
    <cellStyle name="40% - Accent1 9 12" xfId="4150" xr:uid="{00000000-0005-0000-0000-00000C100000}"/>
    <cellStyle name="40% - Accent1 9 13" xfId="4151" xr:uid="{00000000-0005-0000-0000-00000D100000}"/>
    <cellStyle name="40% - Accent1 9 14" xfId="4152" xr:uid="{00000000-0005-0000-0000-00000E100000}"/>
    <cellStyle name="40% - Accent1 9 15" xfId="4153" xr:uid="{00000000-0005-0000-0000-00000F100000}"/>
    <cellStyle name="40% - Accent1 9 16" xfId="4154" xr:uid="{00000000-0005-0000-0000-000010100000}"/>
    <cellStyle name="40% - Accent1 9 17" xfId="4155" xr:uid="{00000000-0005-0000-0000-000011100000}"/>
    <cellStyle name="40% - Accent1 9 18" xfId="4156" xr:uid="{00000000-0005-0000-0000-000012100000}"/>
    <cellStyle name="40% - Accent1 9 19" xfId="4157" xr:uid="{00000000-0005-0000-0000-000013100000}"/>
    <cellStyle name="40% - Accent1 9 2" xfId="4158" xr:uid="{00000000-0005-0000-0000-000014100000}"/>
    <cellStyle name="40% - Accent1 9 20" xfId="4159" xr:uid="{00000000-0005-0000-0000-000015100000}"/>
    <cellStyle name="40% - Accent1 9 21" xfId="4160" xr:uid="{00000000-0005-0000-0000-000016100000}"/>
    <cellStyle name="40% - Accent1 9 22" xfId="4161" xr:uid="{00000000-0005-0000-0000-000017100000}"/>
    <cellStyle name="40% - Accent1 9 23" xfId="4162" xr:uid="{00000000-0005-0000-0000-000018100000}"/>
    <cellStyle name="40% - Accent1 9 24" xfId="4163" xr:uid="{00000000-0005-0000-0000-000019100000}"/>
    <cellStyle name="40% - Accent1 9 25" xfId="4164" xr:uid="{00000000-0005-0000-0000-00001A100000}"/>
    <cellStyle name="40% - Accent1 9 26" xfId="4165" xr:uid="{00000000-0005-0000-0000-00001B100000}"/>
    <cellStyle name="40% - Accent1 9 27" xfId="4166" xr:uid="{00000000-0005-0000-0000-00001C100000}"/>
    <cellStyle name="40% - Accent1 9 28" xfId="4167" xr:uid="{00000000-0005-0000-0000-00001D100000}"/>
    <cellStyle name="40% - Accent1 9 29" xfId="4168" xr:uid="{00000000-0005-0000-0000-00001E100000}"/>
    <cellStyle name="40% - Accent1 9 3" xfId="4169" xr:uid="{00000000-0005-0000-0000-00001F100000}"/>
    <cellStyle name="40% - Accent1 9 30" xfId="4170" xr:uid="{00000000-0005-0000-0000-000020100000}"/>
    <cellStyle name="40% - Accent1 9 31" xfId="4171" xr:uid="{00000000-0005-0000-0000-000021100000}"/>
    <cellStyle name="40% - Accent1 9 32" xfId="4172" xr:uid="{00000000-0005-0000-0000-000022100000}"/>
    <cellStyle name="40% - Accent1 9 33" xfId="4173" xr:uid="{00000000-0005-0000-0000-000023100000}"/>
    <cellStyle name="40% - Accent1 9 34" xfId="4174" xr:uid="{00000000-0005-0000-0000-000024100000}"/>
    <cellStyle name="40% - Accent1 9 35" xfId="4175" xr:uid="{00000000-0005-0000-0000-000025100000}"/>
    <cellStyle name="40% - Accent1 9 36" xfId="4176" xr:uid="{00000000-0005-0000-0000-000026100000}"/>
    <cellStyle name="40% - Accent1 9 37" xfId="4177" xr:uid="{00000000-0005-0000-0000-000027100000}"/>
    <cellStyle name="40% - Accent1 9 38" xfId="4178" xr:uid="{00000000-0005-0000-0000-000028100000}"/>
    <cellStyle name="40% - Accent1 9 39" xfId="4179" xr:uid="{00000000-0005-0000-0000-000029100000}"/>
    <cellStyle name="40% - Accent1 9 4" xfId="4180" xr:uid="{00000000-0005-0000-0000-00002A100000}"/>
    <cellStyle name="40% - Accent1 9 5" xfId="4181" xr:uid="{00000000-0005-0000-0000-00002B100000}"/>
    <cellStyle name="40% - Accent1 9 6" xfId="4182" xr:uid="{00000000-0005-0000-0000-00002C100000}"/>
    <cellStyle name="40% - Accent1 9 7" xfId="4183" xr:uid="{00000000-0005-0000-0000-00002D100000}"/>
    <cellStyle name="40% - Accent1 9 8" xfId="4184" xr:uid="{00000000-0005-0000-0000-00002E100000}"/>
    <cellStyle name="40% - Accent1 9 9" xfId="4185" xr:uid="{00000000-0005-0000-0000-00002F100000}"/>
    <cellStyle name="40% - Accent2" xfId="25" builtinId="35" customBuiltin="1"/>
    <cellStyle name="40% - Accent2 10" xfId="4186" xr:uid="{00000000-0005-0000-0000-000031100000}"/>
    <cellStyle name="40% - Accent2 10 10" xfId="4187" xr:uid="{00000000-0005-0000-0000-000032100000}"/>
    <cellStyle name="40% - Accent2 10 11" xfId="4188" xr:uid="{00000000-0005-0000-0000-000033100000}"/>
    <cellStyle name="40% - Accent2 10 12" xfId="4189" xr:uid="{00000000-0005-0000-0000-000034100000}"/>
    <cellStyle name="40% - Accent2 10 13" xfId="4190" xr:uid="{00000000-0005-0000-0000-000035100000}"/>
    <cellStyle name="40% - Accent2 10 14" xfId="4191" xr:uid="{00000000-0005-0000-0000-000036100000}"/>
    <cellStyle name="40% - Accent2 10 15" xfId="4192" xr:uid="{00000000-0005-0000-0000-000037100000}"/>
    <cellStyle name="40% - Accent2 10 16" xfId="4193" xr:uid="{00000000-0005-0000-0000-000038100000}"/>
    <cellStyle name="40% - Accent2 10 17" xfId="4194" xr:uid="{00000000-0005-0000-0000-000039100000}"/>
    <cellStyle name="40% - Accent2 10 18" xfId="4195" xr:uid="{00000000-0005-0000-0000-00003A100000}"/>
    <cellStyle name="40% - Accent2 10 19" xfId="4196" xr:uid="{00000000-0005-0000-0000-00003B100000}"/>
    <cellStyle name="40% - Accent2 10 2" xfId="4197" xr:uid="{00000000-0005-0000-0000-00003C100000}"/>
    <cellStyle name="40% - Accent2 10 20" xfId="4198" xr:uid="{00000000-0005-0000-0000-00003D100000}"/>
    <cellStyle name="40% - Accent2 10 21" xfId="4199" xr:uid="{00000000-0005-0000-0000-00003E100000}"/>
    <cellStyle name="40% - Accent2 10 22" xfId="4200" xr:uid="{00000000-0005-0000-0000-00003F100000}"/>
    <cellStyle name="40% - Accent2 10 23" xfId="4201" xr:uid="{00000000-0005-0000-0000-000040100000}"/>
    <cellStyle name="40% - Accent2 10 24" xfId="4202" xr:uid="{00000000-0005-0000-0000-000041100000}"/>
    <cellStyle name="40% - Accent2 10 25" xfId="4203" xr:uid="{00000000-0005-0000-0000-000042100000}"/>
    <cellStyle name="40% - Accent2 10 26" xfId="4204" xr:uid="{00000000-0005-0000-0000-000043100000}"/>
    <cellStyle name="40% - Accent2 10 27" xfId="4205" xr:uid="{00000000-0005-0000-0000-000044100000}"/>
    <cellStyle name="40% - Accent2 10 28" xfId="4206" xr:uid="{00000000-0005-0000-0000-000045100000}"/>
    <cellStyle name="40% - Accent2 10 29" xfId="4207" xr:uid="{00000000-0005-0000-0000-000046100000}"/>
    <cellStyle name="40% - Accent2 10 3" xfId="4208" xr:uid="{00000000-0005-0000-0000-000047100000}"/>
    <cellStyle name="40% - Accent2 10 30" xfId="4209" xr:uid="{00000000-0005-0000-0000-000048100000}"/>
    <cellStyle name="40% - Accent2 10 31" xfId="4210" xr:uid="{00000000-0005-0000-0000-000049100000}"/>
    <cellStyle name="40% - Accent2 10 32" xfId="4211" xr:uid="{00000000-0005-0000-0000-00004A100000}"/>
    <cellStyle name="40% - Accent2 10 33" xfId="4212" xr:uid="{00000000-0005-0000-0000-00004B100000}"/>
    <cellStyle name="40% - Accent2 10 34" xfId="4213" xr:uid="{00000000-0005-0000-0000-00004C100000}"/>
    <cellStyle name="40% - Accent2 10 35" xfId="4214" xr:uid="{00000000-0005-0000-0000-00004D100000}"/>
    <cellStyle name="40% - Accent2 10 36" xfId="4215" xr:uid="{00000000-0005-0000-0000-00004E100000}"/>
    <cellStyle name="40% - Accent2 10 37" xfId="4216" xr:uid="{00000000-0005-0000-0000-00004F100000}"/>
    <cellStyle name="40% - Accent2 10 38" xfId="4217" xr:uid="{00000000-0005-0000-0000-000050100000}"/>
    <cellStyle name="40% - Accent2 10 39" xfId="4218" xr:uid="{00000000-0005-0000-0000-000051100000}"/>
    <cellStyle name="40% - Accent2 10 4" xfId="4219" xr:uid="{00000000-0005-0000-0000-000052100000}"/>
    <cellStyle name="40% - Accent2 10 5" xfId="4220" xr:uid="{00000000-0005-0000-0000-000053100000}"/>
    <cellStyle name="40% - Accent2 10 6" xfId="4221" xr:uid="{00000000-0005-0000-0000-000054100000}"/>
    <cellStyle name="40% - Accent2 10 7" xfId="4222" xr:uid="{00000000-0005-0000-0000-000055100000}"/>
    <cellStyle name="40% - Accent2 10 8" xfId="4223" xr:uid="{00000000-0005-0000-0000-000056100000}"/>
    <cellStyle name="40% - Accent2 10 9" xfId="4224" xr:uid="{00000000-0005-0000-0000-000057100000}"/>
    <cellStyle name="40% - Accent2 11" xfId="4225" xr:uid="{00000000-0005-0000-0000-000058100000}"/>
    <cellStyle name="40% - Accent2 11 10" xfId="4226" xr:uid="{00000000-0005-0000-0000-000059100000}"/>
    <cellStyle name="40% - Accent2 11 11" xfId="4227" xr:uid="{00000000-0005-0000-0000-00005A100000}"/>
    <cellStyle name="40% - Accent2 11 12" xfId="4228" xr:uid="{00000000-0005-0000-0000-00005B100000}"/>
    <cellStyle name="40% - Accent2 11 13" xfId="4229" xr:uid="{00000000-0005-0000-0000-00005C100000}"/>
    <cellStyle name="40% - Accent2 11 14" xfId="4230" xr:uid="{00000000-0005-0000-0000-00005D100000}"/>
    <cellStyle name="40% - Accent2 11 15" xfId="4231" xr:uid="{00000000-0005-0000-0000-00005E100000}"/>
    <cellStyle name="40% - Accent2 11 16" xfId="4232" xr:uid="{00000000-0005-0000-0000-00005F100000}"/>
    <cellStyle name="40% - Accent2 11 17" xfId="4233" xr:uid="{00000000-0005-0000-0000-000060100000}"/>
    <cellStyle name="40% - Accent2 11 18" xfId="4234" xr:uid="{00000000-0005-0000-0000-000061100000}"/>
    <cellStyle name="40% - Accent2 11 19" xfId="4235" xr:uid="{00000000-0005-0000-0000-000062100000}"/>
    <cellStyle name="40% - Accent2 11 2" xfId="4236" xr:uid="{00000000-0005-0000-0000-000063100000}"/>
    <cellStyle name="40% - Accent2 11 20" xfId="4237" xr:uid="{00000000-0005-0000-0000-000064100000}"/>
    <cellStyle name="40% - Accent2 11 21" xfId="4238" xr:uid="{00000000-0005-0000-0000-000065100000}"/>
    <cellStyle name="40% - Accent2 11 22" xfId="4239" xr:uid="{00000000-0005-0000-0000-000066100000}"/>
    <cellStyle name="40% - Accent2 11 23" xfId="4240" xr:uid="{00000000-0005-0000-0000-000067100000}"/>
    <cellStyle name="40% - Accent2 11 24" xfId="4241" xr:uid="{00000000-0005-0000-0000-000068100000}"/>
    <cellStyle name="40% - Accent2 11 25" xfId="4242" xr:uid="{00000000-0005-0000-0000-000069100000}"/>
    <cellStyle name="40% - Accent2 11 26" xfId="4243" xr:uid="{00000000-0005-0000-0000-00006A100000}"/>
    <cellStyle name="40% - Accent2 11 27" xfId="4244" xr:uid="{00000000-0005-0000-0000-00006B100000}"/>
    <cellStyle name="40% - Accent2 11 28" xfId="4245" xr:uid="{00000000-0005-0000-0000-00006C100000}"/>
    <cellStyle name="40% - Accent2 11 29" xfId="4246" xr:uid="{00000000-0005-0000-0000-00006D100000}"/>
    <cellStyle name="40% - Accent2 11 3" xfId="4247" xr:uid="{00000000-0005-0000-0000-00006E100000}"/>
    <cellStyle name="40% - Accent2 11 30" xfId="4248" xr:uid="{00000000-0005-0000-0000-00006F100000}"/>
    <cellStyle name="40% - Accent2 11 31" xfId="4249" xr:uid="{00000000-0005-0000-0000-000070100000}"/>
    <cellStyle name="40% - Accent2 11 32" xfId="4250" xr:uid="{00000000-0005-0000-0000-000071100000}"/>
    <cellStyle name="40% - Accent2 11 33" xfId="4251" xr:uid="{00000000-0005-0000-0000-000072100000}"/>
    <cellStyle name="40% - Accent2 11 34" xfId="4252" xr:uid="{00000000-0005-0000-0000-000073100000}"/>
    <cellStyle name="40% - Accent2 11 35" xfId="4253" xr:uid="{00000000-0005-0000-0000-000074100000}"/>
    <cellStyle name="40% - Accent2 11 36" xfId="4254" xr:uid="{00000000-0005-0000-0000-000075100000}"/>
    <cellStyle name="40% - Accent2 11 37" xfId="4255" xr:uid="{00000000-0005-0000-0000-000076100000}"/>
    <cellStyle name="40% - Accent2 11 38" xfId="4256" xr:uid="{00000000-0005-0000-0000-000077100000}"/>
    <cellStyle name="40% - Accent2 11 39" xfId="4257" xr:uid="{00000000-0005-0000-0000-000078100000}"/>
    <cellStyle name="40% - Accent2 11 4" xfId="4258" xr:uid="{00000000-0005-0000-0000-000079100000}"/>
    <cellStyle name="40% - Accent2 11 5" xfId="4259" xr:uid="{00000000-0005-0000-0000-00007A100000}"/>
    <cellStyle name="40% - Accent2 11 6" xfId="4260" xr:uid="{00000000-0005-0000-0000-00007B100000}"/>
    <cellStyle name="40% - Accent2 11 7" xfId="4261" xr:uid="{00000000-0005-0000-0000-00007C100000}"/>
    <cellStyle name="40% - Accent2 11 8" xfId="4262" xr:uid="{00000000-0005-0000-0000-00007D100000}"/>
    <cellStyle name="40% - Accent2 11 9" xfId="4263" xr:uid="{00000000-0005-0000-0000-00007E100000}"/>
    <cellStyle name="40% - Accent2 12" xfId="4264" xr:uid="{00000000-0005-0000-0000-00007F100000}"/>
    <cellStyle name="40% - Accent2 13" xfId="4265" xr:uid="{00000000-0005-0000-0000-000080100000}"/>
    <cellStyle name="40% - Accent2 14" xfId="4266" xr:uid="{00000000-0005-0000-0000-000081100000}"/>
    <cellStyle name="40% - Accent2 15" xfId="4267" xr:uid="{00000000-0005-0000-0000-000082100000}"/>
    <cellStyle name="40% - Accent2 16" xfId="4268" xr:uid="{00000000-0005-0000-0000-000083100000}"/>
    <cellStyle name="40% - Accent2 17" xfId="4269" xr:uid="{00000000-0005-0000-0000-000084100000}"/>
    <cellStyle name="40% - Accent2 18" xfId="4270" xr:uid="{00000000-0005-0000-0000-000085100000}"/>
    <cellStyle name="40% - Accent2 19" xfId="4271" xr:uid="{00000000-0005-0000-0000-000086100000}"/>
    <cellStyle name="40% - Accent2 2" xfId="4272" xr:uid="{00000000-0005-0000-0000-000087100000}"/>
    <cellStyle name="40% - Accent2 2 10" xfId="4273" xr:uid="{00000000-0005-0000-0000-000088100000}"/>
    <cellStyle name="40% - Accent2 2 11" xfId="4274" xr:uid="{00000000-0005-0000-0000-000089100000}"/>
    <cellStyle name="40% - Accent2 2 12" xfId="4275" xr:uid="{00000000-0005-0000-0000-00008A100000}"/>
    <cellStyle name="40% - Accent2 2 13" xfId="4276" xr:uid="{00000000-0005-0000-0000-00008B100000}"/>
    <cellStyle name="40% - Accent2 2 14" xfId="4277" xr:uid="{00000000-0005-0000-0000-00008C100000}"/>
    <cellStyle name="40% - Accent2 2 15" xfId="4278" xr:uid="{00000000-0005-0000-0000-00008D100000}"/>
    <cellStyle name="40% - Accent2 2 16" xfId="4279" xr:uid="{00000000-0005-0000-0000-00008E100000}"/>
    <cellStyle name="40% - Accent2 2 17" xfId="4280" xr:uid="{00000000-0005-0000-0000-00008F100000}"/>
    <cellStyle name="40% - Accent2 2 18" xfId="4281" xr:uid="{00000000-0005-0000-0000-000090100000}"/>
    <cellStyle name="40% - Accent2 2 19" xfId="4282" xr:uid="{00000000-0005-0000-0000-000091100000}"/>
    <cellStyle name="40% - Accent2 2 2" xfId="4283" xr:uid="{00000000-0005-0000-0000-000092100000}"/>
    <cellStyle name="40% - Accent2 2 2 2" xfId="4284" xr:uid="{00000000-0005-0000-0000-000093100000}"/>
    <cellStyle name="40% - Accent2 2 20" xfId="4285" xr:uid="{00000000-0005-0000-0000-000094100000}"/>
    <cellStyle name="40% - Accent2 2 21" xfId="4286" xr:uid="{00000000-0005-0000-0000-000095100000}"/>
    <cellStyle name="40% - Accent2 2 22" xfId="4287" xr:uid="{00000000-0005-0000-0000-000096100000}"/>
    <cellStyle name="40% - Accent2 2 23" xfId="4288" xr:uid="{00000000-0005-0000-0000-000097100000}"/>
    <cellStyle name="40% - Accent2 2 24" xfId="4289" xr:uid="{00000000-0005-0000-0000-000098100000}"/>
    <cellStyle name="40% - Accent2 2 25" xfId="4290" xr:uid="{00000000-0005-0000-0000-000099100000}"/>
    <cellStyle name="40% - Accent2 2 26" xfId="4291" xr:uid="{00000000-0005-0000-0000-00009A100000}"/>
    <cellStyle name="40% - Accent2 2 27" xfId="4292" xr:uid="{00000000-0005-0000-0000-00009B100000}"/>
    <cellStyle name="40% - Accent2 2 28" xfId="4293" xr:uid="{00000000-0005-0000-0000-00009C100000}"/>
    <cellStyle name="40% - Accent2 2 29" xfId="4294" xr:uid="{00000000-0005-0000-0000-00009D100000}"/>
    <cellStyle name="40% - Accent2 2 3" xfId="4295" xr:uid="{00000000-0005-0000-0000-00009E100000}"/>
    <cellStyle name="40% - Accent2 2 3 2" xfId="4296" xr:uid="{00000000-0005-0000-0000-00009F100000}"/>
    <cellStyle name="40% - Accent2 2 30" xfId="4297" xr:uid="{00000000-0005-0000-0000-0000A0100000}"/>
    <cellStyle name="40% - Accent2 2 31" xfId="4298" xr:uid="{00000000-0005-0000-0000-0000A1100000}"/>
    <cellStyle name="40% - Accent2 2 32" xfId="4299" xr:uid="{00000000-0005-0000-0000-0000A2100000}"/>
    <cellStyle name="40% - Accent2 2 33" xfId="4300" xr:uid="{00000000-0005-0000-0000-0000A3100000}"/>
    <cellStyle name="40% - Accent2 2 34" xfId="4301" xr:uid="{00000000-0005-0000-0000-0000A4100000}"/>
    <cellStyle name="40% - Accent2 2 35" xfId="4302" xr:uid="{00000000-0005-0000-0000-0000A5100000}"/>
    <cellStyle name="40% - Accent2 2 36" xfId="4303" xr:uid="{00000000-0005-0000-0000-0000A6100000}"/>
    <cellStyle name="40% - Accent2 2 37" xfId="4304" xr:uid="{00000000-0005-0000-0000-0000A7100000}"/>
    <cellStyle name="40% - Accent2 2 38" xfId="4305" xr:uid="{00000000-0005-0000-0000-0000A8100000}"/>
    <cellStyle name="40% - Accent2 2 39" xfId="4306" xr:uid="{00000000-0005-0000-0000-0000A9100000}"/>
    <cellStyle name="40% - Accent2 2 4" xfId="4307" xr:uid="{00000000-0005-0000-0000-0000AA100000}"/>
    <cellStyle name="40% - Accent2 2 4 2" xfId="4308" xr:uid="{00000000-0005-0000-0000-0000AB100000}"/>
    <cellStyle name="40% - Accent2 2 40" xfId="4309" xr:uid="{00000000-0005-0000-0000-0000AC100000}"/>
    <cellStyle name="40% - Accent2 2 41" xfId="4310" xr:uid="{00000000-0005-0000-0000-0000AD100000}"/>
    <cellStyle name="40% - Accent2 2 42" xfId="4311" xr:uid="{00000000-0005-0000-0000-0000AE100000}"/>
    <cellStyle name="40% - Accent2 2 43" xfId="4312" xr:uid="{00000000-0005-0000-0000-0000AF100000}"/>
    <cellStyle name="40% - Accent2 2 44" xfId="4313" xr:uid="{00000000-0005-0000-0000-0000B0100000}"/>
    <cellStyle name="40% - Accent2 2 45" xfId="4314" xr:uid="{00000000-0005-0000-0000-0000B1100000}"/>
    <cellStyle name="40% - Accent2 2 46" xfId="4315" xr:uid="{00000000-0005-0000-0000-0000B2100000}"/>
    <cellStyle name="40% - Accent2 2 47" xfId="4316" xr:uid="{00000000-0005-0000-0000-0000B3100000}"/>
    <cellStyle name="40% - Accent2 2 48" xfId="4317" xr:uid="{00000000-0005-0000-0000-0000B4100000}"/>
    <cellStyle name="40% - Accent2 2 49" xfId="4318" xr:uid="{00000000-0005-0000-0000-0000B5100000}"/>
    <cellStyle name="40% - Accent2 2 5" xfId="4319" xr:uid="{00000000-0005-0000-0000-0000B6100000}"/>
    <cellStyle name="40% - Accent2 2 5 2" xfId="4320" xr:uid="{00000000-0005-0000-0000-0000B7100000}"/>
    <cellStyle name="40% - Accent2 2 50" xfId="4321" xr:uid="{00000000-0005-0000-0000-0000B8100000}"/>
    <cellStyle name="40% - Accent2 2 51" xfId="4322" xr:uid="{00000000-0005-0000-0000-0000B9100000}"/>
    <cellStyle name="40% - Accent2 2 52" xfId="4323" xr:uid="{00000000-0005-0000-0000-0000BA100000}"/>
    <cellStyle name="40% - Accent2 2 53" xfId="4324" xr:uid="{00000000-0005-0000-0000-0000BB100000}"/>
    <cellStyle name="40% - Accent2 2 54" xfId="4325" xr:uid="{00000000-0005-0000-0000-0000BC100000}"/>
    <cellStyle name="40% - Accent2 2 55" xfId="4326" xr:uid="{00000000-0005-0000-0000-0000BD100000}"/>
    <cellStyle name="40% - Accent2 2 56" xfId="4327" xr:uid="{00000000-0005-0000-0000-0000BE100000}"/>
    <cellStyle name="40% - Accent2 2 57" xfId="4328" xr:uid="{00000000-0005-0000-0000-0000BF100000}"/>
    <cellStyle name="40% - Accent2 2 58" xfId="4329" xr:uid="{00000000-0005-0000-0000-0000C0100000}"/>
    <cellStyle name="40% - Accent2 2 59" xfId="4330" xr:uid="{00000000-0005-0000-0000-0000C1100000}"/>
    <cellStyle name="40% - Accent2 2 6" xfId="4331" xr:uid="{00000000-0005-0000-0000-0000C2100000}"/>
    <cellStyle name="40% - Accent2 2 6 2" xfId="4332" xr:uid="{00000000-0005-0000-0000-0000C3100000}"/>
    <cellStyle name="40% - Accent2 2 60" xfId="4333" xr:uid="{00000000-0005-0000-0000-0000C4100000}"/>
    <cellStyle name="40% - Accent2 2 61" xfId="4334" xr:uid="{00000000-0005-0000-0000-0000C5100000}"/>
    <cellStyle name="40% - Accent2 2 62" xfId="4335" xr:uid="{00000000-0005-0000-0000-0000C6100000}"/>
    <cellStyle name="40% - Accent2 2 63" xfId="4336" xr:uid="{00000000-0005-0000-0000-0000C7100000}"/>
    <cellStyle name="40% - Accent2 2 64" xfId="4337" xr:uid="{00000000-0005-0000-0000-0000C8100000}"/>
    <cellStyle name="40% - Accent2 2 65" xfId="4338" xr:uid="{00000000-0005-0000-0000-0000C9100000}"/>
    <cellStyle name="40% - Accent2 2 66" xfId="4339" xr:uid="{00000000-0005-0000-0000-0000CA100000}"/>
    <cellStyle name="40% - Accent2 2 67" xfId="4340" xr:uid="{00000000-0005-0000-0000-0000CB100000}"/>
    <cellStyle name="40% - Accent2 2 68" xfId="4341" xr:uid="{00000000-0005-0000-0000-0000CC100000}"/>
    <cellStyle name="40% - Accent2 2 69" xfId="4342" xr:uid="{00000000-0005-0000-0000-0000CD100000}"/>
    <cellStyle name="40% - Accent2 2 7" xfId="4343" xr:uid="{00000000-0005-0000-0000-0000CE100000}"/>
    <cellStyle name="40% - Accent2 2 7 2" xfId="4344" xr:uid="{00000000-0005-0000-0000-0000CF100000}"/>
    <cellStyle name="40% - Accent2 2 70" xfId="4345" xr:uid="{00000000-0005-0000-0000-0000D0100000}"/>
    <cellStyle name="40% - Accent2 2 71" xfId="4346" xr:uid="{00000000-0005-0000-0000-0000D1100000}"/>
    <cellStyle name="40% - Accent2 2 72" xfId="4347" xr:uid="{00000000-0005-0000-0000-0000D2100000}"/>
    <cellStyle name="40% - Accent2 2 73" xfId="4348" xr:uid="{00000000-0005-0000-0000-0000D3100000}"/>
    <cellStyle name="40% - Accent2 2 74" xfId="4349" xr:uid="{00000000-0005-0000-0000-0000D4100000}"/>
    <cellStyle name="40% - Accent2 2 75" xfId="4350" xr:uid="{00000000-0005-0000-0000-0000D5100000}"/>
    <cellStyle name="40% - Accent2 2 8" xfId="4351" xr:uid="{00000000-0005-0000-0000-0000D6100000}"/>
    <cellStyle name="40% - Accent2 2 8 2" xfId="4352" xr:uid="{00000000-0005-0000-0000-0000D7100000}"/>
    <cellStyle name="40% - Accent2 2 9" xfId="4353" xr:uid="{00000000-0005-0000-0000-0000D8100000}"/>
    <cellStyle name="40% - Accent2 2 9 2" xfId="4354" xr:uid="{00000000-0005-0000-0000-0000D9100000}"/>
    <cellStyle name="40% - Accent2 20" xfId="4355" xr:uid="{00000000-0005-0000-0000-0000DA100000}"/>
    <cellStyle name="40% - Accent2 21" xfId="4356" xr:uid="{00000000-0005-0000-0000-0000DB100000}"/>
    <cellStyle name="40% - Accent2 22" xfId="4357" xr:uid="{00000000-0005-0000-0000-0000DC100000}"/>
    <cellStyle name="40% - Accent2 23" xfId="4358" xr:uid="{00000000-0005-0000-0000-0000DD100000}"/>
    <cellStyle name="40% - Accent2 24" xfId="4359" xr:uid="{00000000-0005-0000-0000-0000DE100000}"/>
    <cellStyle name="40% - Accent2 25" xfId="4360" xr:uid="{00000000-0005-0000-0000-0000DF100000}"/>
    <cellStyle name="40% - Accent2 26" xfId="4361" xr:uid="{00000000-0005-0000-0000-0000E0100000}"/>
    <cellStyle name="40% - Accent2 27" xfId="4362" xr:uid="{00000000-0005-0000-0000-0000E1100000}"/>
    <cellStyle name="40% - Accent2 28" xfId="4363" xr:uid="{00000000-0005-0000-0000-0000E2100000}"/>
    <cellStyle name="40% - Accent2 29" xfId="4364" xr:uid="{00000000-0005-0000-0000-0000E3100000}"/>
    <cellStyle name="40% - Accent2 3" xfId="4365" xr:uid="{00000000-0005-0000-0000-0000E4100000}"/>
    <cellStyle name="40% - Accent2 3 10" xfId="4366" xr:uid="{00000000-0005-0000-0000-0000E5100000}"/>
    <cellStyle name="40% - Accent2 3 11" xfId="4367" xr:uid="{00000000-0005-0000-0000-0000E6100000}"/>
    <cellStyle name="40% - Accent2 3 12" xfId="4368" xr:uid="{00000000-0005-0000-0000-0000E7100000}"/>
    <cellStyle name="40% - Accent2 3 13" xfId="4369" xr:uid="{00000000-0005-0000-0000-0000E8100000}"/>
    <cellStyle name="40% - Accent2 3 14" xfId="4370" xr:uid="{00000000-0005-0000-0000-0000E9100000}"/>
    <cellStyle name="40% - Accent2 3 15" xfId="4371" xr:uid="{00000000-0005-0000-0000-0000EA100000}"/>
    <cellStyle name="40% - Accent2 3 16" xfId="4372" xr:uid="{00000000-0005-0000-0000-0000EB100000}"/>
    <cellStyle name="40% - Accent2 3 17" xfId="4373" xr:uid="{00000000-0005-0000-0000-0000EC100000}"/>
    <cellStyle name="40% - Accent2 3 18" xfId="4374" xr:uid="{00000000-0005-0000-0000-0000ED100000}"/>
    <cellStyle name="40% - Accent2 3 19" xfId="4375" xr:uid="{00000000-0005-0000-0000-0000EE100000}"/>
    <cellStyle name="40% - Accent2 3 2" xfId="4376" xr:uid="{00000000-0005-0000-0000-0000EF100000}"/>
    <cellStyle name="40% - Accent2 3 2 2" xfId="4377" xr:uid="{00000000-0005-0000-0000-0000F0100000}"/>
    <cellStyle name="40% - Accent2 3 20" xfId="4378" xr:uid="{00000000-0005-0000-0000-0000F1100000}"/>
    <cellStyle name="40% - Accent2 3 21" xfId="4379" xr:uid="{00000000-0005-0000-0000-0000F2100000}"/>
    <cellStyle name="40% - Accent2 3 22" xfId="4380" xr:uid="{00000000-0005-0000-0000-0000F3100000}"/>
    <cellStyle name="40% - Accent2 3 23" xfId="4381" xr:uid="{00000000-0005-0000-0000-0000F4100000}"/>
    <cellStyle name="40% - Accent2 3 24" xfId="4382" xr:uid="{00000000-0005-0000-0000-0000F5100000}"/>
    <cellStyle name="40% - Accent2 3 25" xfId="4383" xr:uid="{00000000-0005-0000-0000-0000F6100000}"/>
    <cellStyle name="40% - Accent2 3 26" xfId="4384" xr:uid="{00000000-0005-0000-0000-0000F7100000}"/>
    <cellStyle name="40% - Accent2 3 27" xfId="4385" xr:uid="{00000000-0005-0000-0000-0000F8100000}"/>
    <cellStyle name="40% - Accent2 3 28" xfId="4386" xr:uid="{00000000-0005-0000-0000-0000F9100000}"/>
    <cellStyle name="40% - Accent2 3 29" xfId="4387" xr:uid="{00000000-0005-0000-0000-0000FA100000}"/>
    <cellStyle name="40% - Accent2 3 3" xfId="4388" xr:uid="{00000000-0005-0000-0000-0000FB100000}"/>
    <cellStyle name="40% - Accent2 3 3 2" xfId="4389" xr:uid="{00000000-0005-0000-0000-0000FC100000}"/>
    <cellStyle name="40% - Accent2 3 30" xfId="4390" xr:uid="{00000000-0005-0000-0000-0000FD100000}"/>
    <cellStyle name="40% - Accent2 3 31" xfId="4391" xr:uid="{00000000-0005-0000-0000-0000FE100000}"/>
    <cellStyle name="40% - Accent2 3 32" xfId="4392" xr:uid="{00000000-0005-0000-0000-0000FF100000}"/>
    <cellStyle name="40% - Accent2 3 33" xfId="4393" xr:uid="{00000000-0005-0000-0000-000000110000}"/>
    <cellStyle name="40% - Accent2 3 34" xfId="4394" xr:uid="{00000000-0005-0000-0000-000001110000}"/>
    <cellStyle name="40% - Accent2 3 35" xfId="4395" xr:uid="{00000000-0005-0000-0000-000002110000}"/>
    <cellStyle name="40% - Accent2 3 36" xfId="4396" xr:uid="{00000000-0005-0000-0000-000003110000}"/>
    <cellStyle name="40% - Accent2 3 37" xfId="4397" xr:uid="{00000000-0005-0000-0000-000004110000}"/>
    <cellStyle name="40% - Accent2 3 38" xfId="4398" xr:uid="{00000000-0005-0000-0000-000005110000}"/>
    <cellStyle name="40% - Accent2 3 39" xfId="4399" xr:uid="{00000000-0005-0000-0000-000006110000}"/>
    <cellStyle name="40% - Accent2 3 4" xfId="4400" xr:uid="{00000000-0005-0000-0000-000007110000}"/>
    <cellStyle name="40% - Accent2 3 4 2" xfId="4401" xr:uid="{00000000-0005-0000-0000-000008110000}"/>
    <cellStyle name="40% - Accent2 3 40" xfId="4402" xr:uid="{00000000-0005-0000-0000-000009110000}"/>
    <cellStyle name="40% - Accent2 3 41" xfId="4403" xr:uid="{00000000-0005-0000-0000-00000A110000}"/>
    <cellStyle name="40% - Accent2 3 42" xfId="4404" xr:uid="{00000000-0005-0000-0000-00000B110000}"/>
    <cellStyle name="40% - Accent2 3 43" xfId="4405" xr:uid="{00000000-0005-0000-0000-00000C110000}"/>
    <cellStyle name="40% - Accent2 3 44" xfId="4406" xr:uid="{00000000-0005-0000-0000-00000D110000}"/>
    <cellStyle name="40% - Accent2 3 45" xfId="4407" xr:uid="{00000000-0005-0000-0000-00000E110000}"/>
    <cellStyle name="40% - Accent2 3 46" xfId="4408" xr:uid="{00000000-0005-0000-0000-00000F110000}"/>
    <cellStyle name="40% - Accent2 3 47" xfId="4409" xr:uid="{00000000-0005-0000-0000-000010110000}"/>
    <cellStyle name="40% - Accent2 3 48" xfId="4410" xr:uid="{00000000-0005-0000-0000-000011110000}"/>
    <cellStyle name="40% - Accent2 3 49" xfId="4411" xr:uid="{00000000-0005-0000-0000-000012110000}"/>
    <cellStyle name="40% - Accent2 3 5" xfId="4412" xr:uid="{00000000-0005-0000-0000-000013110000}"/>
    <cellStyle name="40% - Accent2 3 5 2" xfId="4413" xr:uid="{00000000-0005-0000-0000-000014110000}"/>
    <cellStyle name="40% - Accent2 3 50" xfId="4414" xr:uid="{00000000-0005-0000-0000-000015110000}"/>
    <cellStyle name="40% - Accent2 3 51" xfId="4415" xr:uid="{00000000-0005-0000-0000-000016110000}"/>
    <cellStyle name="40% - Accent2 3 52" xfId="4416" xr:uid="{00000000-0005-0000-0000-000017110000}"/>
    <cellStyle name="40% - Accent2 3 53" xfId="4417" xr:uid="{00000000-0005-0000-0000-000018110000}"/>
    <cellStyle name="40% - Accent2 3 54" xfId="4418" xr:uid="{00000000-0005-0000-0000-000019110000}"/>
    <cellStyle name="40% - Accent2 3 55" xfId="4419" xr:uid="{00000000-0005-0000-0000-00001A110000}"/>
    <cellStyle name="40% - Accent2 3 56" xfId="4420" xr:uid="{00000000-0005-0000-0000-00001B110000}"/>
    <cellStyle name="40% - Accent2 3 57" xfId="4421" xr:uid="{00000000-0005-0000-0000-00001C110000}"/>
    <cellStyle name="40% - Accent2 3 58" xfId="4422" xr:uid="{00000000-0005-0000-0000-00001D110000}"/>
    <cellStyle name="40% - Accent2 3 59" xfId="4423" xr:uid="{00000000-0005-0000-0000-00001E110000}"/>
    <cellStyle name="40% - Accent2 3 6" xfId="4424" xr:uid="{00000000-0005-0000-0000-00001F110000}"/>
    <cellStyle name="40% - Accent2 3 6 2" xfId="4425" xr:uid="{00000000-0005-0000-0000-000020110000}"/>
    <cellStyle name="40% - Accent2 3 60" xfId="4426" xr:uid="{00000000-0005-0000-0000-000021110000}"/>
    <cellStyle name="40% - Accent2 3 61" xfId="4427" xr:uid="{00000000-0005-0000-0000-000022110000}"/>
    <cellStyle name="40% - Accent2 3 62" xfId="4428" xr:uid="{00000000-0005-0000-0000-000023110000}"/>
    <cellStyle name="40% - Accent2 3 63" xfId="4429" xr:uid="{00000000-0005-0000-0000-000024110000}"/>
    <cellStyle name="40% - Accent2 3 64" xfId="4430" xr:uid="{00000000-0005-0000-0000-000025110000}"/>
    <cellStyle name="40% - Accent2 3 65" xfId="4431" xr:uid="{00000000-0005-0000-0000-000026110000}"/>
    <cellStyle name="40% - Accent2 3 66" xfId="4432" xr:uid="{00000000-0005-0000-0000-000027110000}"/>
    <cellStyle name="40% - Accent2 3 67" xfId="4433" xr:uid="{00000000-0005-0000-0000-000028110000}"/>
    <cellStyle name="40% - Accent2 3 68" xfId="4434" xr:uid="{00000000-0005-0000-0000-000029110000}"/>
    <cellStyle name="40% - Accent2 3 69" xfId="4435" xr:uid="{00000000-0005-0000-0000-00002A110000}"/>
    <cellStyle name="40% - Accent2 3 7" xfId="4436" xr:uid="{00000000-0005-0000-0000-00002B110000}"/>
    <cellStyle name="40% - Accent2 3 7 2" xfId="4437" xr:uid="{00000000-0005-0000-0000-00002C110000}"/>
    <cellStyle name="40% - Accent2 3 70" xfId="4438" xr:uid="{00000000-0005-0000-0000-00002D110000}"/>
    <cellStyle name="40% - Accent2 3 71" xfId="4439" xr:uid="{00000000-0005-0000-0000-00002E110000}"/>
    <cellStyle name="40% - Accent2 3 72" xfId="4440" xr:uid="{00000000-0005-0000-0000-00002F110000}"/>
    <cellStyle name="40% - Accent2 3 73" xfId="4441" xr:uid="{00000000-0005-0000-0000-000030110000}"/>
    <cellStyle name="40% - Accent2 3 74" xfId="4442" xr:uid="{00000000-0005-0000-0000-000031110000}"/>
    <cellStyle name="40% - Accent2 3 75" xfId="4443" xr:uid="{00000000-0005-0000-0000-000032110000}"/>
    <cellStyle name="40% - Accent2 3 8" xfId="4444" xr:uid="{00000000-0005-0000-0000-000033110000}"/>
    <cellStyle name="40% - Accent2 3 8 2" xfId="4445" xr:uid="{00000000-0005-0000-0000-000034110000}"/>
    <cellStyle name="40% - Accent2 3 9" xfId="4446" xr:uid="{00000000-0005-0000-0000-000035110000}"/>
    <cellStyle name="40% - Accent2 3 9 2" xfId="4447" xr:uid="{00000000-0005-0000-0000-000036110000}"/>
    <cellStyle name="40% - Accent2 30" xfId="4448" xr:uid="{00000000-0005-0000-0000-000037110000}"/>
    <cellStyle name="40% - Accent2 31" xfId="4449" xr:uid="{00000000-0005-0000-0000-000038110000}"/>
    <cellStyle name="40% - Accent2 32" xfId="4450" xr:uid="{00000000-0005-0000-0000-000039110000}"/>
    <cellStyle name="40% - Accent2 33" xfId="4451" xr:uid="{00000000-0005-0000-0000-00003A110000}"/>
    <cellStyle name="40% - Accent2 34" xfId="4452" xr:uid="{00000000-0005-0000-0000-00003B110000}"/>
    <cellStyle name="40% - Accent2 35" xfId="4453" xr:uid="{00000000-0005-0000-0000-00003C110000}"/>
    <cellStyle name="40% - Accent2 36" xfId="4454" xr:uid="{00000000-0005-0000-0000-00003D110000}"/>
    <cellStyle name="40% - Accent2 37" xfId="4455" xr:uid="{00000000-0005-0000-0000-00003E110000}"/>
    <cellStyle name="40% - Accent2 38" xfId="4456" xr:uid="{00000000-0005-0000-0000-00003F110000}"/>
    <cellStyle name="40% - Accent2 39" xfId="4457" xr:uid="{00000000-0005-0000-0000-000040110000}"/>
    <cellStyle name="40% - Accent2 4" xfId="4458" xr:uid="{00000000-0005-0000-0000-000041110000}"/>
    <cellStyle name="40% - Accent2 4 10" xfId="4459" xr:uid="{00000000-0005-0000-0000-000042110000}"/>
    <cellStyle name="40% - Accent2 4 11" xfId="4460" xr:uid="{00000000-0005-0000-0000-000043110000}"/>
    <cellStyle name="40% - Accent2 4 12" xfId="4461" xr:uid="{00000000-0005-0000-0000-000044110000}"/>
    <cellStyle name="40% - Accent2 4 13" xfId="4462" xr:uid="{00000000-0005-0000-0000-000045110000}"/>
    <cellStyle name="40% - Accent2 4 14" xfId="4463" xr:uid="{00000000-0005-0000-0000-000046110000}"/>
    <cellStyle name="40% - Accent2 4 15" xfId="4464" xr:uid="{00000000-0005-0000-0000-000047110000}"/>
    <cellStyle name="40% - Accent2 4 16" xfId="4465" xr:uid="{00000000-0005-0000-0000-000048110000}"/>
    <cellStyle name="40% - Accent2 4 17" xfId="4466" xr:uid="{00000000-0005-0000-0000-000049110000}"/>
    <cellStyle name="40% - Accent2 4 18" xfId="4467" xr:uid="{00000000-0005-0000-0000-00004A110000}"/>
    <cellStyle name="40% - Accent2 4 19" xfId="4468" xr:uid="{00000000-0005-0000-0000-00004B110000}"/>
    <cellStyle name="40% - Accent2 4 2" xfId="4469" xr:uid="{00000000-0005-0000-0000-00004C110000}"/>
    <cellStyle name="40% - Accent2 4 2 2" xfId="4470" xr:uid="{00000000-0005-0000-0000-00004D110000}"/>
    <cellStyle name="40% - Accent2 4 20" xfId="4471" xr:uid="{00000000-0005-0000-0000-00004E110000}"/>
    <cellStyle name="40% - Accent2 4 21" xfId="4472" xr:uid="{00000000-0005-0000-0000-00004F110000}"/>
    <cellStyle name="40% - Accent2 4 22" xfId="4473" xr:uid="{00000000-0005-0000-0000-000050110000}"/>
    <cellStyle name="40% - Accent2 4 23" xfId="4474" xr:uid="{00000000-0005-0000-0000-000051110000}"/>
    <cellStyle name="40% - Accent2 4 24" xfId="4475" xr:uid="{00000000-0005-0000-0000-000052110000}"/>
    <cellStyle name="40% - Accent2 4 25" xfId="4476" xr:uid="{00000000-0005-0000-0000-000053110000}"/>
    <cellStyle name="40% - Accent2 4 26" xfId="4477" xr:uid="{00000000-0005-0000-0000-000054110000}"/>
    <cellStyle name="40% - Accent2 4 27" xfId="4478" xr:uid="{00000000-0005-0000-0000-000055110000}"/>
    <cellStyle name="40% - Accent2 4 28" xfId="4479" xr:uid="{00000000-0005-0000-0000-000056110000}"/>
    <cellStyle name="40% - Accent2 4 29" xfId="4480" xr:uid="{00000000-0005-0000-0000-000057110000}"/>
    <cellStyle name="40% - Accent2 4 3" xfId="4481" xr:uid="{00000000-0005-0000-0000-000058110000}"/>
    <cellStyle name="40% - Accent2 4 3 2" xfId="4482" xr:uid="{00000000-0005-0000-0000-000059110000}"/>
    <cellStyle name="40% - Accent2 4 30" xfId="4483" xr:uid="{00000000-0005-0000-0000-00005A110000}"/>
    <cellStyle name="40% - Accent2 4 31" xfId="4484" xr:uid="{00000000-0005-0000-0000-00005B110000}"/>
    <cellStyle name="40% - Accent2 4 32" xfId="4485" xr:uid="{00000000-0005-0000-0000-00005C110000}"/>
    <cellStyle name="40% - Accent2 4 33" xfId="4486" xr:uid="{00000000-0005-0000-0000-00005D110000}"/>
    <cellStyle name="40% - Accent2 4 34" xfId="4487" xr:uid="{00000000-0005-0000-0000-00005E110000}"/>
    <cellStyle name="40% - Accent2 4 35" xfId="4488" xr:uid="{00000000-0005-0000-0000-00005F110000}"/>
    <cellStyle name="40% - Accent2 4 36" xfId="4489" xr:uid="{00000000-0005-0000-0000-000060110000}"/>
    <cellStyle name="40% - Accent2 4 37" xfId="4490" xr:uid="{00000000-0005-0000-0000-000061110000}"/>
    <cellStyle name="40% - Accent2 4 38" xfId="4491" xr:uid="{00000000-0005-0000-0000-000062110000}"/>
    <cellStyle name="40% - Accent2 4 39" xfId="4492" xr:uid="{00000000-0005-0000-0000-000063110000}"/>
    <cellStyle name="40% - Accent2 4 4" xfId="4493" xr:uid="{00000000-0005-0000-0000-000064110000}"/>
    <cellStyle name="40% - Accent2 4 4 2" xfId="4494" xr:uid="{00000000-0005-0000-0000-000065110000}"/>
    <cellStyle name="40% - Accent2 4 40" xfId="4495" xr:uid="{00000000-0005-0000-0000-000066110000}"/>
    <cellStyle name="40% - Accent2 4 41" xfId="4496" xr:uid="{00000000-0005-0000-0000-000067110000}"/>
    <cellStyle name="40% - Accent2 4 42" xfId="4497" xr:uid="{00000000-0005-0000-0000-000068110000}"/>
    <cellStyle name="40% - Accent2 4 43" xfId="4498" xr:uid="{00000000-0005-0000-0000-000069110000}"/>
    <cellStyle name="40% - Accent2 4 44" xfId="4499" xr:uid="{00000000-0005-0000-0000-00006A110000}"/>
    <cellStyle name="40% - Accent2 4 45" xfId="4500" xr:uid="{00000000-0005-0000-0000-00006B110000}"/>
    <cellStyle name="40% - Accent2 4 46" xfId="4501" xr:uid="{00000000-0005-0000-0000-00006C110000}"/>
    <cellStyle name="40% - Accent2 4 47" xfId="4502" xr:uid="{00000000-0005-0000-0000-00006D110000}"/>
    <cellStyle name="40% - Accent2 4 48" xfId="4503" xr:uid="{00000000-0005-0000-0000-00006E110000}"/>
    <cellStyle name="40% - Accent2 4 49" xfId="4504" xr:uid="{00000000-0005-0000-0000-00006F110000}"/>
    <cellStyle name="40% - Accent2 4 5" xfId="4505" xr:uid="{00000000-0005-0000-0000-000070110000}"/>
    <cellStyle name="40% - Accent2 4 5 2" xfId="4506" xr:uid="{00000000-0005-0000-0000-000071110000}"/>
    <cellStyle name="40% - Accent2 4 50" xfId="4507" xr:uid="{00000000-0005-0000-0000-000072110000}"/>
    <cellStyle name="40% - Accent2 4 51" xfId="4508" xr:uid="{00000000-0005-0000-0000-000073110000}"/>
    <cellStyle name="40% - Accent2 4 52" xfId="4509" xr:uid="{00000000-0005-0000-0000-000074110000}"/>
    <cellStyle name="40% - Accent2 4 53" xfId="4510" xr:uid="{00000000-0005-0000-0000-000075110000}"/>
    <cellStyle name="40% - Accent2 4 54" xfId="4511" xr:uid="{00000000-0005-0000-0000-000076110000}"/>
    <cellStyle name="40% - Accent2 4 55" xfId="4512" xr:uid="{00000000-0005-0000-0000-000077110000}"/>
    <cellStyle name="40% - Accent2 4 56" xfId="4513" xr:uid="{00000000-0005-0000-0000-000078110000}"/>
    <cellStyle name="40% - Accent2 4 57" xfId="4514" xr:uid="{00000000-0005-0000-0000-000079110000}"/>
    <cellStyle name="40% - Accent2 4 58" xfId="4515" xr:uid="{00000000-0005-0000-0000-00007A110000}"/>
    <cellStyle name="40% - Accent2 4 59" xfId="4516" xr:uid="{00000000-0005-0000-0000-00007B110000}"/>
    <cellStyle name="40% - Accent2 4 6" xfId="4517" xr:uid="{00000000-0005-0000-0000-00007C110000}"/>
    <cellStyle name="40% - Accent2 4 6 2" xfId="4518" xr:uid="{00000000-0005-0000-0000-00007D110000}"/>
    <cellStyle name="40% - Accent2 4 60" xfId="4519" xr:uid="{00000000-0005-0000-0000-00007E110000}"/>
    <cellStyle name="40% - Accent2 4 61" xfId="4520" xr:uid="{00000000-0005-0000-0000-00007F110000}"/>
    <cellStyle name="40% - Accent2 4 62" xfId="4521" xr:uid="{00000000-0005-0000-0000-000080110000}"/>
    <cellStyle name="40% - Accent2 4 63" xfId="4522" xr:uid="{00000000-0005-0000-0000-000081110000}"/>
    <cellStyle name="40% - Accent2 4 64" xfId="4523" xr:uid="{00000000-0005-0000-0000-000082110000}"/>
    <cellStyle name="40% - Accent2 4 65" xfId="4524" xr:uid="{00000000-0005-0000-0000-000083110000}"/>
    <cellStyle name="40% - Accent2 4 66" xfId="4525" xr:uid="{00000000-0005-0000-0000-000084110000}"/>
    <cellStyle name="40% - Accent2 4 67" xfId="4526" xr:uid="{00000000-0005-0000-0000-000085110000}"/>
    <cellStyle name="40% - Accent2 4 68" xfId="4527" xr:uid="{00000000-0005-0000-0000-000086110000}"/>
    <cellStyle name="40% - Accent2 4 69" xfId="4528" xr:uid="{00000000-0005-0000-0000-000087110000}"/>
    <cellStyle name="40% - Accent2 4 7" xfId="4529" xr:uid="{00000000-0005-0000-0000-000088110000}"/>
    <cellStyle name="40% - Accent2 4 7 2" xfId="4530" xr:uid="{00000000-0005-0000-0000-000089110000}"/>
    <cellStyle name="40% - Accent2 4 70" xfId="4531" xr:uid="{00000000-0005-0000-0000-00008A110000}"/>
    <cellStyle name="40% - Accent2 4 71" xfId="4532" xr:uid="{00000000-0005-0000-0000-00008B110000}"/>
    <cellStyle name="40% - Accent2 4 72" xfId="4533" xr:uid="{00000000-0005-0000-0000-00008C110000}"/>
    <cellStyle name="40% - Accent2 4 73" xfId="4534" xr:uid="{00000000-0005-0000-0000-00008D110000}"/>
    <cellStyle name="40% - Accent2 4 74" xfId="4535" xr:uid="{00000000-0005-0000-0000-00008E110000}"/>
    <cellStyle name="40% - Accent2 4 75" xfId="4536" xr:uid="{00000000-0005-0000-0000-00008F110000}"/>
    <cellStyle name="40% - Accent2 4 8" xfId="4537" xr:uid="{00000000-0005-0000-0000-000090110000}"/>
    <cellStyle name="40% - Accent2 4 8 2" xfId="4538" xr:uid="{00000000-0005-0000-0000-000091110000}"/>
    <cellStyle name="40% - Accent2 4 9" xfId="4539" xr:uid="{00000000-0005-0000-0000-000092110000}"/>
    <cellStyle name="40% - Accent2 4 9 2" xfId="4540" xr:uid="{00000000-0005-0000-0000-000093110000}"/>
    <cellStyle name="40% - Accent2 40" xfId="4541" xr:uid="{00000000-0005-0000-0000-000094110000}"/>
    <cellStyle name="40% - Accent2 41" xfId="4542" xr:uid="{00000000-0005-0000-0000-000095110000}"/>
    <cellStyle name="40% - Accent2 42" xfId="4543" xr:uid="{00000000-0005-0000-0000-000096110000}"/>
    <cellStyle name="40% - Accent2 43" xfId="4544" xr:uid="{00000000-0005-0000-0000-000097110000}"/>
    <cellStyle name="40% - Accent2 44" xfId="4545" xr:uid="{00000000-0005-0000-0000-000098110000}"/>
    <cellStyle name="40% - Accent2 45" xfId="4546" xr:uid="{00000000-0005-0000-0000-000099110000}"/>
    <cellStyle name="40% - Accent2 46" xfId="4547" xr:uid="{00000000-0005-0000-0000-00009A110000}"/>
    <cellStyle name="40% - Accent2 47" xfId="4548" xr:uid="{00000000-0005-0000-0000-00009B110000}"/>
    <cellStyle name="40% - Accent2 48" xfId="4549" xr:uid="{00000000-0005-0000-0000-00009C110000}"/>
    <cellStyle name="40% - Accent2 49" xfId="4550" xr:uid="{00000000-0005-0000-0000-00009D110000}"/>
    <cellStyle name="40% - Accent2 5" xfId="4551" xr:uid="{00000000-0005-0000-0000-00009E110000}"/>
    <cellStyle name="40% - Accent2 5 10" xfId="4552" xr:uid="{00000000-0005-0000-0000-00009F110000}"/>
    <cellStyle name="40% - Accent2 5 11" xfId="4553" xr:uid="{00000000-0005-0000-0000-0000A0110000}"/>
    <cellStyle name="40% - Accent2 5 12" xfId="4554" xr:uid="{00000000-0005-0000-0000-0000A1110000}"/>
    <cellStyle name="40% - Accent2 5 13" xfId="4555" xr:uid="{00000000-0005-0000-0000-0000A2110000}"/>
    <cellStyle name="40% - Accent2 5 14" xfId="4556" xr:uid="{00000000-0005-0000-0000-0000A3110000}"/>
    <cellStyle name="40% - Accent2 5 15" xfId="4557" xr:uid="{00000000-0005-0000-0000-0000A4110000}"/>
    <cellStyle name="40% - Accent2 5 16" xfId="4558" xr:uid="{00000000-0005-0000-0000-0000A5110000}"/>
    <cellStyle name="40% - Accent2 5 17" xfId="4559" xr:uid="{00000000-0005-0000-0000-0000A6110000}"/>
    <cellStyle name="40% - Accent2 5 18" xfId="4560" xr:uid="{00000000-0005-0000-0000-0000A7110000}"/>
    <cellStyle name="40% - Accent2 5 19" xfId="4561" xr:uid="{00000000-0005-0000-0000-0000A8110000}"/>
    <cellStyle name="40% - Accent2 5 2" xfId="4562" xr:uid="{00000000-0005-0000-0000-0000A9110000}"/>
    <cellStyle name="40% - Accent2 5 2 2" xfId="4563" xr:uid="{00000000-0005-0000-0000-0000AA110000}"/>
    <cellStyle name="40% - Accent2 5 20" xfId="4564" xr:uid="{00000000-0005-0000-0000-0000AB110000}"/>
    <cellStyle name="40% - Accent2 5 21" xfId="4565" xr:uid="{00000000-0005-0000-0000-0000AC110000}"/>
    <cellStyle name="40% - Accent2 5 22" xfId="4566" xr:uid="{00000000-0005-0000-0000-0000AD110000}"/>
    <cellStyle name="40% - Accent2 5 23" xfId="4567" xr:uid="{00000000-0005-0000-0000-0000AE110000}"/>
    <cellStyle name="40% - Accent2 5 24" xfId="4568" xr:uid="{00000000-0005-0000-0000-0000AF110000}"/>
    <cellStyle name="40% - Accent2 5 25" xfId="4569" xr:uid="{00000000-0005-0000-0000-0000B0110000}"/>
    <cellStyle name="40% - Accent2 5 26" xfId="4570" xr:uid="{00000000-0005-0000-0000-0000B1110000}"/>
    <cellStyle name="40% - Accent2 5 27" xfId="4571" xr:uid="{00000000-0005-0000-0000-0000B2110000}"/>
    <cellStyle name="40% - Accent2 5 28" xfId="4572" xr:uid="{00000000-0005-0000-0000-0000B3110000}"/>
    <cellStyle name="40% - Accent2 5 29" xfId="4573" xr:uid="{00000000-0005-0000-0000-0000B4110000}"/>
    <cellStyle name="40% - Accent2 5 3" xfId="4574" xr:uid="{00000000-0005-0000-0000-0000B5110000}"/>
    <cellStyle name="40% - Accent2 5 30" xfId="4575" xr:uid="{00000000-0005-0000-0000-0000B6110000}"/>
    <cellStyle name="40% - Accent2 5 31" xfId="4576" xr:uid="{00000000-0005-0000-0000-0000B7110000}"/>
    <cellStyle name="40% - Accent2 5 32" xfId="4577" xr:uid="{00000000-0005-0000-0000-0000B8110000}"/>
    <cellStyle name="40% - Accent2 5 33" xfId="4578" xr:uid="{00000000-0005-0000-0000-0000B9110000}"/>
    <cellStyle name="40% - Accent2 5 34" xfId="4579" xr:uid="{00000000-0005-0000-0000-0000BA110000}"/>
    <cellStyle name="40% - Accent2 5 35" xfId="4580" xr:uid="{00000000-0005-0000-0000-0000BB110000}"/>
    <cellStyle name="40% - Accent2 5 36" xfId="4581" xr:uid="{00000000-0005-0000-0000-0000BC110000}"/>
    <cellStyle name="40% - Accent2 5 37" xfId="4582" xr:uid="{00000000-0005-0000-0000-0000BD110000}"/>
    <cellStyle name="40% - Accent2 5 38" xfId="4583" xr:uid="{00000000-0005-0000-0000-0000BE110000}"/>
    <cellStyle name="40% - Accent2 5 39" xfId="4584" xr:uid="{00000000-0005-0000-0000-0000BF110000}"/>
    <cellStyle name="40% - Accent2 5 4" xfId="4585" xr:uid="{00000000-0005-0000-0000-0000C0110000}"/>
    <cellStyle name="40% - Accent2 5 5" xfId="4586" xr:uid="{00000000-0005-0000-0000-0000C1110000}"/>
    <cellStyle name="40% - Accent2 5 6" xfId="4587" xr:uid="{00000000-0005-0000-0000-0000C2110000}"/>
    <cellStyle name="40% - Accent2 5 7" xfId="4588" xr:uid="{00000000-0005-0000-0000-0000C3110000}"/>
    <cellStyle name="40% - Accent2 5 8" xfId="4589" xr:uid="{00000000-0005-0000-0000-0000C4110000}"/>
    <cellStyle name="40% - Accent2 5 9" xfId="4590" xr:uid="{00000000-0005-0000-0000-0000C5110000}"/>
    <cellStyle name="40% - Accent2 50" xfId="4591" xr:uid="{00000000-0005-0000-0000-0000C6110000}"/>
    <cellStyle name="40% - Accent2 51" xfId="4592" xr:uid="{00000000-0005-0000-0000-0000C7110000}"/>
    <cellStyle name="40% - Accent2 52" xfId="4593" xr:uid="{00000000-0005-0000-0000-0000C8110000}"/>
    <cellStyle name="40% - Accent2 53" xfId="4594" xr:uid="{00000000-0005-0000-0000-0000C9110000}"/>
    <cellStyle name="40% - Accent2 54" xfId="4595" xr:uid="{00000000-0005-0000-0000-0000CA110000}"/>
    <cellStyle name="40% - Accent2 55" xfId="4596" xr:uid="{00000000-0005-0000-0000-0000CB110000}"/>
    <cellStyle name="40% - Accent2 56" xfId="4597" xr:uid="{00000000-0005-0000-0000-0000CC110000}"/>
    <cellStyle name="40% - Accent2 57" xfId="4598" xr:uid="{00000000-0005-0000-0000-0000CD110000}"/>
    <cellStyle name="40% - Accent2 58" xfId="4599" xr:uid="{00000000-0005-0000-0000-0000CE110000}"/>
    <cellStyle name="40% - Accent2 59" xfId="4600" xr:uid="{00000000-0005-0000-0000-0000CF110000}"/>
    <cellStyle name="40% - Accent2 6" xfId="4601" xr:uid="{00000000-0005-0000-0000-0000D0110000}"/>
    <cellStyle name="40% - Accent2 6 10" xfId="4602" xr:uid="{00000000-0005-0000-0000-0000D1110000}"/>
    <cellStyle name="40% - Accent2 6 11" xfId="4603" xr:uid="{00000000-0005-0000-0000-0000D2110000}"/>
    <cellStyle name="40% - Accent2 6 12" xfId="4604" xr:uid="{00000000-0005-0000-0000-0000D3110000}"/>
    <cellStyle name="40% - Accent2 6 13" xfId="4605" xr:uid="{00000000-0005-0000-0000-0000D4110000}"/>
    <cellStyle name="40% - Accent2 6 14" xfId="4606" xr:uid="{00000000-0005-0000-0000-0000D5110000}"/>
    <cellStyle name="40% - Accent2 6 15" xfId="4607" xr:uid="{00000000-0005-0000-0000-0000D6110000}"/>
    <cellStyle name="40% - Accent2 6 16" xfId="4608" xr:uid="{00000000-0005-0000-0000-0000D7110000}"/>
    <cellStyle name="40% - Accent2 6 17" xfId="4609" xr:uid="{00000000-0005-0000-0000-0000D8110000}"/>
    <cellStyle name="40% - Accent2 6 18" xfId="4610" xr:uid="{00000000-0005-0000-0000-0000D9110000}"/>
    <cellStyle name="40% - Accent2 6 19" xfId="4611" xr:uid="{00000000-0005-0000-0000-0000DA110000}"/>
    <cellStyle name="40% - Accent2 6 2" xfId="4612" xr:uid="{00000000-0005-0000-0000-0000DB110000}"/>
    <cellStyle name="40% - Accent2 6 20" xfId="4613" xr:uid="{00000000-0005-0000-0000-0000DC110000}"/>
    <cellStyle name="40% - Accent2 6 21" xfId="4614" xr:uid="{00000000-0005-0000-0000-0000DD110000}"/>
    <cellStyle name="40% - Accent2 6 22" xfId="4615" xr:uid="{00000000-0005-0000-0000-0000DE110000}"/>
    <cellStyle name="40% - Accent2 6 23" xfId="4616" xr:uid="{00000000-0005-0000-0000-0000DF110000}"/>
    <cellStyle name="40% - Accent2 6 24" xfId="4617" xr:uid="{00000000-0005-0000-0000-0000E0110000}"/>
    <cellStyle name="40% - Accent2 6 25" xfId="4618" xr:uid="{00000000-0005-0000-0000-0000E1110000}"/>
    <cellStyle name="40% - Accent2 6 26" xfId="4619" xr:uid="{00000000-0005-0000-0000-0000E2110000}"/>
    <cellStyle name="40% - Accent2 6 27" xfId="4620" xr:uid="{00000000-0005-0000-0000-0000E3110000}"/>
    <cellStyle name="40% - Accent2 6 28" xfId="4621" xr:uid="{00000000-0005-0000-0000-0000E4110000}"/>
    <cellStyle name="40% - Accent2 6 29" xfId="4622" xr:uid="{00000000-0005-0000-0000-0000E5110000}"/>
    <cellStyle name="40% - Accent2 6 3" xfId="4623" xr:uid="{00000000-0005-0000-0000-0000E6110000}"/>
    <cellStyle name="40% - Accent2 6 30" xfId="4624" xr:uid="{00000000-0005-0000-0000-0000E7110000}"/>
    <cellStyle name="40% - Accent2 6 31" xfId="4625" xr:uid="{00000000-0005-0000-0000-0000E8110000}"/>
    <cellStyle name="40% - Accent2 6 32" xfId="4626" xr:uid="{00000000-0005-0000-0000-0000E9110000}"/>
    <cellStyle name="40% - Accent2 6 33" xfId="4627" xr:uid="{00000000-0005-0000-0000-0000EA110000}"/>
    <cellStyle name="40% - Accent2 6 34" xfId="4628" xr:uid="{00000000-0005-0000-0000-0000EB110000}"/>
    <cellStyle name="40% - Accent2 6 35" xfId="4629" xr:uid="{00000000-0005-0000-0000-0000EC110000}"/>
    <cellStyle name="40% - Accent2 6 36" xfId="4630" xr:uid="{00000000-0005-0000-0000-0000ED110000}"/>
    <cellStyle name="40% - Accent2 6 37" xfId="4631" xr:uid="{00000000-0005-0000-0000-0000EE110000}"/>
    <cellStyle name="40% - Accent2 6 38" xfId="4632" xr:uid="{00000000-0005-0000-0000-0000EF110000}"/>
    <cellStyle name="40% - Accent2 6 39" xfId="4633" xr:uid="{00000000-0005-0000-0000-0000F0110000}"/>
    <cellStyle name="40% - Accent2 6 4" xfId="4634" xr:uid="{00000000-0005-0000-0000-0000F1110000}"/>
    <cellStyle name="40% - Accent2 6 5" xfId="4635" xr:uid="{00000000-0005-0000-0000-0000F2110000}"/>
    <cellStyle name="40% - Accent2 6 6" xfId="4636" xr:uid="{00000000-0005-0000-0000-0000F3110000}"/>
    <cellStyle name="40% - Accent2 6 7" xfId="4637" xr:uid="{00000000-0005-0000-0000-0000F4110000}"/>
    <cellStyle name="40% - Accent2 6 8" xfId="4638" xr:uid="{00000000-0005-0000-0000-0000F5110000}"/>
    <cellStyle name="40% - Accent2 6 9" xfId="4639" xr:uid="{00000000-0005-0000-0000-0000F6110000}"/>
    <cellStyle name="40% - Accent2 60" xfId="4640" xr:uid="{00000000-0005-0000-0000-0000F7110000}"/>
    <cellStyle name="40% - Accent2 61" xfId="4641" xr:uid="{00000000-0005-0000-0000-0000F8110000}"/>
    <cellStyle name="40% - Accent2 62" xfId="4642" xr:uid="{00000000-0005-0000-0000-0000F9110000}"/>
    <cellStyle name="40% - Accent2 63" xfId="4643" xr:uid="{00000000-0005-0000-0000-0000FA110000}"/>
    <cellStyle name="40% - Accent2 64" xfId="4644" xr:uid="{00000000-0005-0000-0000-0000FB110000}"/>
    <cellStyle name="40% - Accent2 65" xfId="4645" xr:uid="{00000000-0005-0000-0000-0000FC110000}"/>
    <cellStyle name="40% - Accent2 66" xfId="4646" xr:uid="{00000000-0005-0000-0000-0000FD110000}"/>
    <cellStyle name="40% - Accent2 67" xfId="4647" xr:uid="{00000000-0005-0000-0000-0000FE110000}"/>
    <cellStyle name="40% - Accent2 68" xfId="4648" xr:uid="{00000000-0005-0000-0000-0000FF110000}"/>
    <cellStyle name="40% - Accent2 69" xfId="4649" xr:uid="{00000000-0005-0000-0000-000000120000}"/>
    <cellStyle name="40% - Accent2 7" xfId="4650" xr:uid="{00000000-0005-0000-0000-000001120000}"/>
    <cellStyle name="40% - Accent2 7 10" xfId="4651" xr:uid="{00000000-0005-0000-0000-000002120000}"/>
    <cellStyle name="40% - Accent2 7 11" xfId="4652" xr:uid="{00000000-0005-0000-0000-000003120000}"/>
    <cellStyle name="40% - Accent2 7 12" xfId="4653" xr:uid="{00000000-0005-0000-0000-000004120000}"/>
    <cellStyle name="40% - Accent2 7 13" xfId="4654" xr:uid="{00000000-0005-0000-0000-000005120000}"/>
    <cellStyle name="40% - Accent2 7 14" xfId="4655" xr:uid="{00000000-0005-0000-0000-000006120000}"/>
    <cellStyle name="40% - Accent2 7 15" xfId="4656" xr:uid="{00000000-0005-0000-0000-000007120000}"/>
    <cellStyle name="40% - Accent2 7 16" xfId="4657" xr:uid="{00000000-0005-0000-0000-000008120000}"/>
    <cellStyle name="40% - Accent2 7 17" xfId="4658" xr:uid="{00000000-0005-0000-0000-000009120000}"/>
    <cellStyle name="40% - Accent2 7 18" xfId="4659" xr:uid="{00000000-0005-0000-0000-00000A120000}"/>
    <cellStyle name="40% - Accent2 7 19" xfId="4660" xr:uid="{00000000-0005-0000-0000-00000B120000}"/>
    <cellStyle name="40% - Accent2 7 2" xfId="4661" xr:uid="{00000000-0005-0000-0000-00000C120000}"/>
    <cellStyle name="40% - Accent2 7 20" xfId="4662" xr:uid="{00000000-0005-0000-0000-00000D120000}"/>
    <cellStyle name="40% - Accent2 7 21" xfId="4663" xr:uid="{00000000-0005-0000-0000-00000E120000}"/>
    <cellStyle name="40% - Accent2 7 22" xfId="4664" xr:uid="{00000000-0005-0000-0000-00000F120000}"/>
    <cellStyle name="40% - Accent2 7 23" xfId="4665" xr:uid="{00000000-0005-0000-0000-000010120000}"/>
    <cellStyle name="40% - Accent2 7 24" xfId="4666" xr:uid="{00000000-0005-0000-0000-000011120000}"/>
    <cellStyle name="40% - Accent2 7 25" xfId="4667" xr:uid="{00000000-0005-0000-0000-000012120000}"/>
    <cellStyle name="40% - Accent2 7 26" xfId="4668" xr:uid="{00000000-0005-0000-0000-000013120000}"/>
    <cellStyle name="40% - Accent2 7 27" xfId="4669" xr:uid="{00000000-0005-0000-0000-000014120000}"/>
    <cellStyle name="40% - Accent2 7 28" xfId="4670" xr:uid="{00000000-0005-0000-0000-000015120000}"/>
    <cellStyle name="40% - Accent2 7 29" xfId="4671" xr:uid="{00000000-0005-0000-0000-000016120000}"/>
    <cellStyle name="40% - Accent2 7 3" xfId="4672" xr:uid="{00000000-0005-0000-0000-000017120000}"/>
    <cellStyle name="40% - Accent2 7 30" xfId="4673" xr:uid="{00000000-0005-0000-0000-000018120000}"/>
    <cellStyle name="40% - Accent2 7 31" xfId="4674" xr:uid="{00000000-0005-0000-0000-000019120000}"/>
    <cellStyle name="40% - Accent2 7 32" xfId="4675" xr:uid="{00000000-0005-0000-0000-00001A120000}"/>
    <cellStyle name="40% - Accent2 7 33" xfId="4676" xr:uid="{00000000-0005-0000-0000-00001B120000}"/>
    <cellStyle name="40% - Accent2 7 34" xfId="4677" xr:uid="{00000000-0005-0000-0000-00001C120000}"/>
    <cellStyle name="40% - Accent2 7 35" xfId="4678" xr:uid="{00000000-0005-0000-0000-00001D120000}"/>
    <cellStyle name="40% - Accent2 7 36" xfId="4679" xr:uid="{00000000-0005-0000-0000-00001E120000}"/>
    <cellStyle name="40% - Accent2 7 37" xfId="4680" xr:uid="{00000000-0005-0000-0000-00001F120000}"/>
    <cellStyle name="40% - Accent2 7 38" xfId="4681" xr:uid="{00000000-0005-0000-0000-000020120000}"/>
    <cellStyle name="40% - Accent2 7 39" xfId="4682" xr:uid="{00000000-0005-0000-0000-000021120000}"/>
    <cellStyle name="40% - Accent2 7 4" xfId="4683" xr:uid="{00000000-0005-0000-0000-000022120000}"/>
    <cellStyle name="40% - Accent2 7 5" xfId="4684" xr:uid="{00000000-0005-0000-0000-000023120000}"/>
    <cellStyle name="40% - Accent2 7 6" xfId="4685" xr:uid="{00000000-0005-0000-0000-000024120000}"/>
    <cellStyle name="40% - Accent2 7 7" xfId="4686" xr:uid="{00000000-0005-0000-0000-000025120000}"/>
    <cellStyle name="40% - Accent2 7 8" xfId="4687" xr:uid="{00000000-0005-0000-0000-000026120000}"/>
    <cellStyle name="40% - Accent2 7 9" xfId="4688" xr:uid="{00000000-0005-0000-0000-000027120000}"/>
    <cellStyle name="40% - Accent2 70" xfId="4689" xr:uid="{00000000-0005-0000-0000-000028120000}"/>
    <cellStyle name="40% - Accent2 71" xfId="4690" xr:uid="{00000000-0005-0000-0000-000029120000}"/>
    <cellStyle name="40% - Accent2 72" xfId="4691" xr:uid="{00000000-0005-0000-0000-00002A120000}"/>
    <cellStyle name="40% - Accent2 73" xfId="4692" xr:uid="{00000000-0005-0000-0000-00002B120000}"/>
    <cellStyle name="40% - Accent2 74" xfId="4693" xr:uid="{00000000-0005-0000-0000-00002C120000}"/>
    <cellStyle name="40% - Accent2 75" xfId="4694" xr:uid="{00000000-0005-0000-0000-00002D120000}"/>
    <cellStyle name="40% - Accent2 76" xfId="4695" xr:uid="{00000000-0005-0000-0000-00002E120000}"/>
    <cellStyle name="40% - Accent2 77" xfId="4696" xr:uid="{00000000-0005-0000-0000-00002F120000}"/>
    <cellStyle name="40% - Accent2 78" xfId="4697" xr:uid="{00000000-0005-0000-0000-000030120000}"/>
    <cellStyle name="40% - Accent2 79" xfId="4698" xr:uid="{00000000-0005-0000-0000-000031120000}"/>
    <cellStyle name="40% - Accent2 8" xfId="4699" xr:uid="{00000000-0005-0000-0000-000032120000}"/>
    <cellStyle name="40% - Accent2 8 10" xfId="4700" xr:uid="{00000000-0005-0000-0000-000033120000}"/>
    <cellStyle name="40% - Accent2 8 11" xfId="4701" xr:uid="{00000000-0005-0000-0000-000034120000}"/>
    <cellStyle name="40% - Accent2 8 12" xfId="4702" xr:uid="{00000000-0005-0000-0000-000035120000}"/>
    <cellStyle name="40% - Accent2 8 13" xfId="4703" xr:uid="{00000000-0005-0000-0000-000036120000}"/>
    <cellStyle name="40% - Accent2 8 14" xfId="4704" xr:uid="{00000000-0005-0000-0000-000037120000}"/>
    <cellStyle name="40% - Accent2 8 15" xfId="4705" xr:uid="{00000000-0005-0000-0000-000038120000}"/>
    <cellStyle name="40% - Accent2 8 16" xfId="4706" xr:uid="{00000000-0005-0000-0000-000039120000}"/>
    <cellStyle name="40% - Accent2 8 17" xfId="4707" xr:uid="{00000000-0005-0000-0000-00003A120000}"/>
    <cellStyle name="40% - Accent2 8 18" xfId="4708" xr:uid="{00000000-0005-0000-0000-00003B120000}"/>
    <cellStyle name="40% - Accent2 8 19" xfId="4709" xr:uid="{00000000-0005-0000-0000-00003C120000}"/>
    <cellStyle name="40% - Accent2 8 2" xfId="4710" xr:uid="{00000000-0005-0000-0000-00003D120000}"/>
    <cellStyle name="40% - Accent2 8 20" xfId="4711" xr:uid="{00000000-0005-0000-0000-00003E120000}"/>
    <cellStyle name="40% - Accent2 8 21" xfId="4712" xr:uid="{00000000-0005-0000-0000-00003F120000}"/>
    <cellStyle name="40% - Accent2 8 22" xfId="4713" xr:uid="{00000000-0005-0000-0000-000040120000}"/>
    <cellStyle name="40% - Accent2 8 23" xfId="4714" xr:uid="{00000000-0005-0000-0000-000041120000}"/>
    <cellStyle name="40% - Accent2 8 24" xfId="4715" xr:uid="{00000000-0005-0000-0000-000042120000}"/>
    <cellStyle name="40% - Accent2 8 25" xfId="4716" xr:uid="{00000000-0005-0000-0000-000043120000}"/>
    <cellStyle name="40% - Accent2 8 26" xfId="4717" xr:uid="{00000000-0005-0000-0000-000044120000}"/>
    <cellStyle name="40% - Accent2 8 27" xfId="4718" xr:uid="{00000000-0005-0000-0000-000045120000}"/>
    <cellStyle name="40% - Accent2 8 28" xfId="4719" xr:uid="{00000000-0005-0000-0000-000046120000}"/>
    <cellStyle name="40% - Accent2 8 29" xfId="4720" xr:uid="{00000000-0005-0000-0000-000047120000}"/>
    <cellStyle name="40% - Accent2 8 3" xfId="4721" xr:uid="{00000000-0005-0000-0000-000048120000}"/>
    <cellStyle name="40% - Accent2 8 30" xfId="4722" xr:uid="{00000000-0005-0000-0000-000049120000}"/>
    <cellStyle name="40% - Accent2 8 31" xfId="4723" xr:uid="{00000000-0005-0000-0000-00004A120000}"/>
    <cellStyle name="40% - Accent2 8 32" xfId="4724" xr:uid="{00000000-0005-0000-0000-00004B120000}"/>
    <cellStyle name="40% - Accent2 8 33" xfId="4725" xr:uid="{00000000-0005-0000-0000-00004C120000}"/>
    <cellStyle name="40% - Accent2 8 34" xfId="4726" xr:uid="{00000000-0005-0000-0000-00004D120000}"/>
    <cellStyle name="40% - Accent2 8 35" xfId="4727" xr:uid="{00000000-0005-0000-0000-00004E120000}"/>
    <cellStyle name="40% - Accent2 8 36" xfId="4728" xr:uid="{00000000-0005-0000-0000-00004F120000}"/>
    <cellStyle name="40% - Accent2 8 37" xfId="4729" xr:uid="{00000000-0005-0000-0000-000050120000}"/>
    <cellStyle name="40% - Accent2 8 38" xfId="4730" xr:uid="{00000000-0005-0000-0000-000051120000}"/>
    <cellStyle name="40% - Accent2 8 39" xfId="4731" xr:uid="{00000000-0005-0000-0000-000052120000}"/>
    <cellStyle name="40% - Accent2 8 4" xfId="4732" xr:uid="{00000000-0005-0000-0000-000053120000}"/>
    <cellStyle name="40% - Accent2 8 5" xfId="4733" xr:uid="{00000000-0005-0000-0000-000054120000}"/>
    <cellStyle name="40% - Accent2 8 6" xfId="4734" xr:uid="{00000000-0005-0000-0000-000055120000}"/>
    <cellStyle name="40% - Accent2 8 7" xfId="4735" xr:uid="{00000000-0005-0000-0000-000056120000}"/>
    <cellStyle name="40% - Accent2 8 8" xfId="4736" xr:uid="{00000000-0005-0000-0000-000057120000}"/>
    <cellStyle name="40% - Accent2 8 9" xfId="4737" xr:uid="{00000000-0005-0000-0000-000058120000}"/>
    <cellStyle name="40% - Accent2 9" xfId="4738" xr:uid="{00000000-0005-0000-0000-000059120000}"/>
    <cellStyle name="40% - Accent2 9 10" xfId="4739" xr:uid="{00000000-0005-0000-0000-00005A120000}"/>
    <cellStyle name="40% - Accent2 9 11" xfId="4740" xr:uid="{00000000-0005-0000-0000-00005B120000}"/>
    <cellStyle name="40% - Accent2 9 12" xfId="4741" xr:uid="{00000000-0005-0000-0000-00005C120000}"/>
    <cellStyle name="40% - Accent2 9 13" xfId="4742" xr:uid="{00000000-0005-0000-0000-00005D120000}"/>
    <cellStyle name="40% - Accent2 9 14" xfId="4743" xr:uid="{00000000-0005-0000-0000-00005E120000}"/>
    <cellStyle name="40% - Accent2 9 15" xfId="4744" xr:uid="{00000000-0005-0000-0000-00005F120000}"/>
    <cellStyle name="40% - Accent2 9 16" xfId="4745" xr:uid="{00000000-0005-0000-0000-000060120000}"/>
    <cellStyle name="40% - Accent2 9 17" xfId="4746" xr:uid="{00000000-0005-0000-0000-000061120000}"/>
    <cellStyle name="40% - Accent2 9 18" xfId="4747" xr:uid="{00000000-0005-0000-0000-000062120000}"/>
    <cellStyle name="40% - Accent2 9 19" xfId="4748" xr:uid="{00000000-0005-0000-0000-000063120000}"/>
    <cellStyle name="40% - Accent2 9 2" xfId="4749" xr:uid="{00000000-0005-0000-0000-000064120000}"/>
    <cellStyle name="40% - Accent2 9 20" xfId="4750" xr:uid="{00000000-0005-0000-0000-000065120000}"/>
    <cellStyle name="40% - Accent2 9 21" xfId="4751" xr:uid="{00000000-0005-0000-0000-000066120000}"/>
    <cellStyle name="40% - Accent2 9 22" xfId="4752" xr:uid="{00000000-0005-0000-0000-000067120000}"/>
    <cellStyle name="40% - Accent2 9 23" xfId="4753" xr:uid="{00000000-0005-0000-0000-000068120000}"/>
    <cellStyle name="40% - Accent2 9 24" xfId="4754" xr:uid="{00000000-0005-0000-0000-000069120000}"/>
    <cellStyle name="40% - Accent2 9 25" xfId="4755" xr:uid="{00000000-0005-0000-0000-00006A120000}"/>
    <cellStyle name="40% - Accent2 9 26" xfId="4756" xr:uid="{00000000-0005-0000-0000-00006B120000}"/>
    <cellStyle name="40% - Accent2 9 27" xfId="4757" xr:uid="{00000000-0005-0000-0000-00006C120000}"/>
    <cellStyle name="40% - Accent2 9 28" xfId="4758" xr:uid="{00000000-0005-0000-0000-00006D120000}"/>
    <cellStyle name="40% - Accent2 9 29" xfId="4759" xr:uid="{00000000-0005-0000-0000-00006E120000}"/>
    <cellStyle name="40% - Accent2 9 3" xfId="4760" xr:uid="{00000000-0005-0000-0000-00006F120000}"/>
    <cellStyle name="40% - Accent2 9 30" xfId="4761" xr:uid="{00000000-0005-0000-0000-000070120000}"/>
    <cellStyle name="40% - Accent2 9 31" xfId="4762" xr:uid="{00000000-0005-0000-0000-000071120000}"/>
    <cellStyle name="40% - Accent2 9 32" xfId="4763" xr:uid="{00000000-0005-0000-0000-000072120000}"/>
    <cellStyle name="40% - Accent2 9 33" xfId="4764" xr:uid="{00000000-0005-0000-0000-000073120000}"/>
    <cellStyle name="40% - Accent2 9 34" xfId="4765" xr:uid="{00000000-0005-0000-0000-000074120000}"/>
    <cellStyle name="40% - Accent2 9 35" xfId="4766" xr:uid="{00000000-0005-0000-0000-000075120000}"/>
    <cellStyle name="40% - Accent2 9 36" xfId="4767" xr:uid="{00000000-0005-0000-0000-000076120000}"/>
    <cellStyle name="40% - Accent2 9 37" xfId="4768" xr:uid="{00000000-0005-0000-0000-000077120000}"/>
    <cellStyle name="40% - Accent2 9 38" xfId="4769" xr:uid="{00000000-0005-0000-0000-000078120000}"/>
    <cellStyle name="40% - Accent2 9 39" xfId="4770" xr:uid="{00000000-0005-0000-0000-000079120000}"/>
    <cellStyle name="40% - Accent2 9 4" xfId="4771" xr:uid="{00000000-0005-0000-0000-00007A120000}"/>
    <cellStyle name="40% - Accent2 9 5" xfId="4772" xr:uid="{00000000-0005-0000-0000-00007B120000}"/>
    <cellStyle name="40% - Accent2 9 6" xfId="4773" xr:uid="{00000000-0005-0000-0000-00007C120000}"/>
    <cellStyle name="40% - Accent2 9 7" xfId="4774" xr:uid="{00000000-0005-0000-0000-00007D120000}"/>
    <cellStyle name="40% - Accent2 9 8" xfId="4775" xr:uid="{00000000-0005-0000-0000-00007E120000}"/>
    <cellStyle name="40% - Accent2 9 9" xfId="4776" xr:uid="{00000000-0005-0000-0000-00007F120000}"/>
    <cellStyle name="40% - Accent3" xfId="29" builtinId="39" customBuiltin="1"/>
    <cellStyle name="40% - Accent3 10" xfId="4777" xr:uid="{00000000-0005-0000-0000-000081120000}"/>
    <cellStyle name="40% - Accent3 10 10" xfId="4778" xr:uid="{00000000-0005-0000-0000-000082120000}"/>
    <cellStyle name="40% - Accent3 10 11" xfId="4779" xr:uid="{00000000-0005-0000-0000-000083120000}"/>
    <cellStyle name="40% - Accent3 10 12" xfId="4780" xr:uid="{00000000-0005-0000-0000-000084120000}"/>
    <cellStyle name="40% - Accent3 10 13" xfId="4781" xr:uid="{00000000-0005-0000-0000-000085120000}"/>
    <cellStyle name="40% - Accent3 10 14" xfId="4782" xr:uid="{00000000-0005-0000-0000-000086120000}"/>
    <cellStyle name="40% - Accent3 10 15" xfId="4783" xr:uid="{00000000-0005-0000-0000-000087120000}"/>
    <cellStyle name="40% - Accent3 10 16" xfId="4784" xr:uid="{00000000-0005-0000-0000-000088120000}"/>
    <cellStyle name="40% - Accent3 10 17" xfId="4785" xr:uid="{00000000-0005-0000-0000-000089120000}"/>
    <cellStyle name="40% - Accent3 10 18" xfId="4786" xr:uid="{00000000-0005-0000-0000-00008A120000}"/>
    <cellStyle name="40% - Accent3 10 19" xfId="4787" xr:uid="{00000000-0005-0000-0000-00008B120000}"/>
    <cellStyle name="40% - Accent3 10 2" xfId="4788" xr:uid="{00000000-0005-0000-0000-00008C120000}"/>
    <cellStyle name="40% - Accent3 10 20" xfId="4789" xr:uid="{00000000-0005-0000-0000-00008D120000}"/>
    <cellStyle name="40% - Accent3 10 21" xfId="4790" xr:uid="{00000000-0005-0000-0000-00008E120000}"/>
    <cellStyle name="40% - Accent3 10 22" xfId="4791" xr:uid="{00000000-0005-0000-0000-00008F120000}"/>
    <cellStyle name="40% - Accent3 10 23" xfId="4792" xr:uid="{00000000-0005-0000-0000-000090120000}"/>
    <cellStyle name="40% - Accent3 10 24" xfId="4793" xr:uid="{00000000-0005-0000-0000-000091120000}"/>
    <cellStyle name="40% - Accent3 10 25" xfId="4794" xr:uid="{00000000-0005-0000-0000-000092120000}"/>
    <cellStyle name="40% - Accent3 10 26" xfId="4795" xr:uid="{00000000-0005-0000-0000-000093120000}"/>
    <cellStyle name="40% - Accent3 10 27" xfId="4796" xr:uid="{00000000-0005-0000-0000-000094120000}"/>
    <cellStyle name="40% - Accent3 10 28" xfId="4797" xr:uid="{00000000-0005-0000-0000-000095120000}"/>
    <cellStyle name="40% - Accent3 10 29" xfId="4798" xr:uid="{00000000-0005-0000-0000-000096120000}"/>
    <cellStyle name="40% - Accent3 10 3" xfId="4799" xr:uid="{00000000-0005-0000-0000-000097120000}"/>
    <cellStyle name="40% - Accent3 10 30" xfId="4800" xr:uid="{00000000-0005-0000-0000-000098120000}"/>
    <cellStyle name="40% - Accent3 10 31" xfId="4801" xr:uid="{00000000-0005-0000-0000-000099120000}"/>
    <cellStyle name="40% - Accent3 10 32" xfId="4802" xr:uid="{00000000-0005-0000-0000-00009A120000}"/>
    <cellStyle name="40% - Accent3 10 33" xfId="4803" xr:uid="{00000000-0005-0000-0000-00009B120000}"/>
    <cellStyle name="40% - Accent3 10 34" xfId="4804" xr:uid="{00000000-0005-0000-0000-00009C120000}"/>
    <cellStyle name="40% - Accent3 10 35" xfId="4805" xr:uid="{00000000-0005-0000-0000-00009D120000}"/>
    <cellStyle name="40% - Accent3 10 36" xfId="4806" xr:uid="{00000000-0005-0000-0000-00009E120000}"/>
    <cellStyle name="40% - Accent3 10 37" xfId="4807" xr:uid="{00000000-0005-0000-0000-00009F120000}"/>
    <cellStyle name="40% - Accent3 10 38" xfId="4808" xr:uid="{00000000-0005-0000-0000-0000A0120000}"/>
    <cellStyle name="40% - Accent3 10 39" xfId="4809" xr:uid="{00000000-0005-0000-0000-0000A1120000}"/>
    <cellStyle name="40% - Accent3 10 4" xfId="4810" xr:uid="{00000000-0005-0000-0000-0000A2120000}"/>
    <cellStyle name="40% - Accent3 10 5" xfId="4811" xr:uid="{00000000-0005-0000-0000-0000A3120000}"/>
    <cellStyle name="40% - Accent3 10 6" xfId="4812" xr:uid="{00000000-0005-0000-0000-0000A4120000}"/>
    <cellStyle name="40% - Accent3 10 7" xfId="4813" xr:uid="{00000000-0005-0000-0000-0000A5120000}"/>
    <cellStyle name="40% - Accent3 10 8" xfId="4814" xr:uid="{00000000-0005-0000-0000-0000A6120000}"/>
    <cellStyle name="40% - Accent3 10 9" xfId="4815" xr:uid="{00000000-0005-0000-0000-0000A7120000}"/>
    <cellStyle name="40% - Accent3 11" xfId="4816" xr:uid="{00000000-0005-0000-0000-0000A8120000}"/>
    <cellStyle name="40% - Accent3 11 10" xfId="4817" xr:uid="{00000000-0005-0000-0000-0000A9120000}"/>
    <cellStyle name="40% - Accent3 11 11" xfId="4818" xr:uid="{00000000-0005-0000-0000-0000AA120000}"/>
    <cellStyle name="40% - Accent3 11 12" xfId="4819" xr:uid="{00000000-0005-0000-0000-0000AB120000}"/>
    <cellStyle name="40% - Accent3 11 13" xfId="4820" xr:uid="{00000000-0005-0000-0000-0000AC120000}"/>
    <cellStyle name="40% - Accent3 11 14" xfId="4821" xr:uid="{00000000-0005-0000-0000-0000AD120000}"/>
    <cellStyle name="40% - Accent3 11 15" xfId="4822" xr:uid="{00000000-0005-0000-0000-0000AE120000}"/>
    <cellStyle name="40% - Accent3 11 16" xfId="4823" xr:uid="{00000000-0005-0000-0000-0000AF120000}"/>
    <cellStyle name="40% - Accent3 11 17" xfId="4824" xr:uid="{00000000-0005-0000-0000-0000B0120000}"/>
    <cellStyle name="40% - Accent3 11 18" xfId="4825" xr:uid="{00000000-0005-0000-0000-0000B1120000}"/>
    <cellStyle name="40% - Accent3 11 19" xfId="4826" xr:uid="{00000000-0005-0000-0000-0000B2120000}"/>
    <cellStyle name="40% - Accent3 11 2" xfId="4827" xr:uid="{00000000-0005-0000-0000-0000B3120000}"/>
    <cellStyle name="40% - Accent3 11 20" xfId="4828" xr:uid="{00000000-0005-0000-0000-0000B4120000}"/>
    <cellStyle name="40% - Accent3 11 21" xfId="4829" xr:uid="{00000000-0005-0000-0000-0000B5120000}"/>
    <cellStyle name="40% - Accent3 11 22" xfId="4830" xr:uid="{00000000-0005-0000-0000-0000B6120000}"/>
    <cellStyle name="40% - Accent3 11 23" xfId="4831" xr:uid="{00000000-0005-0000-0000-0000B7120000}"/>
    <cellStyle name="40% - Accent3 11 24" xfId="4832" xr:uid="{00000000-0005-0000-0000-0000B8120000}"/>
    <cellStyle name="40% - Accent3 11 25" xfId="4833" xr:uid="{00000000-0005-0000-0000-0000B9120000}"/>
    <cellStyle name="40% - Accent3 11 26" xfId="4834" xr:uid="{00000000-0005-0000-0000-0000BA120000}"/>
    <cellStyle name="40% - Accent3 11 27" xfId="4835" xr:uid="{00000000-0005-0000-0000-0000BB120000}"/>
    <cellStyle name="40% - Accent3 11 28" xfId="4836" xr:uid="{00000000-0005-0000-0000-0000BC120000}"/>
    <cellStyle name="40% - Accent3 11 29" xfId="4837" xr:uid="{00000000-0005-0000-0000-0000BD120000}"/>
    <cellStyle name="40% - Accent3 11 3" xfId="4838" xr:uid="{00000000-0005-0000-0000-0000BE120000}"/>
    <cellStyle name="40% - Accent3 11 30" xfId="4839" xr:uid="{00000000-0005-0000-0000-0000BF120000}"/>
    <cellStyle name="40% - Accent3 11 31" xfId="4840" xr:uid="{00000000-0005-0000-0000-0000C0120000}"/>
    <cellStyle name="40% - Accent3 11 32" xfId="4841" xr:uid="{00000000-0005-0000-0000-0000C1120000}"/>
    <cellStyle name="40% - Accent3 11 33" xfId="4842" xr:uid="{00000000-0005-0000-0000-0000C2120000}"/>
    <cellStyle name="40% - Accent3 11 34" xfId="4843" xr:uid="{00000000-0005-0000-0000-0000C3120000}"/>
    <cellStyle name="40% - Accent3 11 35" xfId="4844" xr:uid="{00000000-0005-0000-0000-0000C4120000}"/>
    <cellStyle name="40% - Accent3 11 36" xfId="4845" xr:uid="{00000000-0005-0000-0000-0000C5120000}"/>
    <cellStyle name="40% - Accent3 11 37" xfId="4846" xr:uid="{00000000-0005-0000-0000-0000C6120000}"/>
    <cellStyle name="40% - Accent3 11 38" xfId="4847" xr:uid="{00000000-0005-0000-0000-0000C7120000}"/>
    <cellStyle name="40% - Accent3 11 39" xfId="4848" xr:uid="{00000000-0005-0000-0000-0000C8120000}"/>
    <cellStyle name="40% - Accent3 11 4" xfId="4849" xr:uid="{00000000-0005-0000-0000-0000C9120000}"/>
    <cellStyle name="40% - Accent3 11 5" xfId="4850" xr:uid="{00000000-0005-0000-0000-0000CA120000}"/>
    <cellStyle name="40% - Accent3 11 6" xfId="4851" xr:uid="{00000000-0005-0000-0000-0000CB120000}"/>
    <cellStyle name="40% - Accent3 11 7" xfId="4852" xr:uid="{00000000-0005-0000-0000-0000CC120000}"/>
    <cellStyle name="40% - Accent3 11 8" xfId="4853" xr:uid="{00000000-0005-0000-0000-0000CD120000}"/>
    <cellStyle name="40% - Accent3 11 9" xfId="4854" xr:uid="{00000000-0005-0000-0000-0000CE120000}"/>
    <cellStyle name="40% - Accent3 12" xfId="4855" xr:uid="{00000000-0005-0000-0000-0000CF120000}"/>
    <cellStyle name="40% - Accent3 13" xfId="4856" xr:uid="{00000000-0005-0000-0000-0000D0120000}"/>
    <cellStyle name="40% - Accent3 14" xfId="4857" xr:uid="{00000000-0005-0000-0000-0000D1120000}"/>
    <cellStyle name="40% - Accent3 15" xfId="4858" xr:uid="{00000000-0005-0000-0000-0000D2120000}"/>
    <cellStyle name="40% - Accent3 16" xfId="4859" xr:uid="{00000000-0005-0000-0000-0000D3120000}"/>
    <cellStyle name="40% - Accent3 17" xfId="4860" xr:uid="{00000000-0005-0000-0000-0000D4120000}"/>
    <cellStyle name="40% - Accent3 18" xfId="4861" xr:uid="{00000000-0005-0000-0000-0000D5120000}"/>
    <cellStyle name="40% - Accent3 19" xfId="4862" xr:uid="{00000000-0005-0000-0000-0000D6120000}"/>
    <cellStyle name="40% - Accent3 2" xfId="4863" xr:uid="{00000000-0005-0000-0000-0000D7120000}"/>
    <cellStyle name="40% - Accent3 2 10" xfId="4864" xr:uid="{00000000-0005-0000-0000-0000D8120000}"/>
    <cellStyle name="40% - Accent3 2 11" xfId="4865" xr:uid="{00000000-0005-0000-0000-0000D9120000}"/>
    <cellStyle name="40% - Accent3 2 12" xfId="4866" xr:uid="{00000000-0005-0000-0000-0000DA120000}"/>
    <cellStyle name="40% - Accent3 2 13" xfId="4867" xr:uid="{00000000-0005-0000-0000-0000DB120000}"/>
    <cellStyle name="40% - Accent3 2 14" xfId="4868" xr:uid="{00000000-0005-0000-0000-0000DC120000}"/>
    <cellStyle name="40% - Accent3 2 15" xfId="4869" xr:uid="{00000000-0005-0000-0000-0000DD120000}"/>
    <cellStyle name="40% - Accent3 2 16" xfId="4870" xr:uid="{00000000-0005-0000-0000-0000DE120000}"/>
    <cellStyle name="40% - Accent3 2 17" xfId="4871" xr:uid="{00000000-0005-0000-0000-0000DF120000}"/>
    <cellStyle name="40% - Accent3 2 18" xfId="4872" xr:uid="{00000000-0005-0000-0000-0000E0120000}"/>
    <cellStyle name="40% - Accent3 2 19" xfId="4873" xr:uid="{00000000-0005-0000-0000-0000E1120000}"/>
    <cellStyle name="40% - Accent3 2 2" xfId="4874" xr:uid="{00000000-0005-0000-0000-0000E2120000}"/>
    <cellStyle name="40% - Accent3 2 2 2" xfId="4875" xr:uid="{00000000-0005-0000-0000-0000E3120000}"/>
    <cellStyle name="40% - Accent3 2 20" xfId="4876" xr:uid="{00000000-0005-0000-0000-0000E4120000}"/>
    <cellStyle name="40% - Accent3 2 21" xfId="4877" xr:uid="{00000000-0005-0000-0000-0000E5120000}"/>
    <cellStyle name="40% - Accent3 2 22" xfId="4878" xr:uid="{00000000-0005-0000-0000-0000E6120000}"/>
    <cellStyle name="40% - Accent3 2 23" xfId="4879" xr:uid="{00000000-0005-0000-0000-0000E7120000}"/>
    <cellStyle name="40% - Accent3 2 24" xfId="4880" xr:uid="{00000000-0005-0000-0000-0000E8120000}"/>
    <cellStyle name="40% - Accent3 2 25" xfId="4881" xr:uid="{00000000-0005-0000-0000-0000E9120000}"/>
    <cellStyle name="40% - Accent3 2 26" xfId="4882" xr:uid="{00000000-0005-0000-0000-0000EA120000}"/>
    <cellStyle name="40% - Accent3 2 27" xfId="4883" xr:uid="{00000000-0005-0000-0000-0000EB120000}"/>
    <cellStyle name="40% - Accent3 2 28" xfId="4884" xr:uid="{00000000-0005-0000-0000-0000EC120000}"/>
    <cellStyle name="40% - Accent3 2 29" xfId="4885" xr:uid="{00000000-0005-0000-0000-0000ED120000}"/>
    <cellStyle name="40% - Accent3 2 3" xfId="4886" xr:uid="{00000000-0005-0000-0000-0000EE120000}"/>
    <cellStyle name="40% - Accent3 2 3 2" xfId="4887" xr:uid="{00000000-0005-0000-0000-0000EF120000}"/>
    <cellStyle name="40% - Accent3 2 30" xfId="4888" xr:uid="{00000000-0005-0000-0000-0000F0120000}"/>
    <cellStyle name="40% - Accent3 2 31" xfId="4889" xr:uid="{00000000-0005-0000-0000-0000F1120000}"/>
    <cellStyle name="40% - Accent3 2 32" xfId="4890" xr:uid="{00000000-0005-0000-0000-0000F2120000}"/>
    <cellStyle name="40% - Accent3 2 33" xfId="4891" xr:uid="{00000000-0005-0000-0000-0000F3120000}"/>
    <cellStyle name="40% - Accent3 2 34" xfId="4892" xr:uid="{00000000-0005-0000-0000-0000F4120000}"/>
    <cellStyle name="40% - Accent3 2 35" xfId="4893" xr:uid="{00000000-0005-0000-0000-0000F5120000}"/>
    <cellStyle name="40% - Accent3 2 36" xfId="4894" xr:uid="{00000000-0005-0000-0000-0000F6120000}"/>
    <cellStyle name="40% - Accent3 2 37" xfId="4895" xr:uid="{00000000-0005-0000-0000-0000F7120000}"/>
    <cellStyle name="40% - Accent3 2 38" xfId="4896" xr:uid="{00000000-0005-0000-0000-0000F8120000}"/>
    <cellStyle name="40% - Accent3 2 39" xfId="4897" xr:uid="{00000000-0005-0000-0000-0000F9120000}"/>
    <cellStyle name="40% - Accent3 2 4" xfId="4898" xr:uid="{00000000-0005-0000-0000-0000FA120000}"/>
    <cellStyle name="40% - Accent3 2 4 2" xfId="4899" xr:uid="{00000000-0005-0000-0000-0000FB120000}"/>
    <cellStyle name="40% - Accent3 2 40" xfId="4900" xr:uid="{00000000-0005-0000-0000-0000FC120000}"/>
    <cellStyle name="40% - Accent3 2 41" xfId="4901" xr:uid="{00000000-0005-0000-0000-0000FD120000}"/>
    <cellStyle name="40% - Accent3 2 42" xfId="4902" xr:uid="{00000000-0005-0000-0000-0000FE120000}"/>
    <cellStyle name="40% - Accent3 2 43" xfId="4903" xr:uid="{00000000-0005-0000-0000-0000FF120000}"/>
    <cellStyle name="40% - Accent3 2 44" xfId="4904" xr:uid="{00000000-0005-0000-0000-000000130000}"/>
    <cellStyle name="40% - Accent3 2 45" xfId="4905" xr:uid="{00000000-0005-0000-0000-000001130000}"/>
    <cellStyle name="40% - Accent3 2 46" xfId="4906" xr:uid="{00000000-0005-0000-0000-000002130000}"/>
    <cellStyle name="40% - Accent3 2 47" xfId="4907" xr:uid="{00000000-0005-0000-0000-000003130000}"/>
    <cellStyle name="40% - Accent3 2 48" xfId="4908" xr:uid="{00000000-0005-0000-0000-000004130000}"/>
    <cellStyle name="40% - Accent3 2 49" xfId="4909" xr:uid="{00000000-0005-0000-0000-000005130000}"/>
    <cellStyle name="40% - Accent3 2 5" xfId="4910" xr:uid="{00000000-0005-0000-0000-000006130000}"/>
    <cellStyle name="40% - Accent3 2 5 2" xfId="4911" xr:uid="{00000000-0005-0000-0000-000007130000}"/>
    <cellStyle name="40% - Accent3 2 50" xfId="4912" xr:uid="{00000000-0005-0000-0000-000008130000}"/>
    <cellStyle name="40% - Accent3 2 51" xfId="4913" xr:uid="{00000000-0005-0000-0000-000009130000}"/>
    <cellStyle name="40% - Accent3 2 52" xfId="4914" xr:uid="{00000000-0005-0000-0000-00000A130000}"/>
    <cellStyle name="40% - Accent3 2 53" xfId="4915" xr:uid="{00000000-0005-0000-0000-00000B130000}"/>
    <cellStyle name="40% - Accent3 2 54" xfId="4916" xr:uid="{00000000-0005-0000-0000-00000C130000}"/>
    <cellStyle name="40% - Accent3 2 55" xfId="4917" xr:uid="{00000000-0005-0000-0000-00000D130000}"/>
    <cellStyle name="40% - Accent3 2 56" xfId="4918" xr:uid="{00000000-0005-0000-0000-00000E130000}"/>
    <cellStyle name="40% - Accent3 2 57" xfId="4919" xr:uid="{00000000-0005-0000-0000-00000F130000}"/>
    <cellStyle name="40% - Accent3 2 58" xfId="4920" xr:uid="{00000000-0005-0000-0000-000010130000}"/>
    <cellStyle name="40% - Accent3 2 59" xfId="4921" xr:uid="{00000000-0005-0000-0000-000011130000}"/>
    <cellStyle name="40% - Accent3 2 6" xfId="4922" xr:uid="{00000000-0005-0000-0000-000012130000}"/>
    <cellStyle name="40% - Accent3 2 6 2" xfId="4923" xr:uid="{00000000-0005-0000-0000-000013130000}"/>
    <cellStyle name="40% - Accent3 2 60" xfId="4924" xr:uid="{00000000-0005-0000-0000-000014130000}"/>
    <cellStyle name="40% - Accent3 2 61" xfId="4925" xr:uid="{00000000-0005-0000-0000-000015130000}"/>
    <cellStyle name="40% - Accent3 2 62" xfId="4926" xr:uid="{00000000-0005-0000-0000-000016130000}"/>
    <cellStyle name="40% - Accent3 2 63" xfId="4927" xr:uid="{00000000-0005-0000-0000-000017130000}"/>
    <cellStyle name="40% - Accent3 2 64" xfId="4928" xr:uid="{00000000-0005-0000-0000-000018130000}"/>
    <cellStyle name="40% - Accent3 2 65" xfId="4929" xr:uid="{00000000-0005-0000-0000-000019130000}"/>
    <cellStyle name="40% - Accent3 2 66" xfId="4930" xr:uid="{00000000-0005-0000-0000-00001A130000}"/>
    <cellStyle name="40% - Accent3 2 67" xfId="4931" xr:uid="{00000000-0005-0000-0000-00001B130000}"/>
    <cellStyle name="40% - Accent3 2 68" xfId="4932" xr:uid="{00000000-0005-0000-0000-00001C130000}"/>
    <cellStyle name="40% - Accent3 2 69" xfId="4933" xr:uid="{00000000-0005-0000-0000-00001D130000}"/>
    <cellStyle name="40% - Accent3 2 7" xfId="4934" xr:uid="{00000000-0005-0000-0000-00001E130000}"/>
    <cellStyle name="40% - Accent3 2 7 2" xfId="4935" xr:uid="{00000000-0005-0000-0000-00001F130000}"/>
    <cellStyle name="40% - Accent3 2 70" xfId="4936" xr:uid="{00000000-0005-0000-0000-000020130000}"/>
    <cellStyle name="40% - Accent3 2 71" xfId="4937" xr:uid="{00000000-0005-0000-0000-000021130000}"/>
    <cellStyle name="40% - Accent3 2 72" xfId="4938" xr:uid="{00000000-0005-0000-0000-000022130000}"/>
    <cellStyle name="40% - Accent3 2 73" xfId="4939" xr:uid="{00000000-0005-0000-0000-000023130000}"/>
    <cellStyle name="40% - Accent3 2 74" xfId="4940" xr:uid="{00000000-0005-0000-0000-000024130000}"/>
    <cellStyle name="40% - Accent3 2 75" xfId="4941" xr:uid="{00000000-0005-0000-0000-000025130000}"/>
    <cellStyle name="40% - Accent3 2 8" xfId="4942" xr:uid="{00000000-0005-0000-0000-000026130000}"/>
    <cellStyle name="40% - Accent3 2 8 2" xfId="4943" xr:uid="{00000000-0005-0000-0000-000027130000}"/>
    <cellStyle name="40% - Accent3 2 9" xfId="4944" xr:uid="{00000000-0005-0000-0000-000028130000}"/>
    <cellStyle name="40% - Accent3 2 9 2" xfId="4945" xr:uid="{00000000-0005-0000-0000-000029130000}"/>
    <cellStyle name="40% - Accent3 20" xfId="4946" xr:uid="{00000000-0005-0000-0000-00002A130000}"/>
    <cellStyle name="40% - Accent3 21" xfId="4947" xr:uid="{00000000-0005-0000-0000-00002B130000}"/>
    <cellStyle name="40% - Accent3 22" xfId="4948" xr:uid="{00000000-0005-0000-0000-00002C130000}"/>
    <cellStyle name="40% - Accent3 23" xfId="4949" xr:uid="{00000000-0005-0000-0000-00002D130000}"/>
    <cellStyle name="40% - Accent3 24" xfId="4950" xr:uid="{00000000-0005-0000-0000-00002E130000}"/>
    <cellStyle name="40% - Accent3 25" xfId="4951" xr:uid="{00000000-0005-0000-0000-00002F130000}"/>
    <cellStyle name="40% - Accent3 26" xfId="4952" xr:uid="{00000000-0005-0000-0000-000030130000}"/>
    <cellStyle name="40% - Accent3 27" xfId="4953" xr:uid="{00000000-0005-0000-0000-000031130000}"/>
    <cellStyle name="40% - Accent3 28" xfId="4954" xr:uid="{00000000-0005-0000-0000-000032130000}"/>
    <cellStyle name="40% - Accent3 29" xfId="4955" xr:uid="{00000000-0005-0000-0000-000033130000}"/>
    <cellStyle name="40% - Accent3 3" xfId="4956" xr:uid="{00000000-0005-0000-0000-000034130000}"/>
    <cellStyle name="40% - Accent3 3 10" xfId="4957" xr:uid="{00000000-0005-0000-0000-000035130000}"/>
    <cellStyle name="40% - Accent3 3 11" xfId="4958" xr:uid="{00000000-0005-0000-0000-000036130000}"/>
    <cellStyle name="40% - Accent3 3 12" xfId="4959" xr:uid="{00000000-0005-0000-0000-000037130000}"/>
    <cellStyle name="40% - Accent3 3 13" xfId="4960" xr:uid="{00000000-0005-0000-0000-000038130000}"/>
    <cellStyle name="40% - Accent3 3 14" xfId="4961" xr:uid="{00000000-0005-0000-0000-000039130000}"/>
    <cellStyle name="40% - Accent3 3 15" xfId="4962" xr:uid="{00000000-0005-0000-0000-00003A130000}"/>
    <cellStyle name="40% - Accent3 3 16" xfId="4963" xr:uid="{00000000-0005-0000-0000-00003B130000}"/>
    <cellStyle name="40% - Accent3 3 17" xfId="4964" xr:uid="{00000000-0005-0000-0000-00003C130000}"/>
    <cellStyle name="40% - Accent3 3 18" xfId="4965" xr:uid="{00000000-0005-0000-0000-00003D130000}"/>
    <cellStyle name="40% - Accent3 3 19" xfId="4966" xr:uid="{00000000-0005-0000-0000-00003E130000}"/>
    <cellStyle name="40% - Accent3 3 2" xfId="4967" xr:uid="{00000000-0005-0000-0000-00003F130000}"/>
    <cellStyle name="40% - Accent3 3 2 2" xfId="4968" xr:uid="{00000000-0005-0000-0000-000040130000}"/>
    <cellStyle name="40% - Accent3 3 20" xfId="4969" xr:uid="{00000000-0005-0000-0000-000041130000}"/>
    <cellStyle name="40% - Accent3 3 21" xfId="4970" xr:uid="{00000000-0005-0000-0000-000042130000}"/>
    <cellStyle name="40% - Accent3 3 22" xfId="4971" xr:uid="{00000000-0005-0000-0000-000043130000}"/>
    <cellStyle name="40% - Accent3 3 23" xfId="4972" xr:uid="{00000000-0005-0000-0000-000044130000}"/>
    <cellStyle name="40% - Accent3 3 24" xfId="4973" xr:uid="{00000000-0005-0000-0000-000045130000}"/>
    <cellStyle name="40% - Accent3 3 25" xfId="4974" xr:uid="{00000000-0005-0000-0000-000046130000}"/>
    <cellStyle name="40% - Accent3 3 26" xfId="4975" xr:uid="{00000000-0005-0000-0000-000047130000}"/>
    <cellStyle name="40% - Accent3 3 27" xfId="4976" xr:uid="{00000000-0005-0000-0000-000048130000}"/>
    <cellStyle name="40% - Accent3 3 28" xfId="4977" xr:uid="{00000000-0005-0000-0000-000049130000}"/>
    <cellStyle name="40% - Accent3 3 29" xfId="4978" xr:uid="{00000000-0005-0000-0000-00004A130000}"/>
    <cellStyle name="40% - Accent3 3 3" xfId="4979" xr:uid="{00000000-0005-0000-0000-00004B130000}"/>
    <cellStyle name="40% - Accent3 3 3 2" xfId="4980" xr:uid="{00000000-0005-0000-0000-00004C130000}"/>
    <cellStyle name="40% - Accent3 3 30" xfId="4981" xr:uid="{00000000-0005-0000-0000-00004D130000}"/>
    <cellStyle name="40% - Accent3 3 31" xfId="4982" xr:uid="{00000000-0005-0000-0000-00004E130000}"/>
    <cellStyle name="40% - Accent3 3 32" xfId="4983" xr:uid="{00000000-0005-0000-0000-00004F130000}"/>
    <cellStyle name="40% - Accent3 3 33" xfId="4984" xr:uid="{00000000-0005-0000-0000-000050130000}"/>
    <cellStyle name="40% - Accent3 3 34" xfId="4985" xr:uid="{00000000-0005-0000-0000-000051130000}"/>
    <cellStyle name="40% - Accent3 3 35" xfId="4986" xr:uid="{00000000-0005-0000-0000-000052130000}"/>
    <cellStyle name="40% - Accent3 3 36" xfId="4987" xr:uid="{00000000-0005-0000-0000-000053130000}"/>
    <cellStyle name="40% - Accent3 3 37" xfId="4988" xr:uid="{00000000-0005-0000-0000-000054130000}"/>
    <cellStyle name="40% - Accent3 3 38" xfId="4989" xr:uid="{00000000-0005-0000-0000-000055130000}"/>
    <cellStyle name="40% - Accent3 3 39" xfId="4990" xr:uid="{00000000-0005-0000-0000-000056130000}"/>
    <cellStyle name="40% - Accent3 3 4" xfId="4991" xr:uid="{00000000-0005-0000-0000-000057130000}"/>
    <cellStyle name="40% - Accent3 3 4 2" xfId="4992" xr:uid="{00000000-0005-0000-0000-000058130000}"/>
    <cellStyle name="40% - Accent3 3 40" xfId="4993" xr:uid="{00000000-0005-0000-0000-000059130000}"/>
    <cellStyle name="40% - Accent3 3 41" xfId="4994" xr:uid="{00000000-0005-0000-0000-00005A130000}"/>
    <cellStyle name="40% - Accent3 3 42" xfId="4995" xr:uid="{00000000-0005-0000-0000-00005B130000}"/>
    <cellStyle name="40% - Accent3 3 43" xfId="4996" xr:uid="{00000000-0005-0000-0000-00005C130000}"/>
    <cellStyle name="40% - Accent3 3 44" xfId="4997" xr:uid="{00000000-0005-0000-0000-00005D130000}"/>
    <cellStyle name="40% - Accent3 3 45" xfId="4998" xr:uid="{00000000-0005-0000-0000-00005E130000}"/>
    <cellStyle name="40% - Accent3 3 46" xfId="4999" xr:uid="{00000000-0005-0000-0000-00005F130000}"/>
    <cellStyle name="40% - Accent3 3 47" xfId="5000" xr:uid="{00000000-0005-0000-0000-000060130000}"/>
    <cellStyle name="40% - Accent3 3 48" xfId="5001" xr:uid="{00000000-0005-0000-0000-000061130000}"/>
    <cellStyle name="40% - Accent3 3 49" xfId="5002" xr:uid="{00000000-0005-0000-0000-000062130000}"/>
    <cellStyle name="40% - Accent3 3 5" xfId="5003" xr:uid="{00000000-0005-0000-0000-000063130000}"/>
    <cellStyle name="40% - Accent3 3 5 2" xfId="5004" xr:uid="{00000000-0005-0000-0000-000064130000}"/>
    <cellStyle name="40% - Accent3 3 50" xfId="5005" xr:uid="{00000000-0005-0000-0000-000065130000}"/>
    <cellStyle name="40% - Accent3 3 51" xfId="5006" xr:uid="{00000000-0005-0000-0000-000066130000}"/>
    <cellStyle name="40% - Accent3 3 52" xfId="5007" xr:uid="{00000000-0005-0000-0000-000067130000}"/>
    <cellStyle name="40% - Accent3 3 53" xfId="5008" xr:uid="{00000000-0005-0000-0000-000068130000}"/>
    <cellStyle name="40% - Accent3 3 54" xfId="5009" xr:uid="{00000000-0005-0000-0000-000069130000}"/>
    <cellStyle name="40% - Accent3 3 55" xfId="5010" xr:uid="{00000000-0005-0000-0000-00006A130000}"/>
    <cellStyle name="40% - Accent3 3 56" xfId="5011" xr:uid="{00000000-0005-0000-0000-00006B130000}"/>
    <cellStyle name="40% - Accent3 3 57" xfId="5012" xr:uid="{00000000-0005-0000-0000-00006C130000}"/>
    <cellStyle name="40% - Accent3 3 58" xfId="5013" xr:uid="{00000000-0005-0000-0000-00006D130000}"/>
    <cellStyle name="40% - Accent3 3 59" xfId="5014" xr:uid="{00000000-0005-0000-0000-00006E130000}"/>
    <cellStyle name="40% - Accent3 3 6" xfId="5015" xr:uid="{00000000-0005-0000-0000-00006F130000}"/>
    <cellStyle name="40% - Accent3 3 6 2" xfId="5016" xr:uid="{00000000-0005-0000-0000-000070130000}"/>
    <cellStyle name="40% - Accent3 3 60" xfId="5017" xr:uid="{00000000-0005-0000-0000-000071130000}"/>
    <cellStyle name="40% - Accent3 3 61" xfId="5018" xr:uid="{00000000-0005-0000-0000-000072130000}"/>
    <cellStyle name="40% - Accent3 3 62" xfId="5019" xr:uid="{00000000-0005-0000-0000-000073130000}"/>
    <cellStyle name="40% - Accent3 3 63" xfId="5020" xr:uid="{00000000-0005-0000-0000-000074130000}"/>
    <cellStyle name="40% - Accent3 3 64" xfId="5021" xr:uid="{00000000-0005-0000-0000-000075130000}"/>
    <cellStyle name="40% - Accent3 3 65" xfId="5022" xr:uid="{00000000-0005-0000-0000-000076130000}"/>
    <cellStyle name="40% - Accent3 3 66" xfId="5023" xr:uid="{00000000-0005-0000-0000-000077130000}"/>
    <cellStyle name="40% - Accent3 3 67" xfId="5024" xr:uid="{00000000-0005-0000-0000-000078130000}"/>
    <cellStyle name="40% - Accent3 3 68" xfId="5025" xr:uid="{00000000-0005-0000-0000-000079130000}"/>
    <cellStyle name="40% - Accent3 3 69" xfId="5026" xr:uid="{00000000-0005-0000-0000-00007A130000}"/>
    <cellStyle name="40% - Accent3 3 7" xfId="5027" xr:uid="{00000000-0005-0000-0000-00007B130000}"/>
    <cellStyle name="40% - Accent3 3 7 2" xfId="5028" xr:uid="{00000000-0005-0000-0000-00007C130000}"/>
    <cellStyle name="40% - Accent3 3 70" xfId="5029" xr:uid="{00000000-0005-0000-0000-00007D130000}"/>
    <cellStyle name="40% - Accent3 3 71" xfId="5030" xr:uid="{00000000-0005-0000-0000-00007E130000}"/>
    <cellStyle name="40% - Accent3 3 72" xfId="5031" xr:uid="{00000000-0005-0000-0000-00007F130000}"/>
    <cellStyle name="40% - Accent3 3 73" xfId="5032" xr:uid="{00000000-0005-0000-0000-000080130000}"/>
    <cellStyle name="40% - Accent3 3 74" xfId="5033" xr:uid="{00000000-0005-0000-0000-000081130000}"/>
    <cellStyle name="40% - Accent3 3 75" xfId="5034" xr:uid="{00000000-0005-0000-0000-000082130000}"/>
    <cellStyle name="40% - Accent3 3 8" xfId="5035" xr:uid="{00000000-0005-0000-0000-000083130000}"/>
    <cellStyle name="40% - Accent3 3 8 2" xfId="5036" xr:uid="{00000000-0005-0000-0000-000084130000}"/>
    <cellStyle name="40% - Accent3 3 9" xfId="5037" xr:uid="{00000000-0005-0000-0000-000085130000}"/>
    <cellStyle name="40% - Accent3 3 9 2" xfId="5038" xr:uid="{00000000-0005-0000-0000-000086130000}"/>
    <cellStyle name="40% - Accent3 30" xfId="5039" xr:uid="{00000000-0005-0000-0000-000087130000}"/>
    <cellStyle name="40% - Accent3 31" xfId="5040" xr:uid="{00000000-0005-0000-0000-000088130000}"/>
    <cellStyle name="40% - Accent3 32" xfId="5041" xr:uid="{00000000-0005-0000-0000-000089130000}"/>
    <cellStyle name="40% - Accent3 33" xfId="5042" xr:uid="{00000000-0005-0000-0000-00008A130000}"/>
    <cellStyle name="40% - Accent3 34" xfId="5043" xr:uid="{00000000-0005-0000-0000-00008B130000}"/>
    <cellStyle name="40% - Accent3 35" xfId="5044" xr:uid="{00000000-0005-0000-0000-00008C130000}"/>
    <cellStyle name="40% - Accent3 36" xfId="5045" xr:uid="{00000000-0005-0000-0000-00008D130000}"/>
    <cellStyle name="40% - Accent3 37" xfId="5046" xr:uid="{00000000-0005-0000-0000-00008E130000}"/>
    <cellStyle name="40% - Accent3 38" xfId="5047" xr:uid="{00000000-0005-0000-0000-00008F130000}"/>
    <cellStyle name="40% - Accent3 39" xfId="5048" xr:uid="{00000000-0005-0000-0000-000090130000}"/>
    <cellStyle name="40% - Accent3 4" xfId="5049" xr:uid="{00000000-0005-0000-0000-000091130000}"/>
    <cellStyle name="40% - Accent3 4 10" xfId="5050" xr:uid="{00000000-0005-0000-0000-000092130000}"/>
    <cellStyle name="40% - Accent3 4 11" xfId="5051" xr:uid="{00000000-0005-0000-0000-000093130000}"/>
    <cellStyle name="40% - Accent3 4 12" xfId="5052" xr:uid="{00000000-0005-0000-0000-000094130000}"/>
    <cellStyle name="40% - Accent3 4 13" xfId="5053" xr:uid="{00000000-0005-0000-0000-000095130000}"/>
    <cellStyle name="40% - Accent3 4 14" xfId="5054" xr:uid="{00000000-0005-0000-0000-000096130000}"/>
    <cellStyle name="40% - Accent3 4 15" xfId="5055" xr:uid="{00000000-0005-0000-0000-000097130000}"/>
    <cellStyle name="40% - Accent3 4 16" xfId="5056" xr:uid="{00000000-0005-0000-0000-000098130000}"/>
    <cellStyle name="40% - Accent3 4 17" xfId="5057" xr:uid="{00000000-0005-0000-0000-000099130000}"/>
    <cellStyle name="40% - Accent3 4 18" xfId="5058" xr:uid="{00000000-0005-0000-0000-00009A130000}"/>
    <cellStyle name="40% - Accent3 4 19" xfId="5059" xr:uid="{00000000-0005-0000-0000-00009B130000}"/>
    <cellStyle name="40% - Accent3 4 2" xfId="5060" xr:uid="{00000000-0005-0000-0000-00009C130000}"/>
    <cellStyle name="40% - Accent3 4 2 2" xfId="5061" xr:uid="{00000000-0005-0000-0000-00009D130000}"/>
    <cellStyle name="40% - Accent3 4 20" xfId="5062" xr:uid="{00000000-0005-0000-0000-00009E130000}"/>
    <cellStyle name="40% - Accent3 4 21" xfId="5063" xr:uid="{00000000-0005-0000-0000-00009F130000}"/>
    <cellStyle name="40% - Accent3 4 22" xfId="5064" xr:uid="{00000000-0005-0000-0000-0000A0130000}"/>
    <cellStyle name="40% - Accent3 4 23" xfId="5065" xr:uid="{00000000-0005-0000-0000-0000A1130000}"/>
    <cellStyle name="40% - Accent3 4 24" xfId="5066" xr:uid="{00000000-0005-0000-0000-0000A2130000}"/>
    <cellStyle name="40% - Accent3 4 25" xfId="5067" xr:uid="{00000000-0005-0000-0000-0000A3130000}"/>
    <cellStyle name="40% - Accent3 4 26" xfId="5068" xr:uid="{00000000-0005-0000-0000-0000A4130000}"/>
    <cellStyle name="40% - Accent3 4 27" xfId="5069" xr:uid="{00000000-0005-0000-0000-0000A5130000}"/>
    <cellStyle name="40% - Accent3 4 28" xfId="5070" xr:uid="{00000000-0005-0000-0000-0000A6130000}"/>
    <cellStyle name="40% - Accent3 4 29" xfId="5071" xr:uid="{00000000-0005-0000-0000-0000A7130000}"/>
    <cellStyle name="40% - Accent3 4 3" xfId="5072" xr:uid="{00000000-0005-0000-0000-0000A8130000}"/>
    <cellStyle name="40% - Accent3 4 3 2" xfId="5073" xr:uid="{00000000-0005-0000-0000-0000A9130000}"/>
    <cellStyle name="40% - Accent3 4 30" xfId="5074" xr:uid="{00000000-0005-0000-0000-0000AA130000}"/>
    <cellStyle name="40% - Accent3 4 31" xfId="5075" xr:uid="{00000000-0005-0000-0000-0000AB130000}"/>
    <cellStyle name="40% - Accent3 4 32" xfId="5076" xr:uid="{00000000-0005-0000-0000-0000AC130000}"/>
    <cellStyle name="40% - Accent3 4 33" xfId="5077" xr:uid="{00000000-0005-0000-0000-0000AD130000}"/>
    <cellStyle name="40% - Accent3 4 34" xfId="5078" xr:uid="{00000000-0005-0000-0000-0000AE130000}"/>
    <cellStyle name="40% - Accent3 4 35" xfId="5079" xr:uid="{00000000-0005-0000-0000-0000AF130000}"/>
    <cellStyle name="40% - Accent3 4 36" xfId="5080" xr:uid="{00000000-0005-0000-0000-0000B0130000}"/>
    <cellStyle name="40% - Accent3 4 37" xfId="5081" xr:uid="{00000000-0005-0000-0000-0000B1130000}"/>
    <cellStyle name="40% - Accent3 4 38" xfId="5082" xr:uid="{00000000-0005-0000-0000-0000B2130000}"/>
    <cellStyle name="40% - Accent3 4 39" xfId="5083" xr:uid="{00000000-0005-0000-0000-0000B3130000}"/>
    <cellStyle name="40% - Accent3 4 4" xfId="5084" xr:uid="{00000000-0005-0000-0000-0000B4130000}"/>
    <cellStyle name="40% - Accent3 4 4 2" xfId="5085" xr:uid="{00000000-0005-0000-0000-0000B5130000}"/>
    <cellStyle name="40% - Accent3 4 40" xfId="5086" xr:uid="{00000000-0005-0000-0000-0000B6130000}"/>
    <cellStyle name="40% - Accent3 4 41" xfId="5087" xr:uid="{00000000-0005-0000-0000-0000B7130000}"/>
    <cellStyle name="40% - Accent3 4 42" xfId="5088" xr:uid="{00000000-0005-0000-0000-0000B8130000}"/>
    <cellStyle name="40% - Accent3 4 43" xfId="5089" xr:uid="{00000000-0005-0000-0000-0000B9130000}"/>
    <cellStyle name="40% - Accent3 4 44" xfId="5090" xr:uid="{00000000-0005-0000-0000-0000BA130000}"/>
    <cellStyle name="40% - Accent3 4 45" xfId="5091" xr:uid="{00000000-0005-0000-0000-0000BB130000}"/>
    <cellStyle name="40% - Accent3 4 46" xfId="5092" xr:uid="{00000000-0005-0000-0000-0000BC130000}"/>
    <cellStyle name="40% - Accent3 4 47" xfId="5093" xr:uid="{00000000-0005-0000-0000-0000BD130000}"/>
    <cellStyle name="40% - Accent3 4 48" xfId="5094" xr:uid="{00000000-0005-0000-0000-0000BE130000}"/>
    <cellStyle name="40% - Accent3 4 49" xfId="5095" xr:uid="{00000000-0005-0000-0000-0000BF130000}"/>
    <cellStyle name="40% - Accent3 4 5" xfId="5096" xr:uid="{00000000-0005-0000-0000-0000C0130000}"/>
    <cellStyle name="40% - Accent3 4 5 2" xfId="5097" xr:uid="{00000000-0005-0000-0000-0000C1130000}"/>
    <cellStyle name="40% - Accent3 4 50" xfId="5098" xr:uid="{00000000-0005-0000-0000-0000C2130000}"/>
    <cellStyle name="40% - Accent3 4 51" xfId="5099" xr:uid="{00000000-0005-0000-0000-0000C3130000}"/>
    <cellStyle name="40% - Accent3 4 52" xfId="5100" xr:uid="{00000000-0005-0000-0000-0000C4130000}"/>
    <cellStyle name="40% - Accent3 4 53" xfId="5101" xr:uid="{00000000-0005-0000-0000-0000C5130000}"/>
    <cellStyle name="40% - Accent3 4 54" xfId="5102" xr:uid="{00000000-0005-0000-0000-0000C6130000}"/>
    <cellStyle name="40% - Accent3 4 55" xfId="5103" xr:uid="{00000000-0005-0000-0000-0000C7130000}"/>
    <cellStyle name="40% - Accent3 4 56" xfId="5104" xr:uid="{00000000-0005-0000-0000-0000C8130000}"/>
    <cellStyle name="40% - Accent3 4 57" xfId="5105" xr:uid="{00000000-0005-0000-0000-0000C9130000}"/>
    <cellStyle name="40% - Accent3 4 58" xfId="5106" xr:uid="{00000000-0005-0000-0000-0000CA130000}"/>
    <cellStyle name="40% - Accent3 4 59" xfId="5107" xr:uid="{00000000-0005-0000-0000-0000CB130000}"/>
    <cellStyle name="40% - Accent3 4 6" xfId="5108" xr:uid="{00000000-0005-0000-0000-0000CC130000}"/>
    <cellStyle name="40% - Accent3 4 6 2" xfId="5109" xr:uid="{00000000-0005-0000-0000-0000CD130000}"/>
    <cellStyle name="40% - Accent3 4 60" xfId="5110" xr:uid="{00000000-0005-0000-0000-0000CE130000}"/>
    <cellStyle name="40% - Accent3 4 61" xfId="5111" xr:uid="{00000000-0005-0000-0000-0000CF130000}"/>
    <cellStyle name="40% - Accent3 4 62" xfId="5112" xr:uid="{00000000-0005-0000-0000-0000D0130000}"/>
    <cellStyle name="40% - Accent3 4 63" xfId="5113" xr:uid="{00000000-0005-0000-0000-0000D1130000}"/>
    <cellStyle name="40% - Accent3 4 64" xfId="5114" xr:uid="{00000000-0005-0000-0000-0000D2130000}"/>
    <cellStyle name="40% - Accent3 4 65" xfId="5115" xr:uid="{00000000-0005-0000-0000-0000D3130000}"/>
    <cellStyle name="40% - Accent3 4 66" xfId="5116" xr:uid="{00000000-0005-0000-0000-0000D4130000}"/>
    <cellStyle name="40% - Accent3 4 67" xfId="5117" xr:uid="{00000000-0005-0000-0000-0000D5130000}"/>
    <cellStyle name="40% - Accent3 4 68" xfId="5118" xr:uid="{00000000-0005-0000-0000-0000D6130000}"/>
    <cellStyle name="40% - Accent3 4 69" xfId="5119" xr:uid="{00000000-0005-0000-0000-0000D7130000}"/>
    <cellStyle name="40% - Accent3 4 7" xfId="5120" xr:uid="{00000000-0005-0000-0000-0000D8130000}"/>
    <cellStyle name="40% - Accent3 4 7 2" xfId="5121" xr:uid="{00000000-0005-0000-0000-0000D9130000}"/>
    <cellStyle name="40% - Accent3 4 70" xfId="5122" xr:uid="{00000000-0005-0000-0000-0000DA130000}"/>
    <cellStyle name="40% - Accent3 4 71" xfId="5123" xr:uid="{00000000-0005-0000-0000-0000DB130000}"/>
    <cellStyle name="40% - Accent3 4 72" xfId="5124" xr:uid="{00000000-0005-0000-0000-0000DC130000}"/>
    <cellStyle name="40% - Accent3 4 73" xfId="5125" xr:uid="{00000000-0005-0000-0000-0000DD130000}"/>
    <cellStyle name="40% - Accent3 4 74" xfId="5126" xr:uid="{00000000-0005-0000-0000-0000DE130000}"/>
    <cellStyle name="40% - Accent3 4 75" xfId="5127" xr:uid="{00000000-0005-0000-0000-0000DF130000}"/>
    <cellStyle name="40% - Accent3 4 8" xfId="5128" xr:uid="{00000000-0005-0000-0000-0000E0130000}"/>
    <cellStyle name="40% - Accent3 4 8 2" xfId="5129" xr:uid="{00000000-0005-0000-0000-0000E1130000}"/>
    <cellStyle name="40% - Accent3 4 9" xfId="5130" xr:uid="{00000000-0005-0000-0000-0000E2130000}"/>
    <cellStyle name="40% - Accent3 4 9 2" xfId="5131" xr:uid="{00000000-0005-0000-0000-0000E3130000}"/>
    <cellStyle name="40% - Accent3 40" xfId="5132" xr:uid="{00000000-0005-0000-0000-0000E4130000}"/>
    <cellStyle name="40% - Accent3 41" xfId="5133" xr:uid="{00000000-0005-0000-0000-0000E5130000}"/>
    <cellStyle name="40% - Accent3 42" xfId="5134" xr:uid="{00000000-0005-0000-0000-0000E6130000}"/>
    <cellStyle name="40% - Accent3 43" xfId="5135" xr:uid="{00000000-0005-0000-0000-0000E7130000}"/>
    <cellStyle name="40% - Accent3 44" xfId="5136" xr:uid="{00000000-0005-0000-0000-0000E8130000}"/>
    <cellStyle name="40% - Accent3 45" xfId="5137" xr:uid="{00000000-0005-0000-0000-0000E9130000}"/>
    <cellStyle name="40% - Accent3 46" xfId="5138" xr:uid="{00000000-0005-0000-0000-0000EA130000}"/>
    <cellStyle name="40% - Accent3 47" xfId="5139" xr:uid="{00000000-0005-0000-0000-0000EB130000}"/>
    <cellStyle name="40% - Accent3 48" xfId="5140" xr:uid="{00000000-0005-0000-0000-0000EC130000}"/>
    <cellStyle name="40% - Accent3 49" xfId="5141" xr:uid="{00000000-0005-0000-0000-0000ED130000}"/>
    <cellStyle name="40% - Accent3 5" xfId="5142" xr:uid="{00000000-0005-0000-0000-0000EE130000}"/>
    <cellStyle name="40% - Accent3 5 10" xfId="5143" xr:uid="{00000000-0005-0000-0000-0000EF130000}"/>
    <cellStyle name="40% - Accent3 5 11" xfId="5144" xr:uid="{00000000-0005-0000-0000-0000F0130000}"/>
    <cellStyle name="40% - Accent3 5 12" xfId="5145" xr:uid="{00000000-0005-0000-0000-0000F1130000}"/>
    <cellStyle name="40% - Accent3 5 13" xfId="5146" xr:uid="{00000000-0005-0000-0000-0000F2130000}"/>
    <cellStyle name="40% - Accent3 5 14" xfId="5147" xr:uid="{00000000-0005-0000-0000-0000F3130000}"/>
    <cellStyle name="40% - Accent3 5 15" xfId="5148" xr:uid="{00000000-0005-0000-0000-0000F4130000}"/>
    <cellStyle name="40% - Accent3 5 16" xfId="5149" xr:uid="{00000000-0005-0000-0000-0000F5130000}"/>
    <cellStyle name="40% - Accent3 5 17" xfId="5150" xr:uid="{00000000-0005-0000-0000-0000F6130000}"/>
    <cellStyle name="40% - Accent3 5 18" xfId="5151" xr:uid="{00000000-0005-0000-0000-0000F7130000}"/>
    <cellStyle name="40% - Accent3 5 19" xfId="5152" xr:uid="{00000000-0005-0000-0000-0000F8130000}"/>
    <cellStyle name="40% - Accent3 5 2" xfId="5153" xr:uid="{00000000-0005-0000-0000-0000F9130000}"/>
    <cellStyle name="40% - Accent3 5 2 2" xfId="5154" xr:uid="{00000000-0005-0000-0000-0000FA130000}"/>
    <cellStyle name="40% - Accent3 5 20" xfId="5155" xr:uid="{00000000-0005-0000-0000-0000FB130000}"/>
    <cellStyle name="40% - Accent3 5 21" xfId="5156" xr:uid="{00000000-0005-0000-0000-0000FC130000}"/>
    <cellStyle name="40% - Accent3 5 22" xfId="5157" xr:uid="{00000000-0005-0000-0000-0000FD130000}"/>
    <cellStyle name="40% - Accent3 5 23" xfId="5158" xr:uid="{00000000-0005-0000-0000-0000FE130000}"/>
    <cellStyle name="40% - Accent3 5 24" xfId="5159" xr:uid="{00000000-0005-0000-0000-0000FF130000}"/>
    <cellStyle name="40% - Accent3 5 25" xfId="5160" xr:uid="{00000000-0005-0000-0000-000000140000}"/>
    <cellStyle name="40% - Accent3 5 26" xfId="5161" xr:uid="{00000000-0005-0000-0000-000001140000}"/>
    <cellStyle name="40% - Accent3 5 27" xfId="5162" xr:uid="{00000000-0005-0000-0000-000002140000}"/>
    <cellStyle name="40% - Accent3 5 28" xfId="5163" xr:uid="{00000000-0005-0000-0000-000003140000}"/>
    <cellStyle name="40% - Accent3 5 29" xfId="5164" xr:uid="{00000000-0005-0000-0000-000004140000}"/>
    <cellStyle name="40% - Accent3 5 3" xfId="5165" xr:uid="{00000000-0005-0000-0000-000005140000}"/>
    <cellStyle name="40% - Accent3 5 30" xfId="5166" xr:uid="{00000000-0005-0000-0000-000006140000}"/>
    <cellStyle name="40% - Accent3 5 31" xfId="5167" xr:uid="{00000000-0005-0000-0000-000007140000}"/>
    <cellStyle name="40% - Accent3 5 32" xfId="5168" xr:uid="{00000000-0005-0000-0000-000008140000}"/>
    <cellStyle name="40% - Accent3 5 33" xfId="5169" xr:uid="{00000000-0005-0000-0000-000009140000}"/>
    <cellStyle name="40% - Accent3 5 34" xfId="5170" xr:uid="{00000000-0005-0000-0000-00000A140000}"/>
    <cellStyle name="40% - Accent3 5 35" xfId="5171" xr:uid="{00000000-0005-0000-0000-00000B140000}"/>
    <cellStyle name="40% - Accent3 5 36" xfId="5172" xr:uid="{00000000-0005-0000-0000-00000C140000}"/>
    <cellStyle name="40% - Accent3 5 37" xfId="5173" xr:uid="{00000000-0005-0000-0000-00000D140000}"/>
    <cellStyle name="40% - Accent3 5 38" xfId="5174" xr:uid="{00000000-0005-0000-0000-00000E140000}"/>
    <cellStyle name="40% - Accent3 5 39" xfId="5175" xr:uid="{00000000-0005-0000-0000-00000F140000}"/>
    <cellStyle name="40% - Accent3 5 4" xfId="5176" xr:uid="{00000000-0005-0000-0000-000010140000}"/>
    <cellStyle name="40% - Accent3 5 5" xfId="5177" xr:uid="{00000000-0005-0000-0000-000011140000}"/>
    <cellStyle name="40% - Accent3 5 6" xfId="5178" xr:uid="{00000000-0005-0000-0000-000012140000}"/>
    <cellStyle name="40% - Accent3 5 7" xfId="5179" xr:uid="{00000000-0005-0000-0000-000013140000}"/>
    <cellStyle name="40% - Accent3 5 8" xfId="5180" xr:uid="{00000000-0005-0000-0000-000014140000}"/>
    <cellStyle name="40% - Accent3 5 9" xfId="5181" xr:uid="{00000000-0005-0000-0000-000015140000}"/>
    <cellStyle name="40% - Accent3 50" xfId="5182" xr:uid="{00000000-0005-0000-0000-000016140000}"/>
    <cellStyle name="40% - Accent3 51" xfId="5183" xr:uid="{00000000-0005-0000-0000-000017140000}"/>
    <cellStyle name="40% - Accent3 52" xfId="5184" xr:uid="{00000000-0005-0000-0000-000018140000}"/>
    <cellStyle name="40% - Accent3 53" xfId="5185" xr:uid="{00000000-0005-0000-0000-000019140000}"/>
    <cellStyle name="40% - Accent3 54" xfId="5186" xr:uid="{00000000-0005-0000-0000-00001A140000}"/>
    <cellStyle name="40% - Accent3 55" xfId="5187" xr:uid="{00000000-0005-0000-0000-00001B140000}"/>
    <cellStyle name="40% - Accent3 56" xfId="5188" xr:uid="{00000000-0005-0000-0000-00001C140000}"/>
    <cellStyle name="40% - Accent3 57" xfId="5189" xr:uid="{00000000-0005-0000-0000-00001D140000}"/>
    <cellStyle name="40% - Accent3 58" xfId="5190" xr:uid="{00000000-0005-0000-0000-00001E140000}"/>
    <cellStyle name="40% - Accent3 59" xfId="5191" xr:uid="{00000000-0005-0000-0000-00001F140000}"/>
    <cellStyle name="40% - Accent3 6" xfId="5192" xr:uid="{00000000-0005-0000-0000-000020140000}"/>
    <cellStyle name="40% - Accent3 6 10" xfId="5193" xr:uid="{00000000-0005-0000-0000-000021140000}"/>
    <cellStyle name="40% - Accent3 6 11" xfId="5194" xr:uid="{00000000-0005-0000-0000-000022140000}"/>
    <cellStyle name="40% - Accent3 6 12" xfId="5195" xr:uid="{00000000-0005-0000-0000-000023140000}"/>
    <cellStyle name="40% - Accent3 6 13" xfId="5196" xr:uid="{00000000-0005-0000-0000-000024140000}"/>
    <cellStyle name="40% - Accent3 6 14" xfId="5197" xr:uid="{00000000-0005-0000-0000-000025140000}"/>
    <cellStyle name="40% - Accent3 6 15" xfId="5198" xr:uid="{00000000-0005-0000-0000-000026140000}"/>
    <cellStyle name="40% - Accent3 6 16" xfId="5199" xr:uid="{00000000-0005-0000-0000-000027140000}"/>
    <cellStyle name="40% - Accent3 6 17" xfId="5200" xr:uid="{00000000-0005-0000-0000-000028140000}"/>
    <cellStyle name="40% - Accent3 6 18" xfId="5201" xr:uid="{00000000-0005-0000-0000-000029140000}"/>
    <cellStyle name="40% - Accent3 6 19" xfId="5202" xr:uid="{00000000-0005-0000-0000-00002A140000}"/>
    <cellStyle name="40% - Accent3 6 2" xfId="5203" xr:uid="{00000000-0005-0000-0000-00002B140000}"/>
    <cellStyle name="40% - Accent3 6 20" xfId="5204" xr:uid="{00000000-0005-0000-0000-00002C140000}"/>
    <cellStyle name="40% - Accent3 6 21" xfId="5205" xr:uid="{00000000-0005-0000-0000-00002D140000}"/>
    <cellStyle name="40% - Accent3 6 22" xfId="5206" xr:uid="{00000000-0005-0000-0000-00002E140000}"/>
    <cellStyle name="40% - Accent3 6 23" xfId="5207" xr:uid="{00000000-0005-0000-0000-00002F140000}"/>
    <cellStyle name="40% - Accent3 6 24" xfId="5208" xr:uid="{00000000-0005-0000-0000-000030140000}"/>
    <cellStyle name="40% - Accent3 6 25" xfId="5209" xr:uid="{00000000-0005-0000-0000-000031140000}"/>
    <cellStyle name="40% - Accent3 6 26" xfId="5210" xr:uid="{00000000-0005-0000-0000-000032140000}"/>
    <cellStyle name="40% - Accent3 6 27" xfId="5211" xr:uid="{00000000-0005-0000-0000-000033140000}"/>
    <cellStyle name="40% - Accent3 6 28" xfId="5212" xr:uid="{00000000-0005-0000-0000-000034140000}"/>
    <cellStyle name="40% - Accent3 6 29" xfId="5213" xr:uid="{00000000-0005-0000-0000-000035140000}"/>
    <cellStyle name="40% - Accent3 6 3" xfId="5214" xr:uid="{00000000-0005-0000-0000-000036140000}"/>
    <cellStyle name="40% - Accent3 6 30" xfId="5215" xr:uid="{00000000-0005-0000-0000-000037140000}"/>
    <cellStyle name="40% - Accent3 6 31" xfId="5216" xr:uid="{00000000-0005-0000-0000-000038140000}"/>
    <cellStyle name="40% - Accent3 6 32" xfId="5217" xr:uid="{00000000-0005-0000-0000-000039140000}"/>
    <cellStyle name="40% - Accent3 6 33" xfId="5218" xr:uid="{00000000-0005-0000-0000-00003A140000}"/>
    <cellStyle name="40% - Accent3 6 34" xfId="5219" xr:uid="{00000000-0005-0000-0000-00003B140000}"/>
    <cellStyle name="40% - Accent3 6 35" xfId="5220" xr:uid="{00000000-0005-0000-0000-00003C140000}"/>
    <cellStyle name="40% - Accent3 6 36" xfId="5221" xr:uid="{00000000-0005-0000-0000-00003D140000}"/>
    <cellStyle name="40% - Accent3 6 37" xfId="5222" xr:uid="{00000000-0005-0000-0000-00003E140000}"/>
    <cellStyle name="40% - Accent3 6 38" xfId="5223" xr:uid="{00000000-0005-0000-0000-00003F140000}"/>
    <cellStyle name="40% - Accent3 6 39" xfId="5224" xr:uid="{00000000-0005-0000-0000-000040140000}"/>
    <cellStyle name="40% - Accent3 6 4" xfId="5225" xr:uid="{00000000-0005-0000-0000-000041140000}"/>
    <cellStyle name="40% - Accent3 6 5" xfId="5226" xr:uid="{00000000-0005-0000-0000-000042140000}"/>
    <cellStyle name="40% - Accent3 6 6" xfId="5227" xr:uid="{00000000-0005-0000-0000-000043140000}"/>
    <cellStyle name="40% - Accent3 6 7" xfId="5228" xr:uid="{00000000-0005-0000-0000-000044140000}"/>
    <cellStyle name="40% - Accent3 6 8" xfId="5229" xr:uid="{00000000-0005-0000-0000-000045140000}"/>
    <cellStyle name="40% - Accent3 6 9" xfId="5230" xr:uid="{00000000-0005-0000-0000-000046140000}"/>
    <cellStyle name="40% - Accent3 60" xfId="5231" xr:uid="{00000000-0005-0000-0000-000047140000}"/>
    <cellStyle name="40% - Accent3 61" xfId="5232" xr:uid="{00000000-0005-0000-0000-000048140000}"/>
    <cellStyle name="40% - Accent3 62" xfId="5233" xr:uid="{00000000-0005-0000-0000-000049140000}"/>
    <cellStyle name="40% - Accent3 63" xfId="5234" xr:uid="{00000000-0005-0000-0000-00004A140000}"/>
    <cellStyle name="40% - Accent3 64" xfId="5235" xr:uid="{00000000-0005-0000-0000-00004B140000}"/>
    <cellStyle name="40% - Accent3 65" xfId="5236" xr:uid="{00000000-0005-0000-0000-00004C140000}"/>
    <cellStyle name="40% - Accent3 66" xfId="5237" xr:uid="{00000000-0005-0000-0000-00004D140000}"/>
    <cellStyle name="40% - Accent3 67" xfId="5238" xr:uid="{00000000-0005-0000-0000-00004E140000}"/>
    <cellStyle name="40% - Accent3 68" xfId="5239" xr:uid="{00000000-0005-0000-0000-00004F140000}"/>
    <cellStyle name="40% - Accent3 69" xfId="5240" xr:uid="{00000000-0005-0000-0000-000050140000}"/>
    <cellStyle name="40% - Accent3 7" xfId="5241" xr:uid="{00000000-0005-0000-0000-000051140000}"/>
    <cellStyle name="40% - Accent3 7 10" xfId="5242" xr:uid="{00000000-0005-0000-0000-000052140000}"/>
    <cellStyle name="40% - Accent3 7 11" xfId="5243" xr:uid="{00000000-0005-0000-0000-000053140000}"/>
    <cellStyle name="40% - Accent3 7 12" xfId="5244" xr:uid="{00000000-0005-0000-0000-000054140000}"/>
    <cellStyle name="40% - Accent3 7 13" xfId="5245" xr:uid="{00000000-0005-0000-0000-000055140000}"/>
    <cellStyle name="40% - Accent3 7 14" xfId="5246" xr:uid="{00000000-0005-0000-0000-000056140000}"/>
    <cellStyle name="40% - Accent3 7 15" xfId="5247" xr:uid="{00000000-0005-0000-0000-000057140000}"/>
    <cellStyle name="40% - Accent3 7 16" xfId="5248" xr:uid="{00000000-0005-0000-0000-000058140000}"/>
    <cellStyle name="40% - Accent3 7 17" xfId="5249" xr:uid="{00000000-0005-0000-0000-000059140000}"/>
    <cellStyle name="40% - Accent3 7 18" xfId="5250" xr:uid="{00000000-0005-0000-0000-00005A140000}"/>
    <cellStyle name="40% - Accent3 7 19" xfId="5251" xr:uid="{00000000-0005-0000-0000-00005B140000}"/>
    <cellStyle name="40% - Accent3 7 2" xfId="5252" xr:uid="{00000000-0005-0000-0000-00005C140000}"/>
    <cellStyle name="40% - Accent3 7 20" xfId="5253" xr:uid="{00000000-0005-0000-0000-00005D140000}"/>
    <cellStyle name="40% - Accent3 7 21" xfId="5254" xr:uid="{00000000-0005-0000-0000-00005E140000}"/>
    <cellStyle name="40% - Accent3 7 22" xfId="5255" xr:uid="{00000000-0005-0000-0000-00005F140000}"/>
    <cellStyle name="40% - Accent3 7 23" xfId="5256" xr:uid="{00000000-0005-0000-0000-000060140000}"/>
    <cellStyle name="40% - Accent3 7 24" xfId="5257" xr:uid="{00000000-0005-0000-0000-000061140000}"/>
    <cellStyle name="40% - Accent3 7 25" xfId="5258" xr:uid="{00000000-0005-0000-0000-000062140000}"/>
    <cellStyle name="40% - Accent3 7 26" xfId="5259" xr:uid="{00000000-0005-0000-0000-000063140000}"/>
    <cellStyle name="40% - Accent3 7 27" xfId="5260" xr:uid="{00000000-0005-0000-0000-000064140000}"/>
    <cellStyle name="40% - Accent3 7 28" xfId="5261" xr:uid="{00000000-0005-0000-0000-000065140000}"/>
    <cellStyle name="40% - Accent3 7 29" xfId="5262" xr:uid="{00000000-0005-0000-0000-000066140000}"/>
    <cellStyle name="40% - Accent3 7 3" xfId="5263" xr:uid="{00000000-0005-0000-0000-000067140000}"/>
    <cellStyle name="40% - Accent3 7 30" xfId="5264" xr:uid="{00000000-0005-0000-0000-000068140000}"/>
    <cellStyle name="40% - Accent3 7 31" xfId="5265" xr:uid="{00000000-0005-0000-0000-000069140000}"/>
    <cellStyle name="40% - Accent3 7 32" xfId="5266" xr:uid="{00000000-0005-0000-0000-00006A140000}"/>
    <cellStyle name="40% - Accent3 7 33" xfId="5267" xr:uid="{00000000-0005-0000-0000-00006B140000}"/>
    <cellStyle name="40% - Accent3 7 34" xfId="5268" xr:uid="{00000000-0005-0000-0000-00006C140000}"/>
    <cellStyle name="40% - Accent3 7 35" xfId="5269" xr:uid="{00000000-0005-0000-0000-00006D140000}"/>
    <cellStyle name="40% - Accent3 7 36" xfId="5270" xr:uid="{00000000-0005-0000-0000-00006E140000}"/>
    <cellStyle name="40% - Accent3 7 37" xfId="5271" xr:uid="{00000000-0005-0000-0000-00006F140000}"/>
    <cellStyle name="40% - Accent3 7 38" xfId="5272" xr:uid="{00000000-0005-0000-0000-000070140000}"/>
    <cellStyle name="40% - Accent3 7 39" xfId="5273" xr:uid="{00000000-0005-0000-0000-000071140000}"/>
    <cellStyle name="40% - Accent3 7 4" xfId="5274" xr:uid="{00000000-0005-0000-0000-000072140000}"/>
    <cellStyle name="40% - Accent3 7 5" xfId="5275" xr:uid="{00000000-0005-0000-0000-000073140000}"/>
    <cellStyle name="40% - Accent3 7 6" xfId="5276" xr:uid="{00000000-0005-0000-0000-000074140000}"/>
    <cellStyle name="40% - Accent3 7 7" xfId="5277" xr:uid="{00000000-0005-0000-0000-000075140000}"/>
    <cellStyle name="40% - Accent3 7 8" xfId="5278" xr:uid="{00000000-0005-0000-0000-000076140000}"/>
    <cellStyle name="40% - Accent3 7 9" xfId="5279" xr:uid="{00000000-0005-0000-0000-000077140000}"/>
    <cellStyle name="40% - Accent3 70" xfId="5280" xr:uid="{00000000-0005-0000-0000-000078140000}"/>
    <cellStyle name="40% - Accent3 71" xfId="5281" xr:uid="{00000000-0005-0000-0000-000079140000}"/>
    <cellStyle name="40% - Accent3 72" xfId="5282" xr:uid="{00000000-0005-0000-0000-00007A140000}"/>
    <cellStyle name="40% - Accent3 73" xfId="5283" xr:uid="{00000000-0005-0000-0000-00007B140000}"/>
    <cellStyle name="40% - Accent3 74" xfId="5284" xr:uid="{00000000-0005-0000-0000-00007C140000}"/>
    <cellStyle name="40% - Accent3 75" xfId="5285" xr:uid="{00000000-0005-0000-0000-00007D140000}"/>
    <cellStyle name="40% - Accent3 76" xfId="5286" xr:uid="{00000000-0005-0000-0000-00007E140000}"/>
    <cellStyle name="40% - Accent3 77" xfId="5287" xr:uid="{00000000-0005-0000-0000-00007F140000}"/>
    <cellStyle name="40% - Accent3 78" xfId="5288" xr:uid="{00000000-0005-0000-0000-000080140000}"/>
    <cellStyle name="40% - Accent3 79" xfId="5289" xr:uid="{00000000-0005-0000-0000-000081140000}"/>
    <cellStyle name="40% - Accent3 8" xfId="5290" xr:uid="{00000000-0005-0000-0000-000082140000}"/>
    <cellStyle name="40% - Accent3 8 10" xfId="5291" xr:uid="{00000000-0005-0000-0000-000083140000}"/>
    <cellStyle name="40% - Accent3 8 11" xfId="5292" xr:uid="{00000000-0005-0000-0000-000084140000}"/>
    <cellStyle name="40% - Accent3 8 12" xfId="5293" xr:uid="{00000000-0005-0000-0000-000085140000}"/>
    <cellStyle name="40% - Accent3 8 13" xfId="5294" xr:uid="{00000000-0005-0000-0000-000086140000}"/>
    <cellStyle name="40% - Accent3 8 14" xfId="5295" xr:uid="{00000000-0005-0000-0000-000087140000}"/>
    <cellStyle name="40% - Accent3 8 15" xfId="5296" xr:uid="{00000000-0005-0000-0000-000088140000}"/>
    <cellStyle name="40% - Accent3 8 16" xfId="5297" xr:uid="{00000000-0005-0000-0000-000089140000}"/>
    <cellStyle name="40% - Accent3 8 17" xfId="5298" xr:uid="{00000000-0005-0000-0000-00008A140000}"/>
    <cellStyle name="40% - Accent3 8 18" xfId="5299" xr:uid="{00000000-0005-0000-0000-00008B140000}"/>
    <cellStyle name="40% - Accent3 8 19" xfId="5300" xr:uid="{00000000-0005-0000-0000-00008C140000}"/>
    <cellStyle name="40% - Accent3 8 2" xfId="5301" xr:uid="{00000000-0005-0000-0000-00008D140000}"/>
    <cellStyle name="40% - Accent3 8 20" xfId="5302" xr:uid="{00000000-0005-0000-0000-00008E140000}"/>
    <cellStyle name="40% - Accent3 8 21" xfId="5303" xr:uid="{00000000-0005-0000-0000-00008F140000}"/>
    <cellStyle name="40% - Accent3 8 22" xfId="5304" xr:uid="{00000000-0005-0000-0000-000090140000}"/>
    <cellStyle name="40% - Accent3 8 23" xfId="5305" xr:uid="{00000000-0005-0000-0000-000091140000}"/>
    <cellStyle name="40% - Accent3 8 24" xfId="5306" xr:uid="{00000000-0005-0000-0000-000092140000}"/>
    <cellStyle name="40% - Accent3 8 25" xfId="5307" xr:uid="{00000000-0005-0000-0000-000093140000}"/>
    <cellStyle name="40% - Accent3 8 26" xfId="5308" xr:uid="{00000000-0005-0000-0000-000094140000}"/>
    <cellStyle name="40% - Accent3 8 27" xfId="5309" xr:uid="{00000000-0005-0000-0000-000095140000}"/>
    <cellStyle name="40% - Accent3 8 28" xfId="5310" xr:uid="{00000000-0005-0000-0000-000096140000}"/>
    <cellStyle name="40% - Accent3 8 29" xfId="5311" xr:uid="{00000000-0005-0000-0000-000097140000}"/>
    <cellStyle name="40% - Accent3 8 3" xfId="5312" xr:uid="{00000000-0005-0000-0000-000098140000}"/>
    <cellStyle name="40% - Accent3 8 30" xfId="5313" xr:uid="{00000000-0005-0000-0000-000099140000}"/>
    <cellStyle name="40% - Accent3 8 31" xfId="5314" xr:uid="{00000000-0005-0000-0000-00009A140000}"/>
    <cellStyle name="40% - Accent3 8 32" xfId="5315" xr:uid="{00000000-0005-0000-0000-00009B140000}"/>
    <cellStyle name="40% - Accent3 8 33" xfId="5316" xr:uid="{00000000-0005-0000-0000-00009C140000}"/>
    <cellStyle name="40% - Accent3 8 34" xfId="5317" xr:uid="{00000000-0005-0000-0000-00009D140000}"/>
    <cellStyle name="40% - Accent3 8 35" xfId="5318" xr:uid="{00000000-0005-0000-0000-00009E140000}"/>
    <cellStyle name="40% - Accent3 8 36" xfId="5319" xr:uid="{00000000-0005-0000-0000-00009F140000}"/>
    <cellStyle name="40% - Accent3 8 37" xfId="5320" xr:uid="{00000000-0005-0000-0000-0000A0140000}"/>
    <cellStyle name="40% - Accent3 8 38" xfId="5321" xr:uid="{00000000-0005-0000-0000-0000A1140000}"/>
    <cellStyle name="40% - Accent3 8 39" xfId="5322" xr:uid="{00000000-0005-0000-0000-0000A2140000}"/>
    <cellStyle name="40% - Accent3 8 4" xfId="5323" xr:uid="{00000000-0005-0000-0000-0000A3140000}"/>
    <cellStyle name="40% - Accent3 8 5" xfId="5324" xr:uid="{00000000-0005-0000-0000-0000A4140000}"/>
    <cellStyle name="40% - Accent3 8 6" xfId="5325" xr:uid="{00000000-0005-0000-0000-0000A5140000}"/>
    <cellStyle name="40% - Accent3 8 7" xfId="5326" xr:uid="{00000000-0005-0000-0000-0000A6140000}"/>
    <cellStyle name="40% - Accent3 8 8" xfId="5327" xr:uid="{00000000-0005-0000-0000-0000A7140000}"/>
    <cellStyle name="40% - Accent3 8 9" xfId="5328" xr:uid="{00000000-0005-0000-0000-0000A8140000}"/>
    <cellStyle name="40% - Accent3 9" xfId="5329" xr:uid="{00000000-0005-0000-0000-0000A9140000}"/>
    <cellStyle name="40% - Accent3 9 10" xfId="5330" xr:uid="{00000000-0005-0000-0000-0000AA140000}"/>
    <cellStyle name="40% - Accent3 9 11" xfId="5331" xr:uid="{00000000-0005-0000-0000-0000AB140000}"/>
    <cellStyle name="40% - Accent3 9 12" xfId="5332" xr:uid="{00000000-0005-0000-0000-0000AC140000}"/>
    <cellStyle name="40% - Accent3 9 13" xfId="5333" xr:uid="{00000000-0005-0000-0000-0000AD140000}"/>
    <cellStyle name="40% - Accent3 9 14" xfId="5334" xr:uid="{00000000-0005-0000-0000-0000AE140000}"/>
    <cellStyle name="40% - Accent3 9 15" xfId="5335" xr:uid="{00000000-0005-0000-0000-0000AF140000}"/>
    <cellStyle name="40% - Accent3 9 16" xfId="5336" xr:uid="{00000000-0005-0000-0000-0000B0140000}"/>
    <cellStyle name="40% - Accent3 9 17" xfId="5337" xr:uid="{00000000-0005-0000-0000-0000B1140000}"/>
    <cellStyle name="40% - Accent3 9 18" xfId="5338" xr:uid="{00000000-0005-0000-0000-0000B2140000}"/>
    <cellStyle name="40% - Accent3 9 19" xfId="5339" xr:uid="{00000000-0005-0000-0000-0000B3140000}"/>
    <cellStyle name="40% - Accent3 9 2" xfId="5340" xr:uid="{00000000-0005-0000-0000-0000B4140000}"/>
    <cellStyle name="40% - Accent3 9 20" xfId="5341" xr:uid="{00000000-0005-0000-0000-0000B5140000}"/>
    <cellStyle name="40% - Accent3 9 21" xfId="5342" xr:uid="{00000000-0005-0000-0000-0000B6140000}"/>
    <cellStyle name="40% - Accent3 9 22" xfId="5343" xr:uid="{00000000-0005-0000-0000-0000B7140000}"/>
    <cellStyle name="40% - Accent3 9 23" xfId="5344" xr:uid="{00000000-0005-0000-0000-0000B8140000}"/>
    <cellStyle name="40% - Accent3 9 24" xfId="5345" xr:uid="{00000000-0005-0000-0000-0000B9140000}"/>
    <cellStyle name="40% - Accent3 9 25" xfId="5346" xr:uid="{00000000-0005-0000-0000-0000BA140000}"/>
    <cellStyle name="40% - Accent3 9 26" xfId="5347" xr:uid="{00000000-0005-0000-0000-0000BB140000}"/>
    <cellStyle name="40% - Accent3 9 27" xfId="5348" xr:uid="{00000000-0005-0000-0000-0000BC140000}"/>
    <cellStyle name="40% - Accent3 9 28" xfId="5349" xr:uid="{00000000-0005-0000-0000-0000BD140000}"/>
    <cellStyle name="40% - Accent3 9 29" xfId="5350" xr:uid="{00000000-0005-0000-0000-0000BE140000}"/>
    <cellStyle name="40% - Accent3 9 3" xfId="5351" xr:uid="{00000000-0005-0000-0000-0000BF140000}"/>
    <cellStyle name="40% - Accent3 9 30" xfId="5352" xr:uid="{00000000-0005-0000-0000-0000C0140000}"/>
    <cellStyle name="40% - Accent3 9 31" xfId="5353" xr:uid="{00000000-0005-0000-0000-0000C1140000}"/>
    <cellStyle name="40% - Accent3 9 32" xfId="5354" xr:uid="{00000000-0005-0000-0000-0000C2140000}"/>
    <cellStyle name="40% - Accent3 9 33" xfId="5355" xr:uid="{00000000-0005-0000-0000-0000C3140000}"/>
    <cellStyle name="40% - Accent3 9 34" xfId="5356" xr:uid="{00000000-0005-0000-0000-0000C4140000}"/>
    <cellStyle name="40% - Accent3 9 35" xfId="5357" xr:uid="{00000000-0005-0000-0000-0000C5140000}"/>
    <cellStyle name="40% - Accent3 9 36" xfId="5358" xr:uid="{00000000-0005-0000-0000-0000C6140000}"/>
    <cellStyle name="40% - Accent3 9 37" xfId="5359" xr:uid="{00000000-0005-0000-0000-0000C7140000}"/>
    <cellStyle name="40% - Accent3 9 38" xfId="5360" xr:uid="{00000000-0005-0000-0000-0000C8140000}"/>
    <cellStyle name="40% - Accent3 9 39" xfId="5361" xr:uid="{00000000-0005-0000-0000-0000C9140000}"/>
    <cellStyle name="40% - Accent3 9 4" xfId="5362" xr:uid="{00000000-0005-0000-0000-0000CA140000}"/>
    <cellStyle name="40% - Accent3 9 5" xfId="5363" xr:uid="{00000000-0005-0000-0000-0000CB140000}"/>
    <cellStyle name="40% - Accent3 9 6" xfId="5364" xr:uid="{00000000-0005-0000-0000-0000CC140000}"/>
    <cellStyle name="40% - Accent3 9 7" xfId="5365" xr:uid="{00000000-0005-0000-0000-0000CD140000}"/>
    <cellStyle name="40% - Accent3 9 8" xfId="5366" xr:uid="{00000000-0005-0000-0000-0000CE140000}"/>
    <cellStyle name="40% - Accent3 9 9" xfId="5367" xr:uid="{00000000-0005-0000-0000-0000CF140000}"/>
    <cellStyle name="40% - Accent4" xfId="33" builtinId="43" customBuiltin="1"/>
    <cellStyle name="40% - Accent4 10" xfId="5368" xr:uid="{00000000-0005-0000-0000-0000D1140000}"/>
    <cellStyle name="40% - Accent4 10 10" xfId="5369" xr:uid="{00000000-0005-0000-0000-0000D2140000}"/>
    <cellStyle name="40% - Accent4 10 11" xfId="5370" xr:uid="{00000000-0005-0000-0000-0000D3140000}"/>
    <cellStyle name="40% - Accent4 10 12" xfId="5371" xr:uid="{00000000-0005-0000-0000-0000D4140000}"/>
    <cellStyle name="40% - Accent4 10 13" xfId="5372" xr:uid="{00000000-0005-0000-0000-0000D5140000}"/>
    <cellStyle name="40% - Accent4 10 14" xfId="5373" xr:uid="{00000000-0005-0000-0000-0000D6140000}"/>
    <cellStyle name="40% - Accent4 10 15" xfId="5374" xr:uid="{00000000-0005-0000-0000-0000D7140000}"/>
    <cellStyle name="40% - Accent4 10 16" xfId="5375" xr:uid="{00000000-0005-0000-0000-0000D8140000}"/>
    <cellStyle name="40% - Accent4 10 17" xfId="5376" xr:uid="{00000000-0005-0000-0000-0000D9140000}"/>
    <cellStyle name="40% - Accent4 10 18" xfId="5377" xr:uid="{00000000-0005-0000-0000-0000DA140000}"/>
    <cellStyle name="40% - Accent4 10 19" xfId="5378" xr:uid="{00000000-0005-0000-0000-0000DB140000}"/>
    <cellStyle name="40% - Accent4 10 2" xfId="5379" xr:uid="{00000000-0005-0000-0000-0000DC140000}"/>
    <cellStyle name="40% - Accent4 10 20" xfId="5380" xr:uid="{00000000-0005-0000-0000-0000DD140000}"/>
    <cellStyle name="40% - Accent4 10 21" xfId="5381" xr:uid="{00000000-0005-0000-0000-0000DE140000}"/>
    <cellStyle name="40% - Accent4 10 22" xfId="5382" xr:uid="{00000000-0005-0000-0000-0000DF140000}"/>
    <cellStyle name="40% - Accent4 10 23" xfId="5383" xr:uid="{00000000-0005-0000-0000-0000E0140000}"/>
    <cellStyle name="40% - Accent4 10 24" xfId="5384" xr:uid="{00000000-0005-0000-0000-0000E1140000}"/>
    <cellStyle name="40% - Accent4 10 25" xfId="5385" xr:uid="{00000000-0005-0000-0000-0000E2140000}"/>
    <cellStyle name="40% - Accent4 10 26" xfId="5386" xr:uid="{00000000-0005-0000-0000-0000E3140000}"/>
    <cellStyle name="40% - Accent4 10 27" xfId="5387" xr:uid="{00000000-0005-0000-0000-0000E4140000}"/>
    <cellStyle name="40% - Accent4 10 28" xfId="5388" xr:uid="{00000000-0005-0000-0000-0000E5140000}"/>
    <cellStyle name="40% - Accent4 10 29" xfId="5389" xr:uid="{00000000-0005-0000-0000-0000E6140000}"/>
    <cellStyle name="40% - Accent4 10 3" xfId="5390" xr:uid="{00000000-0005-0000-0000-0000E7140000}"/>
    <cellStyle name="40% - Accent4 10 30" xfId="5391" xr:uid="{00000000-0005-0000-0000-0000E8140000}"/>
    <cellStyle name="40% - Accent4 10 31" xfId="5392" xr:uid="{00000000-0005-0000-0000-0000E9140000}"/>
    <cellStyle name="40% - Accent4 10 32" xfId="5393" xr:uid="{00000000-0005-0000-0000-0000EA140000}"/>
    <cellStyle name="40% - Accent4 10 33" xfId="5394" xr:uid="{00000000-0005-0000-0000-0000EB140000}"/>
    <cellStyle name="40% - Accent4 10 34" xfId="5395" xr:uid="{00000000-0005-0000-0000-0000EC140000}"/>
    <cellStyle name="40% - Accent4 10 35" xfId="5396" xr:uid="{00000000-0005-0000-0000-0000ED140000}"/>
    <cellStyle name="40% - Accent4 10 36" xfId="5397" xr:uid="{00000000-0005-0000-0000-0000EE140000}"/>
    <cellStyle name="40% - Accent4 10 37" xfId="5398" xr:uid="{00000000-0005-0000-0000-0000EF140000}"/>
    <cellStyle name="40% - Accent4 10 38" xfId="5399" xr:uid="{00000000-0005-0000-0000-0000F0140000}"/>
    <cellStyle name="40% - Accent4 10 39" xfId="5400" xr:uid="{00000000-0005-0000-0000-0000F1140000}"/>
    <cellStyle name="40% - Accent4 10 4" xfId="5401" xr:uid="{00000000-0005-0000-0000-0000F2140000}"/>
    <cellStyle name="40% - Accent4 10 5" xfId="5402" xr:uid="{00000000-0005-0000-0000-0000F3140000}"/>
    <cellStyle name="40% - Accent4 10 6" xfId="5403" xr:uid="{00000000-0005-0000-0000-0000F4140000}"/>
    <cellStyle name="40% - Accent4 10 7" xfId="5404" xr:uid="{00000000-0005-0000-0000-0000F5140000}"/>
    <cellStyle name="40% - Accent4 10 8" xfId="5405" xr:uid="{00000000-0005-0000-0000-0000F6140000}"/>
    <cellStyle name="40% - Accent4 10 9" xfId="5406" xr:uid="{00000000-0005-0000-0000-0000F7140000}"/>
    <cellStyle name="40% - Accent4 11" xfId="5407" xr:uid="{00000000-0005-0000-0000-0000F8140000}"/>
    <cellStyle name="40% - Accent4 11 10" xfId="5408" xr:uid="{00000000-0005-0000-0000-0000F9140000}"/>
    <cellStyle name="40% - Accent4 11 11" xfId="5409" xr:uid="{00000000-0005-0000-0000-0000FA140000}"/>
    <cellStyle name="40% - Accent4 11 12" xfId="5410" xr:uid="{00000000-0005-0000-0000-0000FB140000}"/>
    <cellStyle name="40% - Accent4 11 13" xfId="5411" xr:uid="{00000000-0005-0000-0000-0000FC140000}"/>
    <cellStyle name="40% - Accent4 11 14" xfId="5412" xr:uid="{00000000-0005-0000-0000-0000FD140000}"/>
    <cellStyle name="40% - Accent4 11 15" xfId="5413" xr:uid="{00000000-0005-0000-0000-0000FE140000}"/>
    <cellStyle name="40% - Accent4 11 16" xfId="5414" xr:uid="{00000000-0005-0000-0000-0000FF140000}"/>
    <cellStyle name="40% - Accent4 11 17" xfId="5415" xr:uid="{00000000-0005-0000-0000-000000150000}"/>
    <cellStyle name="40% - Accent4 11 18" xfId="5416" xr:uid="{00000000-0005-0000-0000-000001150000}"/>
    <cellStyle name="40% - Accent4 11 19" xfId="5417" xr:uid="{00000000-0005-0000-0000-000002150000}"/>
    <cellStyle name="40% - Accent4 11 2" xfId="5418" xr:uid="{00000000-0005-0000-0000-000003150000}"/>
    <cellStyle name="40% - Accent4 11 20" xfId="5419" xr:uid="{00000000-0005-0000-0000-000004150000}"/>
    <cellStyle name="40% - Accent4 11 21" xfId="5420" xr:uid="{00000000-0005-0000-0000-000005150000}"/>
    <cellStyle name="40% - Accent4 11 22" xfId="5421" xr:uid="{00000000-0005-0000-0000-000006150000}"/>
    <cellStyle name="40% - Accent4 11 23" xfId="5422" xr:uid="{00000000-0005-0000-0000-000007150000}"/>
    <cellStyle name="40% - Accent4 11 24" xfId="5423" xr:uid="{00000000-0005-0000-0000-000008150000}"/>
    <cellStyle name="40% - Accent4 11 25" xfId="5424" xr:uid="{00000000-0005-0000-0000-000009150000}"/>
    <cellStyle name="40% - Accent4 11 26" xfId="5425" xr:uid="{00000000-0005-0000-0000-00000A150000}"/>
    <cellStyle name="40% - Accent4 11 27" xfId="5426" xr:uid="{00000000-0005-0000-0000-00000B150000}"/>
    <cellStyle name="40% - Accent4 11 28" xfId="5427" xr:uid="{00000000-0005-0000-0000-00000C150000}"/>
    <cellStyle name="40% - Accent4 11 29" xfId="5428" xr:uid="{00000000-0005-0000-0000-00000D150000}"/>
    <cellStyle name="40% - Accent4 11 3" xfId="5429" xr:uid="{00000000-0005-0000-0000-00000E150000}"/>
    <cellStyle name="40% - Accent4 11 30" xfId="5430" xr:uid="{00000000-0005-0000-0000-00000F150000}"/>
    <cellStyle name="40% - Accent4 11 31" xfId="5431" xr:uid="{00000000-0005-0000-0000-000010150000}"/>
    <cellStyle name="40% - Accent4 11 32" xfId="5432" xr:uid="{00000000-0005-0000-0000-000011150000}"/>
    <cellStyle name="40% - Accent4 11 33" xfId="5433" xr:uid="{00000000-0005-0000-0000-000012150000}"/>
    <cellStyle name="40% - Accent4 11 34" xfId="5434" xr:uid="{00000000-0005-0000-0000-000013150000}"/>
    <cellStyle name="40% - Accent4 11 35" xfId="5435" xr:uid="{00000000-0005-0000-0000-000014150000}"/>
    <cellStyle name="40% - Accent4 11 36" xfId="5436" xr:uid="{00000000-0005-0000-0000-000015150000}"/>
    <cellStyle name="40% - Accent4 11 37" xfId="5437" xr:uid="{00000000-0005-0000-0000-000016150000}"/>
    <cellStyle name="40% - Accent4 11 38" xfId="5438" xr:uid="{00000000-0005-0000-0000-000017150000}"/>
    <cellStyle name="40% - Accent4 11 39" xfId="5439" xr:uid="{00000000-0005-0000-0000-000018150000}"/>
    <cellStyle name="40% - Accent4 11 4" xfId="5440" xr:uid="{00000000-0005-0000-0000-000019150000}"/>
    <cellStyle name="40% - Accent4 11 5" xfId="5441" xr:uid="{00000000-0005-0000-0000-00001A150000}"/>
    <cellStyle name="40% - Accent4 11 6" xfId="5442" xr:uid="{00000000-0005-0000-0000-00001B150000}"/>
    <cellStyle name="40% - Accent4 11 7" xfId="5443" xr:uid="{00000000-0005-0000-0000-00001C150000}"/>
    <cellStyle name="40% - Accent4 11 8" xfId="5444" xr:uid="{00000000-0005-0000-0000-00001D150000}"/>
    <cellStyle name="40% - Accent4 11 9" xfId="5445" xr:uid="{00000000-0005-0000-0000-00001E150000}"/>
    <cellStyle name="40% - Accent4 12" xfId="5446" xr:uid="{00000000-0005-0000-0000-00001F150000}"/>
    <cellStyle name="40% - Accent4 13" xfId="5447" xr:uid="{00000000-0005-0000-0000-000020150000}"/>
    <cellStyle name="40% - Accent4 14" xfId="5448" xr:uid="{00000000-0005-0000-0000-000021150000}"/>
    <cellStyle name="40% - Accent4 15" xfId="5449" xr:uid="{00000000-0005-0000-0000-000022150000}"/>
    <cellStyle name="40% - Accent4 16" xfId="5450" xr:uid="{00000000-0005-0000-0000-000023150000}"/>
    <cellStyle name="40% - Accent4 17" xfId="5451" xr:uid="{00000000-0005-0000-0000-000024150000}"/>
    <cellStyle name="40% - Accent4 18" xfId="5452" xr:uid="{00000000-0005-0000-0000-000025150000}"/>
    <cellStyle name="40% - Accent4 19" xfId="5453" xr:uid="{00000000-0005-0000-0000-000026150000}"/>
    <cellStyle name="40% - Accent4 2" xfId="5454" xr:uid="{00000000-0005-0000-0000-000027150000}"/>
    <cellStyle name="40% - Accent4 2 10" xfId="5455" xr:uid="{00000000-0005-0000-0000-000028150000}"/>
    <cellStyle name="40% - Accent4 2 11" xfId="5456" xr:uid="{00000000-0005-0000-0000-000029150000}"/>
    <cellStyle name="40% - Accent4 2 12" xfId="5457" xr:uid="{00000000-0005-0000-0000-00002A150000}"/>
    <cellStyle name="40% - Accent4 2 13" xfId="5458" xr:uid="{00000000-0005-0000-0000-00002B150000}"/>
    <cellStyle name="40% - Accent4 2 14" xfId="5459" xr:uid="{00000000-0005-0000-0000-00002C150000}"/>
    <cellStyle name="40% - Accent4 2 15" xfId="5460" xr:uid="{00000000-0005-0000-0000-00002D150000}"/>
    <cellStyle name="40% - Accent4 2 16" xfId="5461" xr:uid="{00000000-0005-0000-0000-00002E150000}"/>
    <cellStyle name="40% - Accent4 2 17" xfId="5462" xr:uid="{00000000-0005-0000-0000-00002F150000}"/>
    <cellStyle name="40% - Accent4 2 18" xfId="5463" xr:uid="{00000000-0005-0000-0000-000030150000}"/>
    <cellStyle name="40% - Accent4 2 19" xfId="5464" xr:uid="{00000000-0005-0000-0000-000031150000}"/>
    <cellStyle name="40% - Accent4 2 2" xfId="5465" xr:uid="{00000000-0005-0000-0000-000032150000}"/>
    <cellStyle name="40% - Accent4 2 2 2" xfId="5466" xr:uid="{00000000-0005-0000-0000-000033150000}"/>
    <cellStyle name="40% - Accent4 2 20" xfId="5467" xr:uid="{00000000-0005-0000-0000-000034150000}"/>
    <cellStyle name="40% - Accent4 2 21" xfId="5468" xr:uid="{00000000-0005-0000-0000-000035150000}"/>
    <cellStyle name="40% - Accent4 2 22" xfId="5469" xr:uid="{00000000-0005-0000-0000-000036150000}"/>
    <cellStyle name="40% - Accent4 2 23" xfId="5470" xr:uid="{00000000-0005-0000-0000-000037150000}"/>
    <cellStyle name="40% - Accent4 2 24" xfId="5471" xr:uid="{00000000-0005-0000-0000-000038150000}"/>
    <cellStyle name="40% - Accent4 2 25" xfId="5472" xr:uid="{00000000-0005-0000-0000-000039150000}"/>
    <cellStyle name="40% - Accent4 2 26" xfId="5473" xr:uid="{00000000-0005-0000-0000-00003A150000}"/>
    <cellStyle name="40% - Accent4 2 27" xfId="5474" xr:uid="{00000000-0005-0000-0000-00003B150000}"/>
    <cellStyle name="40% - Accent4 2 28" xfId="5475" xr:uid="{00000000-0005-0000-0000-00003C150000}"/>
    <cellStyle name="40% - Accent4 2 29" xfId="5476" xr:uid="{00000000-0005-0000-0000-00003D150000}"/>
    <cellStyle name="40% - Accent4 2 3" xfId="5477" xr:uid="{00000000-0005-0000-0000-00003E150000}"/>
    <cellStyle name="40% - Accent4 2 3 2" xfId="5478" xr:uid="{00000000-0005-0000-0000-00003F150000}"/>
    <cellStyle name="40% - Accent4 2 30" xfId="5479" xr:uid="{00000000-0005-0000-0000-000040150000}"/>
    <cellStyle name="40% - Accent4 2 31" xfId="5480" xr:uid="{00000000-0005-0000-0000-000041150000}"/>
    <cellStyle name="40% - Accent4 2 32" xfId="5481" xr:uid="{00000000-0005-0000-0000-000042150000}"/>
    <cellStyle name="40% - Accent4 2 33" xfId="5482" xr:uid="{00000000-0005-0000-0000-000043150000}"/>
    <cellStyle name="40% - Accent4 2 34" xfId="5483" xr:uid="{00000000-0005-0000-0000-000044150000}"/>
    <cellStyle name="40% - Accent4 2 35" xfId="5484" xr:uid="{00000000-0005-0000-0000-000045150000}"/>
    <cellStyle name="40% - Accent4 2 36" xfId="5485" xr:uid="{00000000-0005-0000-0000-000046150000}"/>
    <cellStyle name="40% - Accent4 2 37" xfId="5486" xr:uid="{00000000-0005-0000-0000-000047150000}"/>
    <cellStyle name="40% - Accent4 2 38" xfId="5487" xr:uid="{00000000-0005-0000-0000-000048150000}"/>
    <cellStyle name="40% - Accent4 2 39" xfId="5488" xr:uid="{00000000-0005-0000-0000-000049150000}"/>
    <cellStyle name="40% - Accent4 2 4" xfId="5489" xr:uid="{00000000-0005-0000-0000-00004A150000}"/>
    <cellStyle name="40% - Accent4 2 4 2" xfId="5490" xr:uid="{00000000-0005-0000-0000-00004B150000}"/>
    <cellStyle name="40% - Accent4 2 40" xfId="5491" xr:uid="{00000000-0005-0000-0000-00004C150000}"/>
    <cellStyle name="40% - Accent4 2 41" xfId="5492" xr:uid="{00000000-0005-0000-0000-00004D150000}"/>
    <cellStyle name="40% - Accent4 2 42" xfId="5493" xr:uid="{00000000-0005-0000-0000-00004E150000}"/>
    <cellStyle name="40% - Accent4 2 43" xfId="5494" xr:uid="{00000000-0005-0000-0000-00004F150000}"/>
    <cellStyle name="40% - Accent4 2 44" xfId="5495" xr:uid="{00000000-0005-0000-0000-000050150000}"/>
    <cellStyle name="40% - Accent4 2 45" xfId="5496" xr:uid="{00000000-0005-0000-0000-000051150000}"/>
    <cellStyle name="40% - Accent4 2 46" xfId="5497" xr:uid="{00000000-0005-0000-0000-000052150000}"/>
    <cellStyle name="40% - Accent4 2 47" xfId="5498" xr:uid="{00000000-0005-0000-0000-000053150000}"/>
    <cellStyle name="40% - Accent4 2 48" xfId="5499" xr:uid="{00000000-0005-0000-0000-000054150000}"/>
    <cellStyle name="40% - Accent4 2 49" xfId="5500" xr:uid="{00000000-0005-0000-0000-000055150000}"/>
    <cellStyle name="40% - Accent4 2 5" xfId="5501" xr:uid="{00000000-0005-0000-0000-000056150000}"/>
    <cellStyle name="40% - Accent4 2 5 2" xfId="5502" xr:uid="{00000000-0005-0000-0000-000057150000}"/>
    <cellStyle name="40% - Accent4 2 50" xfId="5503" xr:uid="{00000000-0005-0000-0000-000058150000}"/>
    <cellStyle name="40% - Accent4 2 51" xfId="5504" xr:uid="{00000000-0005-0000-0000-000059150000}"/>
    <cellStyle name="40% - Accent4 2 52" xfId="5505" xr:uid="{00000000-0005-0000-0000-00005A150000}"/>
    <cellStyle name="40% - Accent4 2 53" xfId="5506" xr:uid="{00000000-0005-0000-0000-00005B150000}"/>
    <cellStyle name="40% - Accent4 2 54" xfId="5507" xr:uid="{00000000-0005-0000-0000-00005C150000}"/>
    <cellStyle name="40% - Accent4 2 55" xfId="5508" xr:uid="{00000000-0005-0000-0000-00005D150000}"/>
    <cellStyle name="40% - Accent4 2 56" xfId="5509" xr:uid="{00000000-0005-0000-0000-00005E150000}"/>
    <cellStyle name="40% - Accent4 2 57" xfId="5510" xr:uid="{00000000-0005-0000-0000-00005F150000}"/>
    <cellStyle name="40% - Accent4 2 58" xfId="5511" xr:uid="{00000000-0005-0000-0000-000060150000}"/>
    <cellStyle name="40% - Accent4 2 59" xfId="5512" xr:uid="{00000000-0005-0000-0000-000061150000}"/>
    <cellStyle name="40% - Accent4 2 6" xfId="5513" xr:uid="{00000000-0005-0000-0000-000062150000}"/>
    <cellStyle name="40% - Accent4 2 6 2" xfId="5514" xr:uid="{00000000-0005-0000-0000-000063150000}"/>
    <cellStyle name="40% - Accent4 2 60" xfId="5515" xr:uid="{00000000-0005-0000-0000-000064150000}"/>
    <cellStyle name="40% - Accent4 2 61" xfId="5516" xr:uid="{00000000-0005-0000-0000-000065150000}"/>
    <cellStyle name="40% - Accent4 2 62" xfId="5517" xr:uid="{00000000-0005-0000-0000-000066150000}"/>
    <cellStyle name="40% - Accent4 2 63" xfId="5518" xr:uid="{00000000-0005-0000-0000-000067150000}"/>
    <cellStyle name="40% - Accent4 2 64" xfId="5519" xr:uid="{00000000-0005-0000-0000-000068150000}"/>
    <cellStyle name="40% - Accent4 2 65" xfId="5520" xr:uid="{00000000-0005-0000-0000-000069150000}"/>
    <cellStyle name="40% - Accent4 2 66" xfId="5521" xr:uid="{00000000-0005-0000-0000-00006A150000}"/>
    <cellStyle name="40% - Accent4 2 67" xfId="5522" xr:uid="{00000000-0005-0000-0000-00006B150000}"/>
    <cellStyle name="40% - Accent4 2 68" xfId="5523" xr:uid="{00000000-0005-0000-0000-00006C150000}"/>
    <cellStyle name="40% - Accent4 2 69" xfId="5524" xr:uid="{00000000-0005-0000-0000-00006D150000}"/>
    <cellStyle name="40% - Accent4 2 7" xfId="5525" xr:uid="{00000000-0005-0000-0000-00006E150000}"/>
    <cellStyle name="40% - Accent4 2 7 2" xfId="5526" xr:uid="{00000000-0005-0000-0000-00006F150000}"/>
    <cellStyle name="40% - Accent4 2 70" xfId="5527" xr:uid="{00000000-0005-0000-0000-000070150000}"/>
    <cellStyle name="40% - Accent4 2 71" xfId="5528" xr:uid="{00000000-0005-0000-0000-000071150000}"/>
    <cellStyle name="40% - Accent4 2 72" xfId="5529" xr:uid="{00000000-0005-0000-0000-000072150000}"/>
    <cellStyle name="40% - Accent4 2 73" xfId="5530" xr:uid="{00000000-0005-0000-0000-000073150000}"/>
    <cellStyle name="40% - Accent4 2 74" xfId="5531" xr:uid="{00000000-0005-0000-0000-000074150000}"/>
    <cellStyle name="40% - Accent4 2 75" xfId="5532" xr:uid="{00000000-0005-0000-0000-000075150000}"/>
    <cellStyle name="40% - Accent4 2 8" xfId="5533" xr:uid="{00000000-0005-0000-0000-000076150000}"/>
    <cellStyle name="40% - Accent4 2 8 2" xfId="5534" xr:uid="{00000000-0005-0000-0000-000077150000}"/>
    <cellStyle name="40% - Accent4 2 9" xfId="5535" xr:uid="{00000000-0005-0000-0000-000078150000}"/>
    <cellStyle name="40% - Accent4 2 9 2" xfId="5536" xr:uid="{00000000-0005-0000-0000-000079150000}"/>
    <cellStyle name="40% - Accent4 20" xfId="5537" xr:uid="{00000000-0005-0000-0000-00007A150000}"/>
    <cellStyle name="40% - Accent4 21" xfId="5538" xr:uid="{00000000-0005-0000-0000-00007B150000}"/>
    <cellStyle name="40% - Accent4 22" xfId="5539" xr:uid="{00000000-0005-0000-0000-00007C150000}"/>
    <cellStyle name="40% - Accent4 23" xfId="5540" xr:uid="{00000000-0005-0000-0000-00007D150000}"/>
    <cellStyle name="40% - Accent4 24" xfId="5541" xr:uid="{00000000-0005-0000-0000-00007E150000}"/>
    <cellStyle name="40% - Accent4 25" xfId="5542" xr:uid="{00000000-0005-0000-0000-00007F150000}"/>
    <cellStyle name="40% - Accent4 26" xfId="5543" xr:uid="{00000000-0005-0000-0000-000080150000}"/>
    <cellStyle name="40% - Accent4 27" xfId="5544" xr:uid="{00000000-0005-0000-0000-000081150000}"/>
    <cellStyle name="40% - Accent4 28" xfId="5545" xr:uid="{00000000-0005-0000-0000-000082150000}"/>
    <cellStyle name="40% - Accent4 29" xfId="5546" xr:uid="{00000000-0005-0000-0000-000083150000}"/>
    <cellStyle name="40% - Accent4 3" xfId="5547" xr:uid="{00000000-0005-0000-0000-000084150000}"/>
    <cellStyle name="40% - Accent4 3 10" xfId="5548" xr:uid="{00000000-0005-0000-0000-000085150000}"/>
    <cellStyle name="40% - Accent4 3 11" xfId="5549" xr:uid="{00000000-0005-0000-0000-000086150000}"/>
    <cellStyle name="40% - Accent4 3 12" xfId="5550" xr:uid="{00000000-0005-0000-0000-000087150000}"/>
    <cellStyle name="40% - Accent4 3 13" xfId="5551" xr:uid="{00000000-0005-0000-0000-000088150000}"/>
    <cellStyle name="40% - Accent4 3 14" xfId="5552" xr:uid="{00000000-0005-0000-0000-000089150000}"/>
    <cellStyle name="40% - Accent4 3 15" xfId="5553" xr:uid="{00000000-0005-0000-0000-00008A150000}"/>
    <cellStyle name="40% - Accent4 3 16" xfId="5554" xr:uid="{00000000-0005-0000-0000-00008B150000}"/>
    <cellStyle name="40% - Accent4 3 17" xfId="5555" xr:uid="{00000000-0005-0000-0000-00008C150000}"/>
    <cellStyle name="40% - Accent4 3 18" xfId="5556" xr:uid="{00000000-0005-0000-0000-00008D150000}"/>
    <cellStyle name="40% - Accent4 3 19" xfId="5557" xr:uid="{00000000-0005-0000-0000-00008E150000}"/>
    <cellStyle name="40% - Accent4 3 2" xfId="5558" xr:uid="{00000000-0005-0000-0000-00008F150000}"/>
    <cellStyle name="40% - Accent4 3 2 2" xfId="5559" xr:uid="{00000000-0005-0000-0000-000090150000}"/>
    <cellStyle name="40% - Accent4 3 20" xfId="5560" xr:uid="{00000000-0005-0000-0000-000091150000}"/>
    <cellStyle name="40% - Accent4 3 21" xfId="5561" xr:uid="{00000000-0005-0000-0000-000092150000}"/>
    <cellStyle name="40% - Accent4 3 22" xfId="5562" xr:uid="{00000000-0005-0000-0000-000093150000}"/>
    <cellStyle name="40% - Accent4 3 23" xfId="5563" xr:uid="{00000000-0005-0000-0000-000094150000}"/>
    <cellStyle name="40% - Accent4 3 24" xfId="5564" xr:uid="{00000000-0005-0000-0000-000095150000}"/>
    <cellStyle name="40% - Accent4 3 25" xfId="5565" xr:uid="{00000000-0005-0000-0000-000096150000}"/>
    <cellStyle name="40% - Accent4 3 26" xfId="5566" xr:uid="{00000000-0005-0000-0000-000097150000}"/>
    <cellStyle name="40% - Accent4 3 27" xfId="5567" xr:uid="{00000000-0005-0000-0000-000098150000}"/>
    <cellStyle name="40% - Accent4 3 28" xfId="5568" xr:uid="{00000000-0005-0000-0000-000099150000}"/>
    <cellStyle name="40% - Accent4 3 29" xfId="5569" xr:uid="{00000000-0005-0000-0000-00009A150000}"/>
    <cellStyle name="40% - Accent4 3 3" xfId="5570" xr:uid="{00000000-0005-0000-0000-00009B150000}"/>
    <cellStyle name="40% - Accent4 3 3 2" xfId="5571" xr:uid="{00000000-0005-0000-0000-00009C150000}"/>
    <cellStyle name="40% - Accent4 3 30" xfId="5572" xr:uid="{00000000-0005-0000-0000-00009D150000}"/>
    <cellStyle name="40% - Accent4 3 31" xfId="5573" xr:uid="{00000000-0005-0000-0000-00009E150000}"/>
    <cellStyle name="40% - Accent4 3 32" xfId="5574" xr:uid="{00000000-0005-0000-0000-00009F150000}"/>
    <cellStyle name="40% - Accent4 3 33" xfId="5575" xr:uid="{00000000-0005-0000-0000-0000A0150000}"/>
    <cellStyle name="40% - Accent4 3 34" xfId="5576" xr:uid="{00000000-0005-0000-0000-0000A1150000}"/>
    <cellStyle name="40% - Accent4 3 35" xfId="5577" xr:uid="{00000000-0005-0000-0000-0000A2150000}"/>
    <cellStyle name="40% - Accent4 3 36" xfId="5578" xr:uid="{00000000-0005-0000-0000-0000A3150000}"/>
    <cellStyle name="40% - Accent4 3 37" xfId="5579" xr:uid="{00000000-0005-0000-0000-0000A4150000}"/>
    <cellStyle name="40% - Accent4 3 38" xfId="5580" xr:uid="{00000000-0005-0000-0000-0000A5150000}"/>
    <cellStyle name="40% - Accent4 3 39" xfId="5581" xr:uid="{00000000-0005-0000-0000-0000A6150000}"/>
    <cellStyle name="40% - Accent4 3 4" xfId="5582" xr:uid="{00000000-0005-0000-0000-0000A7150000}"/>
    <cellStyle name="40% - Accent4 3 4 2" xfId="5583" xr:uid="{00000000-0005-0000-0000-0000A8150000}"/>
    <cellStyle name="40% - Accent4 3 40" xfId="5584" xr:uid="{00000000-0005-0000-0000-0000A9150000}"/>
    <cellStyle name="40% - Accent4 3 41" xfId="5585" xr:uid="{00000000-0005-0000-0000-0000AA150000}"/>
    <cellStyle name="40% - Accent4 3 42" xfId="5586" xr:uid="{00000000-0005-0000-0000-0000AB150000}"/>
    <cellStyle name="40% - Accent4 3 43" xfId="5587" xr:uid="{00000000-0005-0000-0000-0000AC150000}"/>
    <cellStyle name="40% - Accent4 3 44" xfId="5588" xr:uid="{00000000-0005-0000-0000-0000AD150000}"/>
    <cellStyle name="40% - Accent4 3 45" xfId="5589" xr:uid="{00000000-0005-0000-0000-0000AE150000}"/>
    <cellStyle name="40% - Accent4 3 46" xfId="5590" xr:uid="{00000000-0005-0000-0000-0000AF150000}"/>
    <cellStyle name="40% - Accent4 3 47" xfId="5591" xr:uid="{00000000-0005-0000-0000-0000B0150000}"/>
    <cellStyle name="40% - Accent4 3 48" xfId="5592" xr:uid="{00000000-0005-0000-0000-0000B1150000}"/>
    <cellStyle name="40% - Accent4 3 49" xfId="5593" xr:uid="{00000000-0005-0000-0000-0000B2150000}"/>
    <cellStyle name="40% - Accent4 3 5" xfId="5594" xr:uid="{00000000-0005-0000-0000-0000B3150000}"/>
    <cellStyle name="40% - Accent4 3 5 2" xfId="5595" xr:uid="{00000000-0005-0000-0000-0000B4150000}"/>
    <cellStyle name="40% - Accent4 3 50" xfId="5596" xr:uid="{00000000-0005-0000-0000-0000B5150000}"/>
    <cellStyle name="40% - Accent4 3 51" xfId="5597" xr:uid="{00000000-0005-0000-0000-0000B6150000}"/>
    <cellStyle name="40% - Accent4 3 52" xfId="5598" xr:uid="{00000000-0005-0000-0000-0000B7150000}"/>
    <cellStyle name="40% - Accent4 3 53" xfId="5599" xr:uid="{00000000-0005-0000-0000-0000B8150000}"/>
    <cellStyle name="40% - Accent4 3 54" xfId="5600" xr:uid="{00000000-0005-0000-0000-0000B9150000}"/>
    <cellStyle name="40% - Accent4 3 55" xfId="5601" xr:uid="{00000000-0005-0000-0000-0000BA150000}"/>
    <cellStyle name="40% - Accent4 3 56" xfId="5602" xr:uid="{00000000-0005-0000-0000-0000BB150000}"/>
    <cellStyle name="40% - Accent4 3 57" xfId="5603" xr:uid="{00000000-0005-0000-0000-0000BC150000}"/>
    <cellStyle name="40% - Accent4 3 58" xfId="5604" xr:uid="{00000000-0005-0000-0000-0000BD150000}"/>
    <cellStyle name="40% - Accent4 3 59" xfId="5605" xr:uid="{00000000-0005-0000-0000-0000BE150000}"/>
    <cellStyle name="40% - Accent4 3 6" xfId="5606" xr:uid="{00000000-0005-0000-0000-0000BF150000}"/>
    <cellStyle name="40% - Accent4 3 6 2" xfId="5607" xr:uid="{00000000-0005-0000-0000-0000C0150000}"/>
    <cellStyle name="40% - Accent4 3 60" xfId="5608" xr:uid="{00000000-0005-0000-0000-0000C1150000}"/>
    <cellStyle name="40% - Accent4 3 61" xfId="5609" xr:uid="{00000000-0005-0000-0000-0000C2150000}"/>
    <cellStyle name="40% - Accent4 3 62" xfId="5610" xr:uid="{00000000-0005-0000-0000-0000C3150000}"/>
    <cellStyle name="40% - Accent4 3 63" xfId="5611" xr:uid="{00000000-0005-0000-0000-0000C4150000}"/>
    <cellStyle name="40% - Accent4 3 64" xfId="5612" xr:uid="{00000000-0005-0000-0000-0000C5150000}"/>
    <cellStyle name="40% - Accent4 3 65" xfId="5613" xr:uid="{00000000-0005-0000-0000-0000C6150000}"/>
    <cellStyle name="40% - Accent4 3 66" xfId="5614" xr:uid="{00000000-0005-0000-0000-0000C7150000}"/>
    <cellStyle name="40% - Accent4 3 67" xfId="5615" xr:uid="{00000000-0005-0000-0000-0000C8150000}"/>
    <cellStyle name="40% - Accent4 3 68" xfId="5616" xr:uid="{00000000-0005-0000-0000-0000C9150000}"/>
    <cellStyle name="40% - Accent4 3 69" xfId="5617" xr:uid="{00000000-0005-0000-0000-0000CA150000}"/>
    <cellStyle name="40% - Accent4 3 7" xfId="5618" xr:uid="{00000000-0005-0000-0000-0000CB150000}"/>
    <cellStyle name="40% - Accent4 3 7 2" xfId="5619" xr:uid="{00000000-0005-0000-0000-0000CC150000}"/>
    <cellStyle name="40% - Accent4 3 70" xfId="5620" xr:uid="{00000000-0005-0000-0000-0000CD150000}"/>
    <cellStyle name="40% - Accent4 3 71" xfId="5621" xr:uid="{00000000-0005-0000-0000-0000CE150000}"/>
    <cellStyle name="40% - Accent4 3 72" xfId="5622" xr:uid="{00000000-0005-0000-0000-0000CF150000}"/>
    <cellStyle name="40% - Accent4 3 73" xfId="5623" xr:uid="{00000000-0005-0000-0000-0000D0150000}"/>
    <cellStyle name="40% - Accent4 3 74" xfId="5624" xr:uid="{00000000-0005-0000-0000-0000D1150000}"/>
    <cellStyle name="40% - Accent4 3 75" xfId="5625" xr:uid="{00000000-0005-0000-0000-0000D2150000}"/>
    <cellStyle name="40% - Accent4 3 8" xfId="5626" xr:uid="{00000000-0005-0000-0000-0000D3150000}"/>
    <cellStyle name="40% - Accent4 3 8 2" xfId="5627" xr:uid="{00000000-0005-0000-0000-0000D4150000}"/>
    <cellStyle name="40% - Accent4 3 9" xfId="5628" xr:uid="{00000000-0005-0000-0000-0000D5150000}"/>
    <cellStyle name="40% - Accent4 3 9 2" xfId="5629" xr:uid="{00000000-0005-0000-0000-0000D6150000}"/>
    <cellStyle name="40% - Accent4 30" xfId="5630" xr:uid="{00000000-0005-0000-0000-0000D7150000}"/>
    <cellStyle name="40% - Accent4 31" xfId="5631" xr:uid="{00000000-0005-0000-0000-0000D8150000}"/>
    <cellStyle name="40% - Accent4 32" xfId="5632" xr:uid="{00000000-0005-0000-0000-0000D9150000}"/>
    <cellStyle name="40% - Accent4 33" xfId="5633" xr:uid="{00000000-0005-0000-0000-0000DA150000}"/>
    <cellStyle name="40% - Accent4 34" xfId="5634" xr:uid="{00000000-0005-0000-0000-0000DB150000}"/>
    <cellStyle name="40% - Accent4 35" xfId="5635" xr:uid="{00000000-0005-0000-0000-0000DC150000}"/>
    <cellStyle name="40% - Accent4 36" xfId="5636" xr:uid="{00000000-0005-0000-0000-0000DD150000}"/>
    <cellStyle name="40% - Accent4 37" xfId="5637" xr:uid="{00000000-0005-0000-0000-0000DE150000}"/>
    <cellStyle name="40% - Accent4 38" xfId="5638" xr:uid="{00000000-0005-0000-0000-0000DF150000}"/>
    <cellStyle name="40% - Accent4 39" xfId="5639" xr:uid="{00000000-0005-0000-0000-0000E0150000}"/>
    <cellStyle name="40% - Accent4 4" xfId="5640" xr:uid="{00000000-0005-0000-0000-0000E1150000}"/>
    <cellStyle name="40% - Accent4 4 10" xfId="5641" xr:uid="{00000000-0005-0000-0000-0000E2150000}"/>
    <cellStyle name="40% - Accent4 4 11" xfId="5642" xr:uid="{00000000-0005-0000-0000-0000E3150000}"/>
    <cellStyle name="40% - Accent4 4 12" xfId="5643" xr:uid="{00000000-0005-0000-0000-0000E4150000}"/>
    <cellStyle name="40% - Accent4 4 13" xfId="5644" xr:uid="{00000000-0005-0000-0000-0000E5150000}"/>
    <cellStyle name="40% - Accent4 4 14" xfId="5645" xr:uid="{00000000-0005-0000-0000-0000E6150000}"/>
    <cellStyle name="40% - Accent4 4 15" xfId="5646" xr:uid="{00000000-0005-0000-0000-0000E7150000}"/>
    <cellStyle name="40% - Accent4 4 16" xfId="5647" xr:uid="{00000000-0005-0000-0000-0000E8150000}"/>
    <cellStyle name="40% - Accent4 4 17" xfId="5648" xr:uid="{00000000-0005-0000-0000-0000E9150000}"/>
    <cellStyle name="40% - Accent4 4 18" xfId="5649" xr:uid="{00000000-0005-0000-0000-0000EA150000}"/>
    <cellStyle name="40% - Accent4 4 19" xfId="5650" xr:uid="{00000000-0005-0000-0000-0000EB150000}"/>
    <cellStyle name="40% - Accent4 4 2" xfId="5651" xr:uid="{00000000-0005-0000-0000-0000EC150000}"/>
    <cellStyle name="40% - Accent4 4 2 2" xfId="5652" xr:uid="{00000000-0005-0000-0000-0000ED150000}"/>
    <cellStyle name="40% - Accent4 4 20" xfId="5653" xr:uid="{00000000-0005-0000-0000-0000EE150000}"/>
    <cellStyle name="40% - Accent4 4 21" xfId="5654" xr:uid="{00000000-0005-0000-0000-0000EF150000}"/>
    <cellStyle name="40% - Accent4 4 22" xfId="5655" xr:uid="{00000000-0005-0000-0000-0000F0150000}"/>
    <cellStyle name="40% - Accent4 4 23" xfId="5656" xr:uid="{00000000-0005-0000-0000-0000F1150000}"/>
    <cellStyle name="40% - Accent4 4 24" xfId="5657" xr:uid="{00000000-0005-0000-0000-0000F2150000}"/>
    <cellStyle name="40% - Accent4 4 25" xfId="5658" xr:uid="{00000000-0005-0000-0000-0000F3150000}"/>
    <cellStyle name="40% - Accent4 4 26" xfId="5659" xr:uid="{00000000-0005-0000-0000-0000F4150000}"/>
    <cellStyle name="40% - Accent4 4 27" xfId="5660" xr:uid="{00000000-0005-0000-0000-0000F5150000}"/>
    <cellStyle name="40% - Accent4 4 28" xfId="5661" xr:uid="{00000000-0005-0000-0000-0000F6150000}"/>
    <cellStyle name="40% - Accent4 4 29" xfId="5662" xr:uid="{00000000-0005-0000-0000-0000F7150000}"/>
    <cellStyle name="40% - Accent4 4 3" xfId="5663" xr:uid="{00000000-0005-0000-0000-0000F8150000}"/>
    <cellStyle name="40% - Accent4 4 3 2" xfId="5664" xr:uid="{00000000-0005-0000-0000-0000F9150000}"/>
    <cellStyle name="40% - Accent4 4 30" xfId="5665" xr:uid="{00000000-0005-0000-0000-0000FA150000}"/>
    <cellStyle name="40% - Accent4 4 31" xfId="5666" xr:uid="{00000000-0005-0000-0000-0000FB150000}"/>
    <cellStyle name="40% - Accent4 4 32" xfId="5667" xr:uid="{00000000-0005-0000-0000-0000FC150000}"/>
    <cellStyle name="40% - Accent4 4 33" xfId="5668" xr:uid="{00000000-0005-0000-0000-0000FD150000}"/>
    <cellStyle name="40% - Accent4 4 34" xfId="5669" xr:uid="{00000000-0005-0000-0000-0000FE150000}"/>
    <cellStyle name="40% - Accent4 4 35" xfId="5670" xr:uid="{00000000-0005-0000-0000-0000FF150000}"/>
    <cellStyle name="40% - Accent4 4 36" xfId="5671" xr:uid="{00000000-0005-0000-0000-000000160000}"/>
    <cellStyle name="40% - Accent4 4 37" xfId="5672" xr:uid="{00000000-0005-0000-0000-000001160000}"/>
    <cellStyle name="40% - Accent4 4 38" xfId="5673" xr:uid="{00000000-0005-0000-0000-000002160000}"/>
    <cellStyle name="40% - Accent4 4 39" xfId="5674" xr:uid="{00000000-0005-0000-0000-000003160000}"/>
    <cellStyle name="40% - Accent4 4 4" xfId="5675" xr:uid="{00000000-0005-0000-0000-000004160000}"/>
    <cellStyle name="40% - Accent4 4 4 2" xfId="5676" xr:uid="{00000000-0005-0000-0000-000005160000}"/>
    <cellStyle name="40% - Accent4 4 40" xfId="5677" xr:uid="{00000000-0005-0000-0000-000006160000}"/>
    <cellStyle name="40% - Accent4 4 41" xfId="5678" xr:uid="{00000000-0005-0000-0000-000007160000}"/>
    <cellStyle name="40% - Accent4 4 42" xfId="5679" xr:uid="{00000000-0005-0000-0000-000008160000}"/>
    <cellStyle name="40% - Accent4 4 43" xfId="5680" xr:uid="{00000000-0005-0000-0000-000009160000}"/>
    <cellStyle name="40% - Accent4 4 44" xfId="5681" xr:uid="{00000000-0005-0000-0000-00000A160000}"/>
    <cellStyle name="40% - Accent4 4 45" xfId="5682" xr:uid="{00000000-0005-0000-0000-00000B160000}"/>
    <cellStyle name="40% - Accent4 4 46" xfId="5683" xr:uid="{00000000-0005-0000-0000-00000C160000}"/>
    <cellStyle name="40% - Accent4 4 47" xfId="5684" xr:uid="{00000000-0005-0000-0000-00000D160000}"/>
    <cellStyle name="40% - Accent4 4 48" xfId="5685" xr:uid="{00000000-0005-0000-0000-00000E160000}"/>
    <cellStyle name="40% - Accent4 4 49" xfId="5686" xr:uid="{00000000-0005-0000-0000-00000F160000}"/>
    <cellStyle name="40% - Accent4 4 5" xfId="5687" xr:uid="{00000000-0005-0000-0000-000010160000}"/>
    <cellStyle name="40% - Accent4 4 5 2" xfId="5688" xr:uid="{00000000-0005-0000-0000-000011160000}"/>
    <cellStyle name="40% - Accent4 4 50" xfId="5689" xr:uid="{00000000-0005-0000-0000-000012160000}"/>
    <cellStyle name="40% - Accent4 4 51" xfId="5690" xr:uid="{00000000-0005-0000-0000-000013160000}"/>
    <cellStyle name="40% - Accent4 4 52" xfId="5691" xr:uid="{00000000-0005-0000-0000-000014160000}"/>
    <cellStyle name="40% - Accent4 4 53" xfId="5692" xr:uid="{00000000-0005-0000-0000-000015160000}"/>
    <cellStyle name="40% - Accent4 4 54" xfId="5693" xr:uid="{00000000-0005-0000-0000-000016160000}"/>
    <cellStyle name="40% - Accent4 4 55" xfId="5694" xr:uid="{00000000-0005-0000-0000-000017160000}"/>
    <cellStyle name="40% - Accent4 4 56" xfId="5695" xr:uid="{00000000-0005-0000-0000-000018160000}"/>
    <cellStyle name="40% - Accent4 4 57" xfId="5696" xr:uid="{00000000-0005-0000-0000-000019160000}"/>
    <cellStyle name="40% - Accent4 4 58" xfId="5697" xr:uid="{00000000-0005-0000-0000-00001A160000}"/>
    <cellStyle name="40% - Accent4 4 59" xfId="5698" xr:uid="{00000000-0005-0000-0000-00001B160000}"/>
    <cellStyle name="40% - Accent4 4 6" xfId="5699" xr:uid="{00000000-0005-0000-0000-00001C160000}"/>
    <cellStyle name="40% - Accent4 4 6 2" xfId="5700" xr:uid="{00000000-0005-0000-0000-00001D160000}"/>
    <cellStyle name="40% - Accent4 4 60" xfId="5701" xr:uid="{00000000-0005-0000-0000-00001E160000}"/>
    <cellStyle name="40% - Accent4 4 61" xfId="5702" xr:uid="{00000000-0005-0000-0000-00001F160000}"/>
    <cellStyle name="40% - Accent4 4 62" xfId="5703" xr:uid="{00000000-0005-0000-0000-000020160000}"/>
    <cellStyle name="40% - Accent4 4 63" xfId="5704" xr:uid="{00000000-0005-0000-0000-000021160000}"/>
    <cellStyle name="40% - Accent4 4 64" xfId="5705" xr:uid="{00000000-0005-0000-0000-000022160000}"/>
    <cellStyle name="40% - Accent4 4 65" xfId="5706" xr:uid="{00000000-0005-0000-0000-000023160000}"/>
    <cellStyle name="40% - Accent4 4 66" xfId="5707" xr:uid="{00000000-0005-0000-0000-000024160000}"/>
    <cellStyle name="40% - Accent4 4 67" xfId="5708" xr:uid="{00000000-0005-0000-0000-000025160000}"/>
    <cellStyle name="40% - Accent4 4 68" xfId="5709" xr:uid="{00000000-0005-0000-0000-000026160000}"/>
    <cellStyle name="40% - Accent4 4 69" xfId="5710" xr:uid="{00000000-0005-0000-0000-000027160000}"/>
    <cellStyle name="40% - Accent4 4 7" xfId="5711" xr:uid="{00000000-0005-0000-0000-000028160000}"/>
    <cellStyle name="40% - Accent4 4 7 2" xfId="5712" xr:uid="{00000000-0005-0000-0000-000029160000}"/>
    <cellStyle name="40% - Accent4 4 70" xfId="5713" xr:uid="{00000000-0005-0000-0000-00002A160000}"/>
    <cellStyle name="40% - Accent4 4 71" xfId="5714" xr:uid="{00000000-0005-0000-0000-00002B160000}"/>
    <cellStyle name="40% - Accent4 4 72" xfId="5715" xr:uid="{00000000-0005-0000-0000-00002C160000}"/>
    <cellStyle name="40% - Accent4 4 73" xfId="5716" xr:uid="{00000000-0005-0000-0000-00002D160000}"/>
    <cellStyle name="40% - Accent4 4 74" xfId="5717" xr:uid="{00000000-0005-0000-0000-00002E160000}"/>
    <cellStyle name="40% - Accent4 4 75" xfId="5718" xr:uid="{00000000-0005-0000-0000-00002F160000}"/>
    <cellStyle name="40% - Accent4 4 8" xfId="5719" xr:uid="{00000000-0005-0000-0000-000030160000}"/>
    <cellStyle name="40% - Accent4 4 8 2" xfId="5720" xr:uid="{00000000-0005-0000-0000-000031160000}"/>
    <cellStyle name="40% - Accent4 4 9" xfId="5721" xr:uid="{00000000-0005-0000-0000-000032160000}"/>
    <cellStyle name="40% - Accent4 4 9 2" xfId="5722" xr:uid="{00000000-0005-0000-0000-000033160000}"/>
    <cellStyle name="40% - Accent4 40" xfId="5723" xr:uid="{00000000-0005-0000-0000-000034160000}"/>
    <cellStyle name="40% - Accent4 41" xfId="5724" xr:uid="{00000000-0005-0000-0000-000035160000}"/>
    <cellStyle name="40% - Accent4 42" xfId="5725" xr:uid="{00000000-0005-0000-0000-000036160000}"/>
    <cellStyle name="40% - Accent4 43" xfId="5726" xr:uid="{00000000-0005-0000-0000-000037160000}"/>
    <cellStyle name="40% - Accent4 44" xfId="5727" xr:uid="{00000000-0005-0000-0000-000038160000}"/>
    <cellStyle name="40% - Accent4 45" xfId="5728" xr:uid="{00000000-0005-0000-0000-000039160000}"/>
    <cellStyle name="40% - Accent4 46" xfId="5729" xr:uid="{00000000-0005-0000-0000-00003A160000}"/>
    <cellStyle name="40% - Accent4 47" xfId="5730" xr:uid="{00000000-0005-0000-0000-00003B160000}"/>
    <cellStyle name="40% - Accent4 48" xfId="5731" xr:uid="{00000000-0005-0000-0000-00003C160000}"/>
    <cellStyle name="40% - Accent4 49" xfId="5732" xr:uid="{00000000-0005-0000-0000-00003D160000}"/>
    <cellStyle name="40% - Accent4 5" xfId="5733" xr:uid="{00000000-0005-0000-0000-00003E160000}"/>
    <cellStyle name="40% - Accent4 5 10" xfId="5734" xr:uid="{00000000-0005-0000-0000-00003F160000}"/>
    <cellStyle name="40% - Accent4 5 11" xfId="5735" xr:uid="{00000000-0005-0000-0000-000040160000}"/>
    <cellStyle name="40% - Accent4 5 12" xfId="5736" xr:uid="{00000000-0005-0000-0000-000041160000}"/>
    <cellStyle name="40% - Accent4 5 13" xfId="5737" xr:uid="{00000000-0005-0000-0000-000042160000}"/>
    <cellStyle name="40% - Accent4 5 14" xfId="5738" xr:uid="{00000000-0005-0000-0000-000043160000}"/>
    <cellStyle name="40% - Accent4 5 15" xfId="5739" xr:uid="{00000000-0005-0000-0000-000044160000}"/>
    <cellStyle name="40% - Accent4 5 16" xfId="5740" xr:uid="{00000000-0005-0000-0000-000045160000}"/>
    <cellStyle name="40% - Accent4 5 17" xfId="5741" xr:uid="{00000000-0005-0000-0000-000046160000}"/>
    <cellStyle name="40% - Accent4 5 18" xfId="5742" xr:uid="{00000000-0005-0000-0000-000047160000}"/>
    <cellStyle name="40% - Accent4 5 19" xfId="5743" xr:uid="{00000000-0005-0000-0000-000048160000}"/>
    <cellStyle name="40% - Accent4 5 2" xfId="5744" xr:uid="{00000000-0005-0000-0000-000049160000}"/>
    <cellStyle name="40% - Accent4 5 2 2" xfId="5745" xr:uid="{00000000-0005-0000-0000-00004A160000}"/>
    <cellStyle name="40% - Accent4 5 20" xfId="5746" xr:uid="{00000000-0005-0000-0000-00004B160000}"/>
    <cellStyle name="40% - Accent4 5 21" xfId="5747" xr:uid="{00000000-0005-0000-0000-00004C160000}"/>
    <cellStyle name="40% - Accent4 5 22" xfId="5748" xr:uid="{00000000-0005-0000-0000-00004D160000}"/>
    <cellStyle name="40% - Accent4 5 23" xfId="5749" xr:uid="{00000000-0005-0000-0000-00004E160000}"/>
    <cellStyle name="40% - Accent4 5 24" xfId="5750" xr:uid="{00000000-0005-0000-0000-00004F160000}"/>
    <cellStyle name="40% - Accent4 5 25" xfId="5751" xr:uid="{00000000-0005-0000-0000-000050160000}"/>
    <cellStyle name="40% - Accent4 5 26" xfId="5752" xr:uid="{00000000-0005-0000-0000-000051160000}"/>
    <cellStyle name="40% - Accent4 5 27" xfId="5753" xr:uid="{00000000-0005-0000-0000-000052160000}"/>
    <cellStyle name="40% - Accent4 5 28" xfId="5754" xr:uid="{00000000-0005-0000-0000-000053160000}"/>
    <cellStyle name="40% - Accent4 5 29" xfId="5755" xr:uid="{00000000-0005-0000-0000-000054160000}"/>
    <cellStyle name="40% - Accent4 5 3" xfId="5756" xr:uid="{00000000-0005-0000-0000-000055160000}"/>
    <cellStyle name="40% - Accent4 5 30" xfId="5757" xr:uid="{00000000-0005-0000-0000-000056160000}"/>
    <cellStyle name="40% - Accent4 5 31" xfId="5758" xr:uid="{00000000-0005-0000-0000-000057160000}"/>
    <cellStyle name="40% - Accent4 5 32" xfId="5759" xr:uid="{00000000-0005-0000-0000-000058160000}"/>
    <cellStyle name="40% - Accent4 5 33" xfId="5760" xr:uid="{00000000-0005-0000-0000-000059160000}"/>
    <cellStyle name="40% - Accent4 5 34" xfId="5761" xr:uid="{00000000-0005-0000-0000-00005A160000}"/>
    <cellStyle name="40% - Accent4 5 35" xfId="5762" xr:uid="{00000000-0005-0000-0000-00005B160000}"/>
    <cellStyle name="40% - Accent4 5 36" xfId="5763" xr:uid="{00000000-0005-0000-0000-00005C160000}"/>
    <cellStyle name="40% - Accent4 5 37" xfId="5764" xr:uid="{00000000-0005-0000-0000-00005D160000}"/>
    <cellStyle name="40% - Accent4 5 38" xfId="5765" xr:uid="{00000000-0005-0000-0000-00005E160000}"/>
    <cellStyle name="40% - Accent4 5 39" xfId="5766" xr:uid="{00000000-0005-0000-0000-00005F160000}"/>
    <cellStyle name="40% - Accent4 5 4" xfId="5767" xr:uid="{00000000-0005-0000-0000-000060160000}"/>
    <cellStyle name="40% - Accent4 5 5" xfId="5768" xr:uid="{00000000-0005-0000-0000-000061160000}"/>
    <cellStyle name="40% - Accent4 5 6" xfId="5769" xr:uid="{00000000-0005-0000-0000-000062160000}"/>
    <cellStyle name="40% - Accent4 5 7" xfId="5770" xr:uid="{00000000-0005-0000-0000-000063160000}"/>
    <cellStyle name="40% - Accent4 5 8" xfId="5771" xr:uid="{00000000-0005-0000-0000-000064160000}"/>
    <cellStyle name="40% - Accent4 5 9" xfId="5772" xr:uid="{00000000-0005-0000-0000-000065160000}"/>
    <cellStyle name="40% - Accent4 50" xfId="5773" xr:uid="{00000000-0005-0000-0000-000066160000}"/>
    <cellStyle name="40% - Accent4 51" xfId="5774" xr:uid="{00000000-0005-0000-0000-000067160000}"/>
    <cellStyle name="40% - Accent4 52" xfId="5775" xr:uid="{00000000-0005-0000-0000-000068160000}"/>
    <cellStyle name="40% - Accent4 53" xfId="5776" xr:uid="{00000000-0005-0000-0000-000069160000}"/>
    <cellStyle name="40% - Accent4 54" xfId="5777" xr:uid="{00000000-0005-0000-0000-00006A160000}"/>
    <cellStyle name="40% - Accent4 55" xfId="5778" xr:uid="{00000000-0005-0000-0000-00006B160000}"/>
    <cellStyle name="40% - Accent4 56" xfId="5779" xr:uid="{00000000-0005-0000-0000-00006C160000}"/>
    <cellStyle name="40% - Accent4 57" xfId="5780" xr:uid="{00000000-0005-0000-0000-00006D160000}"/>
    <cellStyle name="40% - Accent4 58" xfId="5781" xr:uid="{00000000-0005-0000-0000-00006E160000}"/>
    <cellStyle name="40% - Accent4 59" xfId="5782" xr:uid="{00000000-0005-0000-0000-00006F160000}"/>
    <cellStyle name="40% - Accent4 6" xfId="5783" xr:uid="{00000000-0005-0000-0000-000070160000}"/>
    <cellStyle name="40% - Accent4 6 10" xfId="5784" xr:uid="{00000000-0005-0000-0000-000071160000}"/>
    <cellStyle name="40% - Accent4 6 11" xfId="5785" xr:uid="{00000000-0005-0000-0000-000072160000}"/>
    <cellStyle name="40% - Accent4 6 12" xfId="5786" xr:uid="{00000000-0005-0000-0000-000073160000}"/>
    <cellStyle name="40% - Accent4 6 13" xfId="5787" xr:uid="{00000000-0005-0000-0000-000074160000}"/>
    <cellStyle name="40% - Accent4 6 14" xfId="5788" xr:uid="{00000000-0005-0000-0000-000075160000}"/>
    <cellStyle name="40% - Accent4 6 15" xfId="5789" xr:uid="{00000000-0005-0000-0000-000076160000}"/>
    <cellStyle name="40% - Accent4 6 16" xfId="5790" xr:uid="{00000000-0005-0000-0000-000077160000}"/>
    <cellStyle name="40% - Accent4 6 17" xfId="5791" xr:uid="{00000000-0005-0000-0000-000078160000}"/>
    <cellStyle name="40% - Accent4 6 18" xfId="5792" xr:uid="{00000000-0005-0000-0000-000079160000}"/>
    <cellStyle name="40% - Accent4 6 19" xfId="5793" xr:uid="{00000000-0005-0000-0000-00007A160000}"/>
    <cellStyle name="40% - Accent4 6 2" xfId="5794" xr:uid="{00000000-0005-0000-0000-00007B160000}"/>
    <cellStyle name="40% - Accent4 6 20" xfId="5795" xr:uid="{00000000-0005-0000-0000-00007C160000}"/>
    <cellStyle name="40% - Accent4 6 21" xfId="5796" xr:uid="{00000000-0005-0000-0000-00007D160000}"/>
    <cellStyle name="40% - Accent4 6 22" xfId="5797" xr:uid="{00000000-0005-0000-0000-00007E160000}"/>
    <cellStyle name="40% - Accent4 6 23" xfId="5798" xr:uid="{00000000-0005-0000-0000-00007F160000}"/>
    <cellStyle name="40% - Accent4 6 24" xfId="5799" xr:uid="{00000000-0005-0000-0000-000080160000}"/>
    <cellStyle name="40% - Accent4 6 25" xfId="5800" xr:uid="{00000000-0005-0000-0000-000081160000}"/>
    <cellStyle name="40% - Accent4 6 26" xfId="5801" xr:uid="{00000000-0005-0000-0000-000082160000}"/>
    <cellStyle name="40% - Accent4 6 27" xfId="5802" xr:uid="{00000000-0005-0000-0000-000083160000}"/>
    <cellStyle name="40% - Accent4 6 28" xfId="5803" xr:uid="{00000000-0005-0000-0000-000084160000}"/>
    <cellStyle name="40% - Accent4 6 29" xfId="5804" xr:uid="{00000000-0005-0000-0000-000085160000}"/>
    <cellStyle name="40% - Accent4 6 3" xfId="5805" xr:uid="{00000000-0005-0000-0000-000086160000}"/>
    <cellStyle name="40% - Accent4 6 30" xfId="5806" xr:uid="{00000000-0005-0000-0000-000087160000}"/>
    <cellStyle name="40% - Accent4 6 31" xfId="5807" xr:uid="{00000000-0005-0000-0000-000088160000}"/>
    <cellStyle name="40% - Accent4 6 32" xfId="5808" xr:uid="{00000000-0005-0000-0000-000089160000}"/>
    <cellStyle name="40% - Accent4 6 33" xfId="5809" xr:uid="{00000000-0005-0000-0000-00008A160000}"/>
    <cellStyle name="40% - Accent4 6 34" xfId="5810" xr:uid="{00000000-0005-0000-0000-00008B160000}"/>
    <cellStyle name="40% - Accent4 6 35" xfId="5811" xr:uid="{00000000-0005-0000-0000-00008C160000}"/>
    <cellStyle name="40% - Accent4 6 36" xfId="5812" xr:uid="{00000000-0005-0000-0000-00008D160000}"/>
    <cellStyle name="40% - Accent4 6 37" xfId="5813" xr:uid="{00000000-0005-0000-0000-00008E160000}"/>
    <cellStyle name="40% - Accent4 6 38" xfId="5814" xr:uid="{00000000-0005-0000-0000-00008F160000}"/>
    <cellStyle name="40% - Accent4 6 39" xfId="5815" xr:uid="{00000000-0005-0000-0000-000090160000}"/>
    <cellStyle name="40% - Accent4 6 4" xfId="5816" xr:uid="{00000000-0005-0000-0000-000091160000}"/>
    <cellStyle name="40% - Accent4 6 5" xfId="5817" xr:uid="{00000000-0005-0000-0000-000092160000}"/>
    <cellStyle name="40% - Accent4 6 6" xfId="5818" xr:uid="{00000000-0005-0000-0000-000093160000}"/>
    <cellStyle name="40% - Accent4 6 7" xfId="5819" xr:uid="{00000000-0005-0000-0000-000094160000}"/>
    <cellStyle name="40% - Accent4 6 8" xfId="5820" xr:uid="{00000000-0005-0000-0000-000095160000}"/>
    <cellStyle name="40% - Accent4 6 9" xfId="5821" xr:uid="{00000000-0005-0000-0000-000096160000}"/>
    <cellStyle name="40% - Accent4 60" xfId="5822" xr:uid="{00000000-0005-0000-0000-000097160000}"/>
    <cellStyle name="40% - Accent4 61" xfId="5823" xr:uid="{00000000-0005-0000-0000-000098160000}"/>
    <cellStyle name="40% - Accent4 62" xfId="5824" xr:uid="{00000000-0005-0000-0000-000099160000}"/>
    <cellStyle name="40% - Accent4 63" xfId="5825" xr:uid="{00000000-0005-0000-0000-00009A160000}"/>
    <cellStyle name="40% - Accent4 64" xfId="5826" xr:uid="{00000000-0005-0000-0000-00009B160000}"/>
    <cellStyle name="40% - Accent4 65" xfId="5827" xr:uid="{00000000-0005-0000-0000-00009C160000}"/>
    <cellStyle name="40% - Accent4 66" xfId="5828" xr:uid="{00000000-0005-0000-0000-00009D160000}"/>
    <cellStyle name="40% - Accent4 67" xfId="5829" xr:uid="{00000000-0005-0000-0000-00009E160000}"/>
    <cellStyle name="40% - Accent4 68" xfId="5830" xr:uid="{00000000-0005-0000-0000-00009F160000}"/>
    <cellStyle name="40% - Accent4 69" xfId="5831" xr:uid="{00000000-0005-0000-0000-0000A0160000}"/>
    <cellStyle name="40% - Accent4 7" xfId="5832" xr:uid="{00000000-0005-0000-0000-0000A1160000}"/>
    <cellStyle name="40% - Accent4 7 10" xfId="5833" xr:uid="{00000000-0005-0000-0000-0000A2160000}"/>
    <cellStyle name="40% - Accent4 7 11" xfId="5834" xr:uid="{00000000-0005-0000-0000-0000A3160000}"/>
    <cellStyle name="40% - Accent4 7 12" xfId="5835" xr:uid="{00000000-0005-0000-0000-0000A4160000}"/>
    <cellStyle name="40% - Accent4 7 13" xfId="5836" xr:uid="{00000000-0005-0000-0000-0000A5160000}"/>
    <cellStyle name="40% - Accent4 7 14" xfId="5837" xr:uid="{00000000-0005-0000-0000-0000A6160000}"/>
    <cellStyle name="40% - Accent4 7 15" xfId="5838" xr:uid="{00000000-0005-0000-0000-0000A7160000}"/>
    <cellStyle name="40% - Accent4 7 16" xfId="5839" xr:uid="{00000000-0005-0000-0000-0000A8160000}"/>
    <cellStyle name="40% - Accent4 7 17" xfId="5840" xr:uid="{00000000-0005-0000-0000-0000A9160000}"/>
    <cellStyle name="40% - Accent4 7 18" xfId="5841" xr:uid="{00000000-0005-0000-0000-0000AA160000}"/>
    <cellStyle name="40% - Accent4 7 19" xfId="5842" xr:uid="{00000000-0005-0000-0000-0000AB160000}"/>
    <cellStyle name="40% - Accent4 7 2" xfId="5843" xr:uid="{00000000-0005-0000-0000-0000AC160000}"/>
    <cellStyle name="40% - Accent4 7 20" xfId="5844" xr:uid="{00000000-0005-0000-0000-0000AD160000}"/>
    <cellStyle name="40% - Accent4 7 21" xfId="5845" xr:uid="{00000000-0005-0000-0000-0000AE160000}"/>
    <cellStyle name="40% - Accent4 7 22" xfId="5846" xr:uid="{00000000-0005-0000-0000-0000AF160000}"/>
    <cellStyle name="40% - Accent4 7 23" xfId="5847" xr:uid="{00000000-0005-0000-0000-0000B0160000}"/>
    <cellStyle name="40% - Accent4 7 24" xfId="5848" xr:uid="{00000000-0005-0000-0000-0000B1160000}"/>
    <cellStyle name="40% - Accent4 7 25" xfId="5849" xr:uid="{00000000-0005-0000-0000-0000B2160000}"/>
    <cellStyle name="40% - Accent4 7 26" xfId="5850" xr:uid="{00000000-0005-0000-0000-0000B3160000}"/>
    <cellStyle name="40% - Accent4 7 27" xfId="5851" xr:uid="{00000000-0005-0000-0000-0000B4160000}"/>
    <cellStyle name="40% - Accent4 7 28" xfId="5852" xr:uid="{00000000-0005-0000-0000-0000B5160000}"/>
    <cellStyle name="40% - Accent4 7 29" xfId="5853" xr:uid="{00000000-0005-0000-0000-0000B6160000}"/>
    <cellStyle name="40% - Accent4 7 3" xfId="5854" xr:uid="{00000000-0005-0000-0000-0000B7160000}"/>
    <cellStyle name="40% - Accent4 7 30" xfId="5855" xr:uid="{00000000-0005-0000-0000-0000B8160000}"/>
    <cellStyle name="40% - Accent4 7 31" xfId="5856" xr:uid="{00000000-0005-0000-0000-0000B9160000}"/>
    <cellStyle name="40% - Accent4 7 32" xfId="5857" xr:uid="{00000000-0005-0000-0000-0000BA160000}"/>
    <cellStyle name="40% - Accent4 7 33" xfId="5858" xr:uid="{00000000-0005-0000-0000-0000BB160000}"/>
    <cellStyle name="40% - Accent4 7 34" xfId="5859" xr:uid="{00000000-0005-0000-0000-0000BC160000}"/>
    <cellStyle name="40% - Accent4 7 35" xfId="5860" xr:uid="{00000000-0005-0000-0000-0000BD160000}"/>
    <cellStyle name="40% - Accent4 7 36" xfId="5861" xr:uid="{00000000-0005-0000-0000-0000BE160000}"/>
    <cellStyle name="40% - Accent4 7 37" xfId="5862" xr:uid="{00000000-0005-0000-0000-0000BF160000}"/>
    <cellStyle name="40% - Accent4 7 38" xfId="5863" xr:uid="{00000000-0005-0000-0000-0000C0160000}"/>
    <cellStyle name="40% - Accent4 7 39" xfId="5864" xr:uid="{00000000-0005-0000-0000-0000C1160000}"/>
    <cellStyle name="40% - Accent4 7 4" xfId="5865" xr:uid="{00000000-0005-0000-0000-0000C2160000}"/>
    <cellStyle name="40% - Accent4 7 5" xfId="5866" xr:uid="{00000000-0005-0000-0000-0000C3160000}"/>
    <cellStyle name="40% - Accent4 7 6" xfId="5867" xr:uid="{00000000-0005-0000-0000-0000C4160000}"/>
    <cellStyle name="40% - Accent4 7 7" xfId="5868" xr:uid="{00000000-0005-0000-0000-0000C5160000}"/>
    <cellStyle name="40% - Accent4 7 8" xfId="5869" xr:uid="{00000000-0005-0000-0000-0000C6160000}"/>
    <cellStyle name="40% - Accent4 7 9" xfId="5870" xr:uid="{00000000-0005-0000-0000-0000C7160000}"/>
    <cellStyle name="40% - Accent4 70" xfId="5871" xr:uid="{00000000-0005-0000-0000-0000C8160000}"/>
    <cellStyle name="40% - Accent4 71" xfId="5872" xr:uid="{00000000-0005-0000-0000-0000C9160000}"/>
    <cellStyle name="40% - Accent4 72" xfId="5873" xr:uid="{00000000-0005-0000-0000-0000CA160000}"/>
    <cellStyle name="40% - Accent4 73" xfId="5874" xr:uid="{00000000-0005-0000-0000-0000CB160000}"/>
    <cellStyle name="40% - Accent4 74" xfId="5875" xr:uid="{00000000-0005-0000-0000-0000CC160000}"/>
    <cellStyle name="40% - Accent4 75" xfId="5876" xr:uid="{00000000-0005-0000-0000-0000CD160000}"/>
    <cellStyle name="40% - Accent4 76" xfId="5877" xr:uid="{00000000-0005-0000-0000-0000CE160000}"/>
    <cellStyle name="40% - Accent4 77" xfId="5878" xr:uid="{00000000-0005-0000-0000-0000CF160000}"/>
    <cellStyle name="40% - Accent4 78" xfId="5879" xr:uid="{00000000-0005-0000-0000-0000D0160000}"/>
    <cellStyle name="40% - Accent4 79" xfId="5880" xr:uid="{00000000-0005-0000-0000-0000D1160000}"/>
    <cellStyle name="40% - Accent4 8" xfId="5881" xr:uid="{00000000-0005-0000-0000-0000D2160000}"/>
    <cellStyle name="40% - Accent4 8 10" xfId="5882" xr:uid="{00000000-0005-0000-0000-0000D3160000}"/>
    <cellStyle name="40% - Accent4 8 11" xfId="5883" xr:uid="{00000000-0005-0000-0000-0000D4160000}"/>
    <cellStyle name="40% - Accent4 8 12" xfId="5884" xr:uid="{00000000-0005-0000-0000-0000D5160000}"/>
    <cellStyle name="40% - Accent4 8 13" xfId="5885" xr:uid="{00000000-0005-0000-0000-0000D6160000}"/>
    <cellStyle name="40% - Accent4 8 14" xfId="5886" xr:uid="{00000000-0005-0000-0000-0000D7160000}"/>
    <cellStyle name="40% - Accent4 8 15" xfId="5887" xr:uid="{00000000-0005-0000-0000-0000D8160000}"/>
    <cellStyle name="40% - Accent4 8 16" xfId="5888" xr:uid="{00000000-0005-0000-0000-0000D9160000}"/>
    <cellStyle name="40% - Accent4 8 17" xfId="5889" xr:uid="{00000000-0005-0000-0000-0000DA160000}"/>
    <cellStyle name="40% - Accent4 8 18" xfId="5890" xr:uid="{00000000-0005-0000-0000-0000DB160000}"/>
    <cellStyle name="40% - Accent4 8 19" xfId="5891" xr:uid="{00000000-0005-0000-0000-0000DC160000}"/>
    <cellStyle name="40% - Accent4 8 2" xfId="5892" xr:uid="{00000000-0005-0000-0000-0000DD160000}"/>
    <cellStyle name="40% - Accent4 8 20" xfId="5893" xr:uid="{00000000-0005-0000-0000-0000DE160000}"/>
    <cellStyle name="40% - Accent4 8 21" xfId="5894" xr:uid="{00000000-0005-0000-0000-0000DF160000}"/>
    <cellStyle name="40% - Accent4 8 22" xfId="5895" xr:uid="{00000000-0005-0000-0000-0000E0160000}"/>
    <cellStyle name="40% - Accent4 8 23" xfId="5896" xr:uid="{00000000-0005-0000-0000-0000E1160000}"/>
    <cellStyle name="40% - Accent4 8 24" xfId="5897" xr:uid="{00000000-0005-0000-0000-0000E2160000}"/>
    <cellStyle name="40% - Accent4 8 25" xfId="5898" xr:uid="{00000000-0005-0000-0000-0000E3160000}"/>
    <cellStyle name="40% - Accent4 8 26" xfId="5899" xr:uid="{00000000-0005-0000-0000-0000E4160000}"/>
    <cellStyle name="40% - Accent4 8 27" xfId="5900" xr:uid="{00000000-0005-0000-0000-0000E5160000}"/>
    <cellStyle name="40% - Accent4 8 28" xfId="5901" xr:uid="{00000000-0005-0000-0000-0000E6160000}"/>
    <cellStyle name="40% - Accent4 8 29" xfId="5902" xr:uid="{00000000-0005-0000-0000-0000E7160000}"/>
    <cellStyle name="40% - Accent4 8 3" xfId="5903" xr:uid="{00000000-0005-0000-0000-0000E8160000}"/>
    <cellStyle name="40% - Accent4 8 30" xfId="5904" xr:uid="{00000000-0005-0000-0000-0000E9160000}"/>
    <cellStyle name="40% - Accent4 8 31" xfId="5905" xr:uid="{00000000-0005-0000-0000-0000EA160000}"/>
    <cellStyle name="40% - Accent4 8 32" xfId="5906" xr:uid="{00000000-0005-0000-0000-0000EB160000}"/>
    <cellStyle name="40% - Accent4 8 33" xfId="5907" xr:uid="{00000000-0005-0000-0000-0000EC160000}"/>
    <cellStyle name="40% - Accent4 8 34" xfId="5908" xr:uid="{00000000-0005-0000-0000-0000ED160000}"/>
    <cellStyle name="40% - Accent4 8 35" xfId="5909" xr:uid="{00000000-0005-0000-0000-0000EE160000}"/>
    <cellStyle name="40% - Accent4 8 36" xfId="5910" xr:uid="{00000000-0005-0000-0000-0000EF160000}"/>
    <cellStyle name="40% - Accent4 8 37" xfId="5911" xr:uid="{00000000-0005-0000-0000-0000F0160000}"/>
    <cellStyle name="40% - Accent4 8 38" xfId="5912" xr:uid="{00000000-0005-0000-0000-0000F1160000}"/>
    <cellStyle name="40% - Accent4 8 39" xfId="5913" xr:uid="{00000000-0005-0000-0000-0000F2160000}"/>
    <cellStyle name="40% - Accent4 8 4" xfId="5914" xr:uid="{00000000-0005-0000-0000-0000F3160000}"/>
    <cellStyle name="40% - Accent4 8 5" xfId="5915" xr:uid="{00000000-0005-0000-0000-0000F4160000}"/>
    <cellStyle name="40% - Accent4 8 6" xfId="5916" xr:uid="{00000000-0005-0000-0000-0000F5160000}"/>
    <cellStyle name="40% - Accent4 8 7" xfId="5917" xr:uid="{00000000-0005-0000-0000-0000F6160000}"/>
    <cellStyle name="40% - Accent4 8 8" xfId="5918" xr:uid="{00000000-0005-0000-0000-0000F7160000}"/>
    <cellStyle name="40% - Accent4 8 9" xfId="5919" xr:uid="{00000000-0005-0000-0000-0000F8160000}"/>
    <cellStyle name="40% - Accent4 9" xfId="5920" xr:uid="{00000000-0005-0000-0000-0000F9160000}"/>
    <cellStyle name="40% - Accent4 9 10" xfId="5921" xr:uid="{00000000-0005-0000-0000-0000FA160000}"/>
    <cellStyle name="40% - Accent4 9 11" xfId="5922" xr:uid="{00000000-0005-0000-0000-0000FB160000}"/>
    <cellStyle name="40% - Accent4 9 12" xfId="5923" xr:uid="{00000000-0005-0000-0000-0000FC160000}"/>
    <cellStyle name="40% - Accent4 9 13" xfId="5924" xr:uid="{00000000-0005-0000-0000-0000FD160000}"/>
    <cellStyle name="40% - Accent4 9 14" xfId="5925" xr:uid="{00000000-0005-0000-0000-0000FE160000}"/>
    <cellStyle name="40% - Accent4 9 15" xfId="5926" xr:uid="{00000000-0005-0000-0000-0000FF160000}"/>
    <cellStyle name="40% - Accent4 9 16" xfId="5927" xr:uid="{00000000-0005-0000-0000-000000170000}"/>
    <cellStyle name="40% - Accent4 9 17" xfId="5928" xr:uid="{00000000-0005-0000-0000-000001170000}"/>
    <cellStyle name="40% - Accent4 9 18" xfId="5929" xr:uid="{00000000-0005-0000-0000-000002170000}"/>
    <cellStyle name="40% - Accent4 9 19" xfId="5930" xr:uid="{00000000-0005-0000-0000-000003170000}"/>
    <cellStyle name="40% - Accent4 9 2" xfId="5931" xr:uid="{00000000-0005-0000-0000-000004170000}"/>
    <cellStyle name="40% - Accent4 9 20" xfId="5932" xr:uid="{00000000-0005-0000-0000-000005170000}"/>
    <cellStyle name="40% - Accent4 9 21" xfId="5933" xr:uid="{00000000-0005-0000-0000-000006170000}"/>
    <cellStyle name="40% - Accent4 9 22" xfId="5934" xr:uid="{00000000-0005-0000-0000-000007170000}"/>
    <cellStyle name="40% - Accent4 9 23" xfId="5935" xr:uid="{00000000-0005-0000-0000-000008170000}"/>
    <cellStyle name="40% - Accent4 9 24" xfId="5936" xr:uid="{00000000-0005-0000-0000-000009170000}"/>
    <cellStyle name="40% - Accent4 9 25" xfId="5937" xr:uid="{00000000-0005-0000-0000-00000A170000}"/>
    <cellStyle name="40% - Accent4 9 26" xfId="5938" xr:uid="{00000000-0005-0000-0000-00000B170000}"/>
    <cellStyle name="40% - Accent4 9 27" xfId="5939" xr:uid="{00000000-0005-0000-0000-00000C170000}"/>
    <cellStyle name="40% - Accent4 9 28" xfId="5940" xr:uid="{00000000-0005-0000-0000-00000D170000}"/>
    <cellStyle name="40% - Accent4 9 29" xfId="5941" xr:uid="{00000000-0005-0000-0000-00000E170000}"/>
    <cellStyle name="40% - Accent4 9 3" xfId="5942" xr:uid="{00000000-0005-0000-0000-00000F170000}"/>
    <cellStyle name="40% - Accent4 9 30" xfId="5943" xr:uid="{00000000-0005-0000-0000-000010170000}"/>
    <cellStyle name="40% - Accent4 9 31" xfId="5944" xr:uid="{00000000-0005-0000-0000-000011170000}"/>
    <cellStyle name="40% - Accent4 9 32" xfId="5945" xr:uid="{00000000-0005-0000-0000-000012170000}"/>
    <cellStyle name="40% - Accent4 9 33" xfId="5946" xr:uid="{00000000-0005-0000-0000-000013170000}"/>
    <cellStyle name="40% - Accent4 9 34" xfId="5947" xr:uid="{00000000-0005-0000-0000-000014170000}"/>
    <cellStyle name="40% - Accent4 9 35" xfId="5948" xr:uid="{00000000-0005-0000-0000-000015170000}"/>
    <cellStyle name="40% - Accent4 9 36" xfId="5949" xr:uid="{00000000-0005-0000-0000-000016170000}"/>
    <cellStyle name="40% - Accent4 9 37" xfId="5950" xr:uid="{00000000-0005-0000-0000-000017170000}"/>
    <cellStyle name="40% - Accent4 9 38" xfId="5951" xr:uid="{00000000-0005-0000-0000-000018170000}"/>
    <cellStyle name="40% - Accent4 9 39" xfId="5952" xr:uid="{00000000-0005-0000-0000-000019170000}"/>
    <cellStyle name="40% - Accent4 9 4" xfId="5953" xr:uid="{00000000-0005-0000-0000-00001A170000}"/>
    <cellStyle name="40% - Accent4 9 5" xfId="5954" xr:uid="{00000000-0005-0000-0000-00001B170000}"/>
    <cellStyle name="40% - Accent4 9 6" xfId="5955" xr:uid="{00000000-0005-0000-0000-00001C170000}"/>
    <cellStyle name="40% - Accent4 9 7" xfId="5956" xr:uid="{00000000-0005-0000-0000-00001D170000}"/>
    <cellStyle name="40% - Accent4 9 8" xfId="5957" xr:uid="{00000000-0005-0000-0000-00001E170000}"/>
    <cellStyle name="40% - Accent4 9 9" xfId="5958" xr:uid="{00000000-0005-0000-0000-00001F170000}"/>
    <cellStyle name="40% - Accent5" xfId="37" builtinId="47" customBuiltin="1"/>
    <cellStyle name="40% - Accent5 10" xfId="5959" xr:uid="{00000000-0005-0000-0000-000021170000}"/>
    <cellStyle name="40% - Accent5 10 10" xfId="5960" xr:uid="{00000000-0005-0000-0000-000022170000}"/>
    <cellStyle name="40% - Accent5 10 11" xfId="5961" xr:uid="{00000000-0005-0000-0000-000023170000}"/>
    <cellStyle name="40% - Accent5 10 12" xfId="5962" xr:uid="{00000000-0005-0000-0000-000024170000}"/>
    <cellStyle name="40% - Accent5 10 13" xfId="5963" xr:uid="{00000000-0005-0000-0000-000025170000}"/>
    <cellStyle name="40% - Accent5 10 14" xfId="5964" xr:uid="{00000000-0005-0000-0000-000026170000}"/>
    <cellStyle name="40% - Accent5 10 15" xfId="5965" xr:uid="{00000000-0005-0000-0000-000027170000}"/>
    <cellStyle name="40% - Accent5 10 16" xfId="5966" xr:uid="{00000000-0005-0000-0000-000028170000}"/>
    <cellStyle name="40% - Accent5 10 17" xfId="5967" xr:uid="{00000000-0005-0000-0000-000029170000}"/>
    <cellStyle name="40% - Accent5 10 18" xfId="5968" xr:uid="{00000000-0005-0000-0000-00002A170000}"/>
    <cellStyle name="40% - Accent5 10 19" xfId="5969" xr:uid="{00000000-0005-0000-0000-00002B170000}"/>
    <cellStyle name="40% - Accent5 10 2" xfId="5970" xr:uid="{00000000-0005-0000-0000-00002C170000}"/>
    <cellStyle name="40% - Accent5 10 20" xfId="5971" xr:uid="{00000000-0005-0000-0000-00002D170000}"/>
    <cellStyle name="40% - Accent5 10 21" xfId="5972" xr:uid="{00000000-0005-0000-0000-00002E170000}"/>
    <cellStyle name="40% - Accent5 10 22" xfId="5973" xr:uid="{00000000-0005-0000-0000-00002F170000}"/>
    <cellStyle name="40% - Accent5 10 23" xfId="5974" xr:uid="{00000000-0005-0000-0000-000030170000}"/>
    <cellStyle name="40% - Accent5 10 24" xfId="5975" xr:uid="{00000000-0005-0000-0000-000031170000}"/>
    <cellStyle name="40% - Accent5 10 25" xfId="5976" xr:uid="{00000000-0005-0000-0000-000032170000}"/>
    <cellStyle name="40% - Accent5 10 26" xfId="5977" xr:uid="{00000000-0005-0000-0000-000033170000}"/>
    <cellStyle name="40% - Accent5 10 27" xfId="5978" xr:uid="{00000000-0005-0000-0000-000034170000}"/>
    <cellStyle name="40% - Accent5 10 28" xfId="5979" xr:uid="{00000000-0005-0000-0000-000035170000}"/>
    <cellStyle name="40% - Accent5 10 29" xfId="5980" xr:uid="{00000000-0005-0000-0000-000036170000}"/>
    <cellStyle name="40% - Accent5 10 3" xfId="5981" xr:uid="{00000000-0005-0000-0000-000037170000}"/>
    <cellStyle name="40% - Accent5 10 30" xfId="5982" xr:uid="{00000000-0005-0000-0000-000038170000}"/>
    <cellStyle name="40% - Accent5 10 31" xfId="5983" xr:uid="{00000000-0005-0000-0000-000039170000}"/>
    <cellStyle name="40% - Accent5 10 32" xfId="5984" xr:uid="{00000000-0005-0000-0000-00003A170000}"/>
    <cellStyle name="40% - Accent5 10 33" xfId="5985" xr:uid="{00000000-0005-0000-0000-00003B170000}"/>
    <cellStyle name="40% - Accent5 10 34" xfId="5986" xr:uid="{00000000-0005-0000-0000-00003C170000}"/>
    <cellStyle name="40% - Accent5 10 35" xfId="5987" xr:uid="{00000000-0005-0000-0000-00003D170000}"/>
    <cellStyle name="40% - Accent5 10 36" xfId="5988" xr:uid="{00000000-0005-0000-0000-00003E170000}"/>
    <cellStyle name="40% - Accent5 10 37" xfId="5989" xr:uid="{00000000-0005-0000-0000-00003F170000}"/>
    <cellStyle name="40% - Accent5 10 38" xfId="5990" xr:uid="{00000000-0005-0000-0000-000040170000}"/>
    <cellStyle name="40% - Accent5 10 39" xfId="5991" xr:uid="{00000000-0005-0000-0000-000041170000}"/>
    <cellStyle name="40% - Accent5 10 4" xfId="5992" xr:uid="{00000000-0005-0000-0000-000042170000}"/>
    <cellStyle name="40% - Accent5 10 5" xfId="5993" xr:uid="{00000000-0005-0000-0000-000043170000}"/>
    <cellStyle name="40% - Accent5 10 6" xfId="5994" xr:uid="{00000000-0005-0000-0000-000044170000}"/>
    <cellStyle name="40% - Accent5 10 7" xfId="5995" xr:uid="{00000000-0005-0000-0000-000045170000}"/>
    <cellStyle name="40% - Accent5 10 8" xfId="5996" xr:uid="{00000000-0005-0000-0000-000046170000}"/>
    <cellStyle name="40% - Accent5 10 9" xfId="5997" xr:uid="{00000000-0005-0000-0000-000047170000}"/>
    <cellStyle name="40% - Accent5 11" xfId="5998" xr:uid="{00000000-0005-0000-0000-000048170000}"/>
    <cellStyle name="40% - Accent5 11 10" xfId="5999" xr:uid="{00000000-0005-0000-0000-000049170000}"/>
    <cellStyle name="40% - Accent5 11 11" xfId="6000" xr:uid="{00000000-0005-0000-0000-00004A170000}"/>
    <cellStyle name="40% - Accent5 11 12" xfId="6001" xr:uid="{00000000-0005-0000-0000-00004B170000}"/>
    <cellStyle name="40% - Accent5 11 13" xfId="6002" xr:uid="{00000000-0005-0000-0000-00004C170000}"/>
    <cellStyle name="40% - Accent5 11 14" xfId="6003" xr:uid="{00000000-0005-0000-0000-00004D170000}"/>
    <cellStyle name="40% - Accent5 11 15" xfId="6004" xr:uid="{00000000-0005-0000-0000-00004E170000}"/>
    <cellStyle name="40% - Accent5 11 16" xfId="6005" xr:uid="{00000000-0005-0000-0000-00004F170000}"/>
    <cellStyle name="40% - Accent5 11 17" xfId="6006" xr:uid="{00000000-0005-0000-0000-000050170000}"/>
    <cellStyle name="40% - Accent5 11 18" xfId="6007" xr:uid="{00000000-0005-0000-0000-000051170000}"/>
    <cellStyle name="40% - Accent5 11 19" xfId="6008" xr:uid="{00000000-0005-0000-0000-000052170000}"/>
    <cellStyle name="40% - Accent5 11 2" xfId="6009" xr:uid="{00000000-0005-0000-0000-000053170000}"/>
    <cellStyle name="40% - Accent5 11 20" xfId="6010" xr:uid="{00000000-0005-0000-0000-000054170000}"/>
    <cellStyle name="40% - Accent5 11 21" xfId="6011" xr:uid="{00000000-0005-0000-0000-000055170000}"/>
    <cellStyle name="40% - Accent5 11 22" xfId="6012" xr:uid="{00000000-0005-0000-0000-000056170000}"/>
    <cellStyle name="40% - Accent5 11 23" xfId="6013" xr:uid="{00000000-0005-0000-0000-000057170000}"/>
    <cellStyle name="40% - Accent5 11 24" xfId="6014" xr:uid="{00000000-0005-0000-0000-000058170000}"/>
    <cellStyle name="40% - Accent5 11 25" xfId="6015" xr:uid="{00000000-0005-0000-0000-000059170000}"/>
    <cellStyle name="40% - Accent5 11 26" xfId="6016" xr:uid="{00000000-0005-0000-0000-00005A170000}"/>
    <cellStyle name="40% - Accent5 11 27" xfId="6017" xr:uid="{00000000-0005-0000-0000-00005B170000}"/>
    <cellStyle name="40% - Accent5 11 28" xfId="6018" xr:uid="{00000000-0005-0000-0000-00005C170000}"/>
    <cellStyle name="40% - Accent5 11 29" xfId="6019" xr:uid="{00000000-0005-0000-0000-00005D170000}"/>
    <cellStyle name="40% - Accent5 11 3" xfId="6020" xr:uid="{00000000-0005-0000-0000-00005E170000}"/>
    <cellStyle name="40% - Accent5 11 30" xfId="6021" xr:uid="{00000000-0005-0000-0000-00005F170000}"/>
    <cellStyle name="40% - Accent5 11 31" xfId="6022" xr:uid="{00000000-0005-0000-0000-000060170000}"/>
    <cellStyle name="40% - Accent5 11 32" xfId="6023" xr:uid="{00000000-0005-0000-0000-000061170000}"/>
    <cellStyle name="40% - Accent5 11 33" xfId="6024" xr:uid="{00000000-0005-0000-0000-000062170000}"/>
    <cellStyle name="40% - Accent5 11 34" xfId="6025" xr:uid="{00000000-0005-0000-0000-000063170000}"/>
    <cellStyle name="40% - Accent5 11 35" xfId="6026" xr:uid="{00000000-0005-0000-0000-000064170000}"/>
    <cellStyle name="40% - Accent5 11 36" xfId="6027" xr:uid="{00000000-0005-0000-0000-000065170000}"/>
    <cellStyle name="40% - Accent5 11 37" xfId="6028" xr:uid="{00000000-0005-0000-0000-000066170000}"/>
    <cellStyle name="40% - Accent5 11 38" xfId="6029" xr:uid="{00000000-0005-0000-0000-000067170000}"/>
    <cellStyle name="40% - Accent5 11 39" xfId="6030" xr:uid="{00000000-0005-0000-0000-000068170000}"/>
    <cellStyle name="40% - Accent5 11 4" xfId="6031" xr:uid="{00000000-0005-0000-0000-000069170000}"/>
    <cellStyle name="40% - Accent5 11 5" xfId="6032" xr:uid="{00000000-0005-0000-0000-00006A170000}"/>
    <cellStyle name="40% - Accent5 11 6" xfId="6033" xr:uid="{00000000-0005-0000-0000-00006B170000}"/>
    <cellStyle name="40% - Accent5 11 7" xfId="6034" xr:uid="{00000000-0005-0000-0000-00006C170000}"/>
    <cellStyle name="40% - Accent5 11 8" xfId="6035" xr:uid="{00000000-0005-0000-0000-00006D170000}"/>
    <cellStyle name="40% - Accent5 11 9" xfId="6036" xr:uid="{00000000-0005-0000-0000-00006E170000}"/>
    <cellStyle name="40% - Accent5 12" xfId="6037" xr:uid="{00000000-0005-0000-0000-00006F170000}"/>
    <cellStyle name="40% - Accent5 13" xfId="6038" xr:uid="{00000000-0005-0000-0000-000070170000}"/>
    <cellStyle name="40% - Accent5 14" xfId="6039" xr:uid="{00000000-0005-0000-0000-000071170000}"/>
    <cellStyle name="40% - Accent5 15" xfId="6040" xr:uid="{00000000-0005-0000-0000-000072170000}"/>
    <cellStyle name="40% - Accent5 16" xfId="6041" xr:uid="{00000000-0005-0000-0000-000073170000}"/>
    <cellStyle name="40% - Accent5 17" xfId="6042" xr:uid="{00000000-0005-0000-0000-000074170000}"/>
    <cellStyle name="40% - Accent5 18" xfId="6043" xr:uid="{00000000-0005-0000-0000-000075170000}"/>
    <cellStyle name="40% - Accent5 19" xfId="6044" xr:uid="{00000000-0005-0000-0000-000076170000}"/>
    <cellStyle name="40% - Accent5 2" xfId="6045" xr:uid="{00000000-0005-0000-0000-000077170000}"/>
    <cellStyle name="40% - Accent5 2 10" xfId="6046" xr:uid="{00000000-0005-0000-0000-000078170000}"/>
    <cellStyle name="40% - Accent5 2 11" xfId="6047" xr:uid="{00000000-0005-0000-0000-000079170000}"/>
    <cellStyle name="40% - Accent5 2 12" xfId="6048" xr:uid="{00000000-0005-0000-0000-00007A170000}"/>
    <cellStyle name="40% - Accent5 2 13" xfId="6049" xr:uid="{00000000-0005-0000-0000-00007B170000}"/>
    <cellStyle name="40% - Accent5 2 14" xfId="6050" xr:uid="{00000000-0005-0000-0000-00007C170000}"/>
    <cellStyle name="40% - Accent5 2 15" xfId="6051" xr:uid="{00000000-0005-0000-0000-00007D170000}"/>
    <cellStyle name="40% - Accent5 2 16" xfId="6052" xr:uid="{00000000-0005-0000-0000-00007E170000}"/>
    <cellStyle name="40% - Accent5 2 17" xfId="6053" xr:uid="{00000000-0005-0000-0000-00007F170000}"/>
    <cellStyle name="40% - Accent5 2 18" xfId="6054" xr:uid="{00000000-0005-0000-0000-000080170000}"/>
    <cellStyle name="40% - Accent5 2 19" xfId="6055" xr:uid="{00000000-0005-0000-0000-000081170000}"/>
    <cellStyle name="40% - Accent5 2 2" xfId="6056" xr:uid="{00000000-0005-0000-0000-000082170000}"/>
    <cellStyle name="40% - Accent5 2 2 2" xfId="6057" xr:uid="{00000000-0005-0000-0000-000083170000}"/>
    <cellStyle name="40% - Accent5 2 20" xfId="6058" xr:uid="{00000000-0005-0000-0000-000084170000}"/>
    <cellStyle name="40% - Accent5 2 21" xfId="6059" xr:uid="{00000000-0005-0000-0000-000085170000}"/>
    <cellStyle name="40% - Accent5 2 22" xfId="6060" xr:uid="{00000000-0005-0000-0000-000086170000}"/>
    <cellStyle name="40% - Accent5 2 23" xfId="6061" xr:uid="{00000000-0005-0000-0000-000087170000}"/>
    <cellStyle name="40% - Accent5 2 24" xfId="6062" xr:uid="{00000000-0005-0000-0000-000088170000}"/>
    <cellStyle name="40% - Accent5 2 25" xfId="6063" xr:uid="{00000000-0005-0000-0000-000089170000}"/>
    <cellStyle name="40% - Accent5 2 26" xfId="6064" xr:uid="{00000000-0005-0000-0000-00008A170000}"/>
    <cellStyle name="40% - Accent5 2 27" xfId="6065" xr:uid="{00000000-0005-0000-0000-00008B170000}"/>
    <cellStyle name="40% - Accent5 2 28" xfId="6066" xr:uid="{00000000-0005-0000-0000-00008C170000}"/>
    <cellStyle name="40% - Accent5 2 29" xfId="6067" xr:uid="{00000000-0005-0000-0000-00008D170000}"/>
    <cellStyle name="40% - Accent5 2 3" xfId="6068" xr:uid="{00000000-0005-0000-0000-00008E170000}"/>
    <cellStyle name="40% - Accent5 2 3 2" xfId="6069" xr:uid="{00000000-0005-0000-0000-00008F170000}"/>
    <cellStyle name="40% - Accent5 2 30" xfId="6070" xr:uid="{00000000-0005-0000-0000-000090170000}"/>
    <cellStyle name="40% - Accent5 2 31" xfId="6071" xr:uid="{00000000-0005-0000-0000-000091170000}"/>
    <cellStyle name="40% - Accent5 2 32" xfId="6072" xr:uid="{00000000-0005-0000-0000-000092170000}"/>
    <cellStyle name="40% - Accent5 2 33" xfId="6073" xr:uid="{00000000-0005-0000-0000-000093170000}"/>
    <cellStyle name="40% - Accent5 2 34" xfId="6074" xr:uid="{00000000-0005-0000-0000-000094170000}"/>
    <cellStyle name="40% - Accent5 2 35" xfId="6075" xr:uid="{00000000-0005-0000-0000-000095170000}"/>
    <cellStyle name="40% - Accent5 2 36" xfId="6076" xr:uid="{00000000-0005-0000-0000-000096170000}"/>
    <cellStyle name="40% - Accent5 2 37" xfId="6077" xr:uid="{00000000-0005-0000-0000-000097170000}"/>
    <cellStyle name="40% - Accent5 2 38" xfId="6078" xr:uid="{00000000-0005-0000-0000-000098170000}"/>
    <cellStyle name="40% - Accent5 2 39" xfId="6079" xr:uid="{00000000-0005-0000-0000-000099170000}"/>
    <cellStyle name="40% - Accent5 2 4" xfId="6080" xr:uid="{00000000-0005-0000-0000-00009A170000}"/>
    <cellStyle name="40% - Accent5 2 4 2" xfId="6081" xr:uid="{00000000-0005-0000-0000-00009B170000}"/>
    <cellStyle name="40% - Accent5 2 40" xfId="6082" xr:uid="{00000000-0005-0000-0000-00009C170000}"/>
    <cellStyle name="40% - Accent5 2 41" xfId="6083" xr:uid="{00000000-0005-0000-0000-00009D170000}"/>
    <cellStyle name="40% - Accent5 2 42" xfId="6084" xr:uid="{00000000-0005-0000-0000-00009E170000}"/>
    <cellStyle name="40% - Accent5 2 43" xfId="6085" xr:uid="{00000000-0005-0000-0000-00009F170000}"/>
    <cellStyle name="40% - Accent5 2 44" xfId="6086" xr:uid="{00000000-0005-0000-0000-0000A0170000}"/>
    <cellStyle name="40% - Accent5 2 45" xfId="6087" xr:uid="{00000000-0005-0000-0000-0000A1170000}"/>
    <cellStyle name="40% - Accent5 2 46" xfId="6088" xr:uid="{00000000-0005-0000-0000-0000A2170000}"/>
    <cellStyle name="40% - Accent5 2 47" xfId="6089" xr:uid="{00000000-0005-0000-0000-0000A3170000}"/>
    <cellStyle name="40% - Accent5 2 48" xfId="6090" xr:uid="{00000000-0005-0000-0000-0000A4170000}"/>
    <cellStyle name="40% - Accent5 2 49" xfId="6091" xr:uid="{00000000-0005-0000-0000-0000A5170000}"/>
    <cellStyle name="40% - Accent5 2 5" xfId="6092" xr:uid="{00000000-0005-0000-0000-0000A6170000}"/>
    <cellStyle name="40% - Accent5 2 5 2" xfId="6093" xr:uid="{00000000-0005-0000-0000-0000A7170000}"/>
    <cellStyle name="40% - Accent5 2 50" xfId="6094" xr:uid="{00000000-0005-0000-0000-0000A8170000}"/>
    <cellStyle name="40% - Accent5 2 51" xfId="6095" xr:uid="{00000000-0005-0000-0000-0000A9170000}"/>
    <cellStyle name="40% - Accent5 2 52" xfId="6096" xr:uid="{00000000-0005-0000-0000-0000AA170000}"/>
    <cellStyle name="40% - Accent5 2 53" xfId="6097" xr:uid="{00000000-0005-0000-0000-0000AB170000}"/>
    <cellStyle name="40% - Accent5 2 54" xfId="6098" xr:uid="{00000000-0005-0000-0000-0000AC170000}"/>
    <cellStyle name="40% - Accent5 2 55" xfId="6099" xr:uid="{00000000-0005-0000-0000-0000AD170000}"/>
    <cellStyle name="40% - Accent5 2 56" xfId="6100" xr:uid="{00000000-0005-0000-0000-0000AE170000}"/>
    <cellStyle name="40% - Accent5 2 57" xfId="6101" xr:uid="{00000000-0005-0000-0000-0000AF170000}"/>
    <cellStyle name="40% - Accent5 2 58" xfId="6102" xr:uid="{00000000-0005-0000-0000-0000B0170000}"/>
    <cellStyle name="40% - Accent5 2 59" xfId="6103" xr:uid="{00000000-0005-0000-0000-0000B1170000}"/>
    <cellStyle name="40% - Accent5 2 6" xfId="6104" xr:uid="{00000000-0005-0000-0000-0000B2170000}"/>
    <cellStyle name="40% - Accent5 2 6 2" xfId="6105" xr:uid="{00000000-0005-0000-0000-0000B3170000}"/>
    <cellStyle name="40% - Accent5 2 60" xfId="6106" xr:uid="{00000000-0005-0000-0000-0000B4170000}"/>
    <cellStyle name="40% - Accent5 2 61" xfId="6107" xr:uid="{00000000-0005-0000-0000-0000B5170000}"/>
    <cellStyle name="40% - Accent5 2 62" xfId="6108" xr:uid="{00000000-0005-0000-0000-0000B6170000}"/>
    <cellStyle name="40% - Accent5 2 63" xfId="6109" xr:uid="{00000000-0005-0000-0000-0000B7170000}"/>
    <cellStyle name="40% - Accent5 2 64" xfId="6110" xr:uid="{00000000-0005-0000-0000-0000B8170000}"/>
    <cellStyle name="40% - Accent5 2 65" xfId="6111" xr:uid="{00000000-0005-0000-0000-0000B9170000}"/>
    <cellStyle name="40% - Accent5 2 66" xfId="6112" xr:uid="{00000000-0005-0000-0000-0000BA170000}"/>
    <cellStyle name="40% - Accent5 2 67" xfId="6113" xr:uid="{00000000-0005-0000-0000-0000BB170000}"/>
    <cellStyle name="40% - Accent5 2 68" xfId="6114" xr:uid="{00000000-0005-0000-0000-0000BC170000}"/>
    <cellStyle name="40% - Accent5 2 69" xfId="6115" xr:uid="{00000000-0005-0000-0000-0000BD170000}"/>
    <cellStyle name="40% - Accent5 2 7" xfId="6116" xr:uid="{00000000-0005-0000-0000-0000BE170000}"/>
    <cellStyle name="40% - Accent5 2 7 2" xfId="6117" xr:uid="{00000000-0005-0000-0000-0000BF170000}"/>
    <cellStyle name="40% - Accent5 2 70" xfId="6118" xr:uid="{00000000-0005-0000-0000-0000C0170000}"/>
    <cellStyle name="40% - Accent5 2 71" xfId="6119" xr:uid="{00000000-0005-0000-0000-0000C1170000}"/>
    <cellStyle name="40% - Accent5 2 72" xfId="6120" xr:uid="{00000000-0005-0000-0000-0000C2170000}"/>
    <cellStyle name="40% - Accent5 2 73" xfId="6121" xr:uid="{00000000-0005-0000-0000-0000C3170000}"/>
    <cellStyle name="40% - Accent5 2 74" xfId="6122" xr:uid="{00000000-0005-0000-0000-0000C4170000}"/>
    <cellStyle name="40% - Accent5 2 75" xfId="6123" xr:uid="{00000000-0005-0000-0000-0000C5170000}"/>
    <cellStyle name="40% - Accent5 2 8" xfId="6124" xr:uid="{00000000-0005-0000-0000-0000C6170000}"/>
    <cellStyle name="40% - Accent5 2 8 2" xfId="6125" xr:uid="{00000000-0005-0000-0000-0000C7170000}"/>
    <cellStyle name="40% - Accent5 2 9" xfId="6126" xr:uid="{00000000-0005-0000-0000-0000C8170000}"/>
    <cellStyle name="40% - Accent5 2 9 2" xfId="6127" xr:uid="{00000000-0005-0000-0000-0000C9170000}"/>
    <cellStyle name="40% - Accent5 20" xfId="6128" xr:uid="{00000000-0005-0000-0000-0000CA170000}"/>
    <cellStyle name="40% - Accent5 21" xfId="6129" xr:uid="{00000000-0005-0000-0000-0000CB170000}"/>
    <cellStyle name="40% - Accent5 22" xfId="6130" xr:uid="{00000000-0005-0000-0000-0000CC170000}"/>
    <cellStyle name="40% - Accent5 23" xfId="6131" xr:uid="{00000000-0005-0000-0000-0000CD170000}"/>
    <cellStyle name="40% - Accent5 24" xfId="6132" xr:uid="{00000000-0005-0000-0000-0000CE170000}"/>
    <cellStyle name="40% - Accent5 25" xfId="6133" xr:uid="{00000000-0005-0000-0000-0000CF170000}"/>
    <cellStyle name="40% - Accent5 26" xfId="6134" xr:uid="{00000000-0005-0000-0000-0000D0170000}"/>
    <cellStyle name="40% - Accent5 27" xfId="6135" xr:uid="{00000000-0005-0000-0000-0000D1170000}"/>
    <cellStyle name="40% - Accent5 28" xfId="6136" xr:uid="{00000000-0005-0000-0000-0000D2170000}"/>
    <cellStyle name="40% - Accent5 29" xfId="6137" xr:uid="{00000000-0005-0000-0000-0000D3170000}"/>
    <cellStyle name="40% - Accent5 3" xfId="6138" xr:uid="{00000000-0005-0000-0000-0000D4170000}"/>
    <cellStyle name="40% - Accent5 3 10" xfId="6139" xr:uid="{00000000-0005-0000-0000-0000D5170000}"/>
    <cellStyle name="40% - Accent5 3 11" xfId="6140" xr:uid="{00000000-0005-0000-0000-0000D6170000}"/>
    <cellStyle name="40% - Accent5 3 12" xfId="6141" xr:uid="{00000000-0005-0000-0000-0000D7170000}"/>
    <cellStyle name="40% - Accent5 3 13" xfId="6142" xr:uid="{00000000-0005-0000-0000-0000D8170000}"/>
    <cellStyle name="40% - Accent5 3 14" xfId="6143" xr:uid="{00000000-0005-0000-0000-0000D9170000}"/>
    <cellStyle name="40% - Accent5 3 15" xfId="6144" xr:uid="{00000000-0005-0000-0000-0000DA170000}"/>
    <cellStyle name="40% - Accent5 3 16" xfId="6145" xr:uid="{00000000-0005-0000-0000-0000DB170000}"/>
    <cellStyle name="40% - Accent5 3 17" xfId="6146" xr:uid="{00000000-0005-0000-0000-0000DC170000}"/>
    <cellStyle name="40% - Accent5 3 18" xfId="6147" xr:uid="{00000000-0005-0000-0000-0000DD170000}"/>
    <cellStyle name="40% - Accent5 3 19" xfId="6148" xr:uid="{00000000-0005-0000-0000-0000DE170000}"/>
    <cellStyle name="40% - Accent5 3 2" xfId="6149" xr:uid="{00000000-0005-0000-0000-0000DF170000}"/>
    <cellStyle name="40% - Accent5 3 2 2" xfId="6150" xr:uid="{00000000-0005-0000-0000-0000E0170000}"/>
    <cellStyle name="40% - Accent5 3 20" xfId="6151" xr:uid="{00000000-0005-0000-0000-0000E1170000}"/>
    <cellStyle name="40% - Accent5 3 21" xfId="6152" xr:uid="{00000000-0005-0000-0000-0000E2170000}"/>
    <cellStyle name="40% - Accent5 3 22" xfId="6153" xr:uid="{00000000-0005-0000-0000-0000E3170000}"/>
    <cellStyle name="40% - Accent5 3 23" xfId="6154" xr:uid="{00000000-0005-0000-0000-0000E4170000}"/>
    <cellStyle name="40% - Accent5 3 24" xfId="6155" xr:uid="{00000000-0005-0000-0000-0000E5170000}"/>
    <cellStyle name="40% - Accent5 3 25" xfId="6156" xr:uid="{00000000-0005-0000-0000-0000E6170000}"/>
    <cellStyle name="40% - Accent5 3 26" xfId="6157" xr:uid="{00000000-0005-0000-0000-0000E7170000}"/>
    <cellStyle name="40% - Accent5 3 27" xfId="6158" xr:uid="{00000000-0005-0000-0000-0000E8170000}"/>
    <cellStyle name="40% - Accent5 3 28" xfId="6159" xr:uid="{00000000-0005-0000-0000-0000E9170000}"/>
    <cellStyle name="40% - Accent5 3 29" xfId="6160" xr:uid="{00000000-0005-0000-0000-0000EA170000}"/>
    <cellStyle name="40% - Accent5 3 3" xfId="6161" xr:uid="{00000000-0005-0000-0000-0000EB170000}"/>
    <cellStyle name="40% - Accent5 3 3 2" xfId="6162" xr:uid="{00000000-0005-0000-0000-0000EC170000}"/>
    <cellStyle name="40% - Accent5 3 30" xfId="6163" xr:uid="{00000000-0005-0000-0000-0000ED170000}"/>
    <cellStyle name="40% - Accent5 3 31" xfId="6164" xr:uid="{00000000-0005-0000-0000-0000EE170000}"/>
    <cellStyle name="40% - Accent5 3 32" xfId="6165" xr:uid="{00000000-0005-0000-0000-0000EF170000}"/>
    <cellStyle name="40% - Accent5 3 33" xfId="6166" xr:uid="{00000000-0005-0000-0000-0000F0170000}"/>
    <cellStyle name="40% - Accent5 3 34" xfId="6167" xr:uid="{00000000-0005-0000-0000-0000F1170000}"/>
    <cellStyle name="40% - Accent5 3 35" xfId="6168" xr:uid="{00000000-0005-0000-0000-0000F2170000}"/>
    <cellStyle name="40% - Accent5 3 36" xfId="6169" xr:uid="{00000000-0005-0000-0000-0000F3170000}"/>
    <cellStyle name="40% - Accent5 3 37" xfId="6170" xr:uid="{00000000-0005-0000-0000-0000F4170000}"/>
    <cellStyle name="40% - Accent5 3 38" xfId="6171" xr:uid="{00000000-0005-0000-0000-0000F5170000}"/>
    <cellStyle name="40% - Accent5 3 39" xfId="6172" xr:uid="{00000000-0005-0000-0000-0000F6170000}"/>
    <cellStyle name="40% - Accent5 3 4" xfId="6173" xr:uid="{00000000-0005-0000-0000-0000F7170000}"/>
    <cellStyle name="40% - Accent5 3 4 2" xfId="6174" xr:uid="{00000000-0005-0000-0000-0000F8170000}"/>
    <cellStyle name="40% - Accent5 3 40" xfId="6175" xr:uid="{00000000-0005-0000-0000-0000F9170000}"/>
    <cellStyle name="40% - Accent5 3 41" xfId="6176" xr:uid="{00000000-0005-0000-0000-0000FA170000}"/>
    <cellStyle name="40% - Accent5 3 42" xfId="6177" xr:uid="{00000000-0005-0000-0000-0000FB170000}"/>
    <cellStyle name="40% - Accent5 3 43" xfId="6178" xr:uid="{00000000-0005-0000-0000-0000FC170000}"/>
    <cellStyle name="40% - Accent5 3 44" xfId="6179" xr:uid="{00000000-0005-0000-0000-0000FD170000}"/>
    <cellStyle name="40% - Accent5 3 45" xfId="6180" xr:uid="{00000000-0005-0000-0000-0000FE170000}"/>
    <cellStyle name="40% - Accent5 3 46" xfId="6181" xr:uid="{00000000-0005-0000-0000-0000FF170000}"/>
    <cellStyle name="40% - Accent5 3 47" xfId="6182" xr:uid="{00000000-0005-0000-0000-000000180000}"/>
    <cellStyle name="40% - Accent5 3 48" xfId="6183" xr:uid="{00000000-0005-0000-0000-000001180000}"/>
    <cellStyle name="40% - Accent5 3 49" xfId="6184" xr:uid="{00000000-0005-0000-0000-000002180000}"/>
    <cellStyle name="40% - Accent5 3 5" xfId="6185" xr:uid="{00000000-0005-0000-0000-000003180000}"/>
    <cellStyle name="40% - Accent5 3 5 2" xfId="6186" xr:uid="{00000000-0005-0000-0000-000004180000}"/>
    <cellStyle name="40% - Accent5 3 50" xfId="6187" xr:uid="{00000000-0005-0000-0000-000005180000}"/>
    <cellStyle name="40% - Accent5 3 51" xfId="6188" xr:uid="{00000000-0005-0000-0000-000006180000}"/>
    <cellStyle name="40% - Accent5 3 52" xfId="6189" xr:uid="{00000000-0005-0000-0000-000007180000}"/>
    <cellStyle name="40% - Accent5 3 53" xfId="6190" xr:uid="{00000000-0005-0000-0000-000008180000}"/>
    <cellStyle name="40% - Accent5 3 54" xfId="6191" xr:uid="{00000000-0005-0000-0000-000009180000}"/>
    <cellStyle name="40% - Accent5 3 55" xfId="6192" xr:uid="{00000000-0005-0000-0000-00000A180000}"/>
    <cellStyle name="40% - Accent5 3 56" xfId="6193" xr:uid="{00000000-0005-0000-0000-00000B180000}"/>
    <cellStyle name="40% - Accent5 3 57" xfId="6194" xr:uid="{00000000-0005-0000-0000-00000C180000}"/>
    <cellStyle name="40% - Accent5 3 58" xfId="6195" xr:uid="{00000000-0005-0000-0000-00000D180000}"/>
    <cellStyle name="40% - Accent5 3 59" xfId="6196" xr:uid="{00000000-0005-0000-0000-00000E180000}"/>
    <cellStyle name="40% - Accent5 3 6" xfId="6197" xr:uid="{00000000-0005-0000-0000-00000F180000}"/>
    <cellStyle name="40% - Accent5 3 6 2" xfId="6198" xr:uid="{00000000-0005-0000-0000-000010180000}"/>
    <cellStyle name="40% - Accent5 3 60" xfId="6199" xr:uid="{00000000-0005-0000-0000-000011180000}"/>
    <cellStyle name="40% - Accent5 3 61" xfId="6200" xr:uid="{00000000-0005-0000-0000-000012180000}"/>
    <cellStyle name="40% - Accent5 3 62" xfId="6201" xr:uid="{00000000-0005-0000-0000-000013180000}"/>
    <cellStyle name="40% - Accent5 3 63" xfId="6202" xr:uid="{00000000-0005-0000-0000-000014180000}"/>
    <cellStyle name="40% - Accent5 3 64" xfId="6203" xr:uid="{00000000-0005-0000-0000-000015180000}"/>
    <cellStyle name="40% - Accent5 3 65" xfId="6204" xr:uid="{00000000-0005-0000-0000-000016180000}"/>
    <cellStyle name="40% - Accent5 3 66" xfId="6205" xr:uid="{00000000-0005-0000-0000-000017180000}"/>
    <cellStyle name="40% - Accent5 3 67" xfId="6206" xr:uid="{00000000-0005-0000-0000-000018180000}"/>
    <cellStyle name="40% - Accent5 3 68" xfId="6207" xr:uid="{00000000-0005-0000-0000-000019180000}"/>
    <cellStyle name="40% - Accent5 3 69" xfId="6208" xr:uid="{00000000-0005-0000-0000-00001A180000}"/>
    <cellStyle name="40% - Accent5 3 7" xfId="6209" xr:uid="{00000000-0005-0000-0000-00001B180000}"/>
    <cellStyle name="40% - Accent5 3 7 2" xfId="6210" xr:uid="{00000000-0005-0000-0000-00001C180000}"/>
    <cellStyle name="40% - Accent5 3 70" xfId="6211" xr:uid="{00000000-0005-0000-0000-00001D180000}"/>
    <cellStyle name="40% - Accent5 3 71" xfId="6212" xr:uid="{00000000-0005-0000-0000-00001E180000}"/>
    <cellStyle name="40% - Accent5 3 72" xfId="6213" xr:uid="{00000000-0005-0000-0000-00001F180000}"/>
    <cellStyle name="40% - Accent5 3 73" xfId="6214" xr:uid="{00000000-0005-0000-0000-000020180000}"/>
    <cellStyle name="40% - Accent5 3 74" xfId="6215" xr:uid="{00000000-0005-0000-0000-000021180000}"/>
    <cellStyle name="40% - Accent5 3 75" xfId="6216" xr:uid="{00000000-0005-0000-0000-000022180000}"/>
    <cellStyle name="40% - Accent5 3 8" xfId="6217" xr:uid="{00000000-0005-0000-0000-000023180000}"/>
    <cellStyle name="40% - Accent5 3 8 2" xfId="6218" xr:uid="{00000000-0005-0000-0000-000024180000}"/>
    <cellStyle name="40% - Accent5 3 9" xfId="6219" xr:uid="{00000000-0005-0000-0000-000025180000}"/>
    <cellStyle name="40% - Accent5 3 9 2" xfId="6220" xr:uid="{00000000-0005-0000-0000-000026180000}"/>
    <cellStyle name="40% - Accent5 30" xfId="6221" xr:uid="{00000000-0005-0000-0000-000027180000}"/>
    <cellStyle name="40% - Accent5 31" xfId="6222" xr:uid="{00000000-0005-0000-0000-000028180000}"/>
    <cellStyle name="40% - Accent5 32" xfId="6223" xr:uid="{00000000-0005-0000-0000-000029180000}"/>
    <cellStyle name="40% - Accent5 33" xfId="6224" xr:uid="{00000000-0005-0000-0000-00002A180000}"/>
    <cellStyle name="40% - Accent5 34" xfId="6225" xr:uid="{00000000-0005-0000-0000-00002B180000}"/>
    <cellStyle name="40% - Accent5 35" xfId="6226" xr:uid="{00000000-0005-0000-0000-00002C180000}"/>
    <cellStyle name="40% - Accent5 36" xfId="6227" xr:uid="{00000000-0005-0000-0000-00002D180000}"/>
    <cellStyle name="40% - Accent5 37" xfId="6228" xr:uid="{00000000-0005-0000-0000-00002E180000}"/>
    <cellStyle name="40% - Accent5 38" xfId="6229" xr:uid="{00000000-0005-0000-0000-00002F180000}"/>
    <cellStyle name="40% - Accent5 39" xfId="6230" xr:uid="{00000000-0005-0000-0000-000030180000}"/>
    <cellStyle name="40% - Accent5 4" xfId="6231" xr:uid="{00000000-0005-0000-0000-000031180000}"/>
    <cellStyle name="40% - Accent5 4 10" xfId="6232" xr:uid="{00000000-0005-0000-0000-000032180000}"/>
    <cellStyle name="40% - Accent5 4 11" xfId="6233" xr:uid="{00000000-0005-0000-0000-000033180000}"/>
    <cellStyle name="40% - Accent5 4 12" xfId="6234" xr:uid="{00000000-0005-0000-0000-000034180000}"/>
    <cellStyle name="40% - Accent5 4 13" xfId="6235" xr:uid="{00000000-0005-0000-0000-000035180000}"/>
    <cellStyle name="40% - Accent5 4 14" xfId="6236" xr:uid="{00000000-0005-0000-0000-000036180000}"/>
    <cellStyle name="40% - Accent5 4 15" xfId="6237" xr:uid="{00000000-0005-0000-0000-000037180000}"/>
    <cellStyle name="40% - Accent5 4 16" xfId="6238" xr:uid="{00000000-0005-0000-0000-000038180000}"/>
    <cellStyle name="40% - Accent5 4 17" xfId="6239" xr:uid="{00000000-0005-0000-0000-000039180000}"/>
    <cellStyle name="40% - Accent5 4 18" xfId="6240" xr:uid="{00000000-0005-0000-0000-00003A180000}"/>
    <cellStyle name="40% - Accent5 4 19" xfId="6241" xr:uid="{00000000-0005-0000-0000-00003B180000}"/>
    <cellStyle name="40% - Accent5 4 2" xfId="6242" xr:uid="{00000000-0005-0000-0000-00003C180000}"/>
    <cellStyle name="40% - Accent5 4 2 2" xfId="6243" xr:uid="{00000000-0005-0000-0000-00003D180000}"/>
    <cellStyle name="40% - Accent5 4 20" xfId="6244" xr:uid="{00000000-0005-0000-0000-00003E180000}"/>
    <cellStyle name="40% - Accent5 4 21" xfId="6245" xr:uid="{00000000-0005-0000-0000-00003F180000}"/>
    <cellStyle name="40% - Accent5 4 22" xfId="6246" xr:uid="{00000000-0005-0000-0000-000040180000}"/>
    <cellStyle name="40% - Accent5 4 23" xfId="6247" xr:uid="{00000000-0005-0000-0000-000041180000}"/>
    <cellStyle name="40% - Accent5 4 24" xfId="6248" xr:uid="{00000000-0005-0000-0000-000042180000}"/>
    <cellStyle name="40% - Accent5 4 25" xfId="6249" xr:uid="{00000000-0005-0000-0000-000043180000}"/>
    <cellStyle name="40% - Accent5 4 26" xfId="6250" xr:uid="{00000000-0005-0000-0000-000044180000}"/>
    <cellStyle name="40% - Accent5 4 27" xfId="6251" xr:uid="{00000000-0005-0000-0000-000045180000}"/>
    <cellStyle name="40% - Accent5 4 28" xfId="6252" xr:uid="{00000000-0005-0000-0000-000046180000}"/>
    <cellStyle name="40% - Accent5 4 29" xfId="6253" xr:uid="{00000000-0005-0000-0000-000047180000}"/>
    <cellStyle name="40% - Accent5 4 3" xfId="6254" xr:uid="{00000000-0005-0000-0000-000048180000}"/>
    <cellStyle name="40% - Accent5 4 3 2" xfId="6255" xr:uid="{00000000-0005-0000-0000-000049180000}"/>
    <cellStyle name="40% - Accent5 4 30" xfId="6256" xr:uid="{00000000-0005-0000-0000-00004A180000}"/>
    <cellStyle name="40% - Accent5 4 31" xfId="6257" xr:uid="{00000000-0005-0000-0000-00004B180000}"/>
    <cellStyle name="40% - Accent5 4 32" xfId="6258" xr:uid="{00000000-0005-0000-0000-00004C180000}"/>
    <cellStyle name="40% - Accent5 4 33" xfId="6259" xr:uid="{00000000-0005-0000-0000-00004D180000}"/>
    <cellStyle name="40% - Accent5 4 34" xfId="6260" xr:uid="{00000000-0005-0000-0000-00004E180000}"/>
    <cellStyle name="40% - Accent5 4 35" xfId="6261" xr:uid="{00000000-0005-0000-0000-00004F180000}"/>
    <cellStyle name="40% - Accent5 4 36" xfId="6262" xr:uid="{00000000-0005-0000-0000-000050180000}"/>
    <cellStyle name="40% - Accent5 4 37" xfId="6263" xr:uid="{00000000-0005-0000-0000-000051180000}"/>
    <cellStyle name="40% - Accent5 4 38" xfId="6264" xr:uid="{00000000-0005-0000-0000-000052180000}"/>
    <cellStyle name="40% - Accent5 4 39" xfId="6265" xr:uid="{00000000-0005-0000-0000-000053180000}"/>
    <cellStyle name="40% - Accent5 4 4" xfId="6266" xr:uid="{00000000-0005-0000-0000-000054180000}"/>
    <cellStyle name="40% - Accent5 4 4 2" xfId="6267" xr:uid="{00000000-0005-0000-0000-000055180000}"/>
    <cellStyle name="40% - Accent5 4 40" xfId="6268" xr:uid="{00000000-0005-0000-0000-000056180000}"/>
    <cellStyle name="40% - Accent5 4 41" xfId="6269" xr:uid="{00000000-0005-0000-0000-000057180000}"/>
    <cellStyle name="40% - Accent5 4 42" xfId="6270" xr:uid="{00000000-0005-0000-0000-000058180000}"/>
    <cellStyle name="40% - Accent5 4 43" xfId="6271" xr:uid="{00000000-0005-0000-0000-000059180000}"/>
    <cellStyle name="40% - Accent5 4 44" xfId="6272" xr:uid="{00000000-0005-0000-0000-00005A180000}"/>
    <cellStyle name="40% - Accent5 4 45" xfId="6273" xr:uid="{00000000-0005-0000-0000-00005B180000}"/>
    <cellStyle name="40% - Accent5 4 46" xfId="6274" xr:uid="{00000000-0005-0000-0000-00005C180000}"/>
    <cellStyle name="40% - Accent5 4 47" xfId="6275" xr:uid="{00000000-0005-0000-0000-00005D180000}"/>
    <cellStyle name="40% - Accent5 4 48" xfId="6276" xr:uid="{00000000-0005-0000-0000-00005E180000}"/>
    <cellStyle name="40% - Accent5 4 49" xfId="6277" xr:uid="{00000000-0005-0000-0000-00005F180000}"/>
    <cellStyle name="40% - Accent5 4 5" xfId="6278" xr:uid="{00000000-0005-0000-0000-000060180000}"/>
    <cellStyle name="40% - Accent5 4 5 2" xfId="6279" xr:uid="{00000000-0005-0000-0000-000061180000}"/>
    <cellStyle name="40% - Accent5 4 50" xfId="6280" xr:uid="{00000000-0005-0000-0000-000062180000}"/>
    <cellStyle name="40% - Accent5 4 51" xfId="6281" xr:uid="{00000000-0005-0000-0000-000063180000}"/>
    <cellStyle name="40% - Accent5 4 52" xfId="6282" xr:uid="{00000000-0005-0000-0000-000064180000}"/>
    <cellStyle name="40% - Accent5 4 53" xfId="6283" xr:uid="{00000000-0005-0000-0000-000065180000}"/>
    <cellStyle name="40% - Accent5 4 54" xfId="6284" xr:uid="{00000000-0005-0000-0000-000066180000}"/>
    <cellStyle name="40% - Accent5 4 55" xfId="6285" xr:uid="{00000000-0005-0000-0000-000067180000}"/>
    <cellStyle name="40% - Accent5 4 56" xfId="6286" xr:uid="{00000000-0005-0000-0000-000068180000}"/>
    <cellStyle name="40% - Accent5 4 57" xfId="6287" xr:uid="{00000000-0005-0000-0000-000069180000}"/>
    <cellStyle name="40% - Accent5 4 58" xfId="6288" xr:uid="{00000000-0005-0000-0000-00006A180000}"/>
    <cellStyle name="40% - Accent5 4 59" xfId="6289" xr:uid="{00000000-0005-0000-0000-00006B180000}"/>
    <cellStyle name="40% - Accent5 4 6" xfId="6290" xr:uid="{00000000-0005-0000-0000-00006C180000}"/>
    <cellStyle name="40% - Accent5 4 6 2" xfId="6291" xr:uid="{00000000-0005-0000-0000-00006D180000}"/>
    <cellStyle name="40% - Accent5 4 60" xfId="6292" xr:uid="{00000000-0005-0000-0000-00006E180000}"/>
    <cellStyle name="40% - Accent5 4 61" xfId="6293" xr:uid="{00000000-0005-0000-0000-00006F180000}"/>
    <cellStyle name="40% - Accent5 4 62" xfId="6294" xr:uid="{00000000-0005-0000-0000-000070180000}"/>
    <cellStyle name="40% - Accent5 4 63" xfId="6295" xr:uid="{00000000-0005-0000-0000-000071180000}"/>
    <cellStyle name="40% - Accent5 4 64" xfId="6296" xr:uid="{00000000-0005-0000-0000-000072180000}"/>
    <cellStyle name="40% - Accent5 4 65" xfId="6297" xr:uid="{00000000-0005-0000-0000-000073180000}"/>
    <cellStyle name="40% - Accent5 4 66" xfId="6298" xr:uid="{00000000-0005-0000-0000-000074180000}"/>
    <cellStyle name="40% - Accent5 4 67" xfId="6299" xr:uid="{00000000-0005-0000-0000-000075180000}"/>
    <cellStyle name="40% - Accent5 4 68" xfId="6300" xr:uid="{00000000-0005-0000-0000-000076180000}"/>
    <cellStyle name="40% - Accent5 4 69" xfId="6301" xr:uid="{00000000-0005-0000-0000-000077180000}"/>
    <cellStyle name="40% - Accent5 4 7" xfId="6302" xr:uid="{00000000-0005-0000-0000-000078180000}"/>
    <cellStyle name="40% - Accent5 4 7 2" xfId="6303" xr:uid="{00000000-0005-0000-0000-000079180000}"/>
    <cellStyle name="40% - Accent5 4 70" xfId="6304" xr:uid="{00000000-0005-0000-0000-00007A180000}"/>
    <cellStyle name="40% - Accent5 4 71" xfId="6305" xr:uid="{00000000-0005-0000-0000-00007B180000}"/>
    <cellStyle name="40% - Accent5 4 72" xfId="6306" xr:uid="{00000000-0005-0000-0000-00007C180000}"/>
    <cellStyle name="40% - Accent5 4 73" xfId="6307" xr:uid="{00000000-0005-0000-0000-00007D180000}"/>
    <cellStyle name="40% - Accent5 4 74" xfId="6308" xr:uid="{00000000-0005-0000-0000-00007E180000}"/>
    <cellStyle name="40% - Accent5 4 75" xfId="6309" xr:uid="{00000000-0005-0000-0000-00007F180000}"/>
    <cellStyle name="40% - Accent5 4 8" xfId="6310" xr:uid="{00000000-0005-0000-0000-000080180000}"/>
    <cellStyle name="40% - Accent5 4 8 2" xfId="6311" xr:uid="{00000000-0005-0000-0000-000081180000}"/>
    <cellStyle name="40% - Accent5 4 9" xfId="6312" xr:uid="{00000000-0005-0000-0000-000082180000}"/>
    <cellStyle name="40% - Accent5 4 9 2" xfId="6313" xr:uid="{00000000-0005-0000-0000-000083180000}"/>
    <cellStyle name="40% - Accent5 40" xfId="6314" xr:uid="{00000000-0005-0000-0000-000084180000}"/>
    <cellStyle name="40% - Accent5 41" xfId="6315" xr:uid="{00000000-0005-0000-0000-000085180000}"/>
    <cellStyle name="40% - Accent5 42" xfId="6316" xr:uid="{00000000-0005-0000-0000-000086180000}"/>
    <cellStyle name="40% - Accent5 43" xfId="6317" xr:uid="{00000000-0005-0000-0000-000087180000}"/>
    <cellStyle name="40% - Accent5 44" xfId="6318" xr:uid="{00000000-0005-0000-0000-000088180000}"/>
    <cellStyle name="40% - Accent5 45" xfId="6319" xr:uid="{00000000-0005-0000-0000-000089180000}"/>
    <cellStyle name="40% - Accent5 46" xfId="6320" xr:uid="{00000000-0005-0000-0000-00008A180000}"/>
    <cellStyle name="40% - Accent5 47" xfId="6321" xr:uid="{00000000-0005-0000-0000-00008B180000}"/>
    <cellStyle name="40% - Accent5 48" xfId="6322" xr:uid="{00000000-0005-0000-0000-00008C180000}"/>
    <cellStyle name="40% - Accent5 49" xfId="6323" xr:uid="{00000000-0005-0000-0000-00008D180000}"/>
    <cellStyle name="40% - Accent5 5" xfId="6324" xr:uid="{00000000-0005-0000-0000-00008E180000}"/>
    <cellStyle name="40% - Accent5 5 10" xfId="6325" xr:uid="{00000000-0005-0000-0000-00008F180000}"/>
    <cellStyle name="40% - Accent5 5 11" xfId="6326" xr:uid="{00000000-0005-0000-0000-000090180000}"/>
    <cellStyle name="40% - Accent5 5 12" xfId="6327" xr:uid="{00000000-0005-0000-0000-000091180000}"/>
    <cellStyle name="40% - Accent5 5 13" xfId="6328" xr:uid="{00000000-0005-0000-0000-000092180000}"/>
    <cellStyle name="40% - Accent5 5 14" xfId="6329" xr:uid="{00000000-0005-0000-0000-000093180000}"/>
    <cellStyle name="40% - Accent5 5 15" xfId="6330" xr:uid="{00000000-0005-0000-0000-000094180000}"/>
    <cellStyle name="40% - Accent5 5 16" xfId="6331" xr:uid="{00000000-0005-0000-0000-000095180000}"/>
    <cellStyle name="40% - Accent5 5 17" xfId="6332" xr:uid="{00000000-0005-0000-0000-000096180000}"/>
    <cellStyle name="40% - Accent5 5 18" xfId="6333" xr:uid="{00000000-0005-0000-0000-000097180000}"/>
    <cellStyle name="40% - Accent5 5 19" xfId="6334" xr:uid="{00000000-0005-0000-0000-000098180000}"/>
    <cellStyle name="40% - Accent5 5 2" xfId="6335" xr:uid="{00000000-0005-0000-0000-000099180000}"/>
    <cellStyle name="40% - Accent5 5 2 2" xfId="6336" xr:uid="{00000000-0005-0000-0000-00009A180000}"/>
    <cellStyle name="40% - Accent5 5 20" xfId="6337" xr:uid="{00000000-0005-0000-0000-00009B180000}"/>
    <cellStyle name="40% - Accent5 5 21" xfId="6338" xr:uid="{00000000-0005-0000-0000-00009C180000}"/>
    <cellStyle name="40% - Accent5 5 22" xfId="6339" xr:uid="{00000000-0005-0000-0000-00009D180000}"/>
    <cellStyle name="40% - Accent5 5 23" xfId="6340" xr:uid="{00000000-0005-0000-0000-00009E180000}"/>
    <cellStyle name="40% - Accent5 5 24" xfId="6341" xr:uid="{00000000-0005-0000-0000-00009F180000}"/>
    <cellStyle name="40% - Accent5 5 25" xfId="6342" xr:uid="{00000000-0005-0000-0000-0000A0180000}"/>
    <cellStyle name="40% - Accent5 5 26" xfId="6343" xr:uid="{00000000-0005-0000-0000-0000A1180000}"/>
    <cellStyle name="40% - Accent5 5 27" xfId="6344" xr:uid="{00000000-0005-0000-0000-0000A2180000}"/>
    <cellStyle name="40% - Accent5 5 28" xfId="6345" xr:uid="{00000000-0005-0000-0000-0000A3180000}"/>
    <cellStyle name="40% - Accent5 5 29" xfId="6346" xr:uid="{00000000-0005-0000-0000-0000A4180000}"/>
    <cellStyle name="40% - Accent5 5 3" xfId="6347" xr:uid="{00000000-0005-0000-0000-0000A5180000}"/>
    <cellStyle name="40% - Accent5 5 30" xfId="6348" xr:uid="{00000000-0005-0000-0000-0000A6180000}"/>
    <cellStyle name="40% - Accent5 5 31" xfId="6349" xr:uid="{00000000-0005-0000-0000-0000A7180000}"/>
    <cellStyle name="40% - Accent5 5 32" xfId="6350" xr:uid="{00000000-0005-0000-0000-0000A8180000}"/>
    <cellStyle name="40% - Accent5 5 33" xfId="6351" xr:uid="{00000000-0005-0000-0000-0000A9180000}"/>
    <cellStyle name="40% - Accent5 5 34" xfId="6352" xr:uid="{00000000-0005-0000-0000-0000AA180000}"/>
    <cellStyle name="40% - Accent5 5 35" xfId="6353" xr:uid="{00000000-0005-0000-0000-0000AB180000}"/>
    <cellStyle name="40% - Accent5 5 36" xfId="6354" xr:uid="{00000000-0005-0000-0000-0000AC180000}"/>
    <cellStyle name="40% - Accent5 5 37" xfId="6355" xr:uid="{00000000-0005-0000-0000-0000AD180000}"/>
    <cellStyle name="40% - Accent5 5 38" xfId="6356" xr:uid="{00000000-0005-0000-0000-0000AE180000}"/>
    <cellStyle name="40% - Accent5 5 39" xfId="6357" xr:uid="{00000000-0005-0000-0000-0000AF180000}"/>
    <cellStyle name="40% - Accent5 5 4" xfId="6358" xr:uid="{00000000-0005-0000-0000-0000B0180000}"/>
    <cellStyle name="40% - Accent5 5 5" xfId="6359" xr:uid="{00000000-0005-0000-0000-0000B1180000}"/>
    <cellStyle name="40% - Accent5 5 6" xfId="6360" xr:uid="{00000000-0005-0000-0000-0000B2180000}"/>
    <cellStyle name="40% - Accent5 5 7" xfId="6361" xr:uid="{00000000-0005-0000-0000-0000B3180000}"/>
    <cellStyle name="40% - Accent5 5 8" xfId="6362" xr:uid="{00000000-0005-0000-0000-0000B4180000}"/>
    <cellStyle name="40% - Accent5 5 9" xfId="6363" xr:uid="{00000000-0005-0000-0000-0000B5180000}"/>
    <cellStyle name="40% - Accent5 50" xfId="6364" xr:uid="{00000000-0005-0000-0000-0000B6180000}"/>
    <cellStyle name="40% - Accent5 51" xfId="6365" xr:uid="{00000000-0005-0000-0000-0000B7180000}"/>
    <cellStyle name="40% - Accent5 52" xfId="6366" xr:uid="{00000000-0005-0000-0000-0000B8180000}"/>
    <cellStyle name="40% - Accent5 53" xfId="6367" xr:uid="{00000000-0005-0000-0000-0000B9180000}"/>
    <cellStyle name="40% - Accent5 54" xfId="6368" xr:uid="{00000000-0005-0000-0000-0000BA180000}"/>
    <cellStyle name="40% - Accent5 55" xfId="6369" xr:uid="{00000000-0005-0000-0000-0000BB180000}"/>
    <cellStyle name="40% - Accent5 56" xfId="6370" xr:uid="{00000000-0005-0000-0000-0000BC180000}"/>
    <cellStyle name="40% - Accent5 57" xfId="6371" xr:uid="{00000000-0005-0000-0000-0000BD180000}"/>
    <cellStyle name="40% - Accent5 58" xfId="6372" xr:uid="{00000000-0005-0000-0000-0000BE180000}"/>
    <cellStyle name="40% - Accent5 59" xfId="6373" xr:uid="{00000000-0005-0000-0000-0000BF180000}"/>
    <cellStyle name="40% - Accent5 6" xfId="6374" xr:uid="{00000000-0005-0000-0000-0000C0180000}"/>
    <cellStyle name="40% - Accent5 6 10" xfId="6375" xr:uid="{00000000-0005-0000-0000-0000C1180000}"/>
    <cellStyle name="40% - Accent5 6 11" xfId="6376" xr:uid="{00000000-0005-0000-0000-0000C2180000}"/>
    <cellStyle name="40% - Accent5 6 12" xfId="6377" xr:uid="{00000000-0005-0000-0000-0000C3180000}"/>
    <cellStyle name="40% - Accent5 6 13" xfId="6378" xr:uid="{00000000-0005-0000-0000-0000C4180000}"/>
    <cellStyle name="40% - Accent5 6 14" xfId="6379" xr:uid="{00000000-0005-0000-0000-0000C5180000}"/>
    <cellStyle name="40% - Accent5 6 15" xfId="6380" xr:uid="{00000000-0005-0000-0000-0000C6180000}"/>
    <cellStyle name="40% - Accent5 6 16" xfId="6381" xr:uid="{00000000-0005-0000-0000-0000C7180000}"/>
    <cellStyle name="40% - Accent5 6 17" xfId="6382" xr:uid="{00000000-0005-0000-0000-0000C8180000}"/>
    <cellStyle name="40% - Accent5 6 18" xfId="6383" xr:uid="{00000000-0005-0000-0000-0000C9180000}"/>
    <cellStyle name="40% - Accent5 6 19" xfId="6384" xr:uid="{00000000-0005-0000-0000-0000CA180000}"/>
    <cellStyle name="40% - Accent5 6 2" xfId="6385" xr:uid="{00000000-0005-0000-0000-0000CB180000}"/>
    <cellStyle name="40% - Accent5 6 20" xfId="6386" xr:uid="{00000000-0005-0000-0000-0000CC180000}"/>
    <cellStyle name="40% - Accent5 6 21" xfId="6387" xr:uid="{00000000-0005-0000-0000-0000CD180000}"/>
    <cellStyle name="40% - Accent5 6 22" xfId="6388" xr:uid="{00000000-0005-0000-0000-0000CE180000}"/>
    <cellStyle name="40% - Accent5 6 23" xfId="6389" xr:uid="{00000000-0005-0000-0000-0000CF180000}"/>
    <cellStyle name="40% - Accent5 6 24" xfId="6390" xr:uid="{00000000-0005-0000-0000-0000D0180000}"/>
    <cellStyle name="40% - Accent5 6 25" xfId="6391" xr:uid="{00000000-0005-0000-0000-0000D1180000}"/>
    <cellStyle name="40% - Accent5 6 26" xfId="6392" xr:uid="{00000000-0005-0000-0000-0000D2180000}"/>
    <cellStyle name="40% - Accent5 6 27" xfId="6393" xr:uid="{00000000-0005-0000-0000-0000D3180000}"/>
    <cellStyle name="40% - Accent5 6 28" xfId="6394" xr:uid="{00000000-0005-0000-0000-0000D4180000}"/>
    <cellStyle name="40% - Accent5 6 29" xfId="6395" xr:uid="{00000000-0005-0000-0000-0000D5180000}"/>
    <cellStyle name="40% - Accent5 6 3" xfId="6396" xr:uid="{00000000-0005-0000-0000-0000D6180000}"/>
    <cellStyle name="40% - Accent5 6 30" xfId="6397" xr:uid="{00000000-0005-0000-0000-0000D7180000}"/>
    <cellStyle name="40% - Accent5 6 31" xfId="6398" xr:uid="{00000000-0005-0000-0000-0000D8180000}"/>
    <cellStyle name="40% - Accent5 6 32" xfId="6399" xr:uid="{00000000-0005-0000-0000-0000D9180000}"/>
    <cellStyle name="40% - Accent5 6 33" xfId="6400" xr:uid="{00000000-0005-0000-0000-0000DA180000}"/>
    <cellStyle name="40% - Accent5 6 34" xfId="6401" xr:uid="{00000000-0005-0000-0000-0000DB180000}"/>
    <cellStyle name="40% - Accent5 6 35" xfId="6402" xr:uid="{00000000-0005-0000-0000-0000DC180000}"/>
    <cellStyle name="40% - Accent5 6 36" xfId="6403" xr:uid="{00000000-0005-0000-0000-0000DD180000}"/>
    <cellStyle name="40% - Accent5 6 37" xfId="6404" xr:uid="{00000000-0005-0000-0000-0000DE180000}"/>
    <cellStyle name="40% - Accent5 6 38" xfId="6405" xr:uid="{00000000-0005-0000-0000-0000DF180000}"/>
    <cellStyle name="40% - Accent5 6 39" xfId="6406" xr:uid="{00000000-0005-0000-0000-0000E0180000}"/>
    <cellStyle name="40% - Accent5 6 4" xfId="6407" xr:uid="{00000000-0005-0000-0000-0000E1180000}"/>
    <cellStyle name="40% - Accent5 6 5" xfId="6408" xr:uid="{00000000-0005-0000-0000-0000E2180000}"/>
    <cellStyle name="40% - Accent5 6 6" xfId="6409" xr:uid="{00000000-0005-0000-0000-0000E3180000}"/>
    <cellStyle name="40% - Accent5 6 7" xfId="6410" xr:uid="{00000000-0005-0000-0000-0000E4180000}"/>
    <cellStyle name="40% - Accent5 6 8" xfId="6411" xr:uid="{00000000-0005-0000-0000-0000E5180000}"/>
    <cellStyle name="40% - Accent5 6 9" xfId="6412" xr:uid="{00000000-0005-0000-0000-0000E6180000}"/>
    <cellStyle name="40% - Accent5 60" xfId="6413" xr:uid="{00000000-0005-0000-0000-0000E7180000}"/>
    <cellStyle name="40% - Accent5 61" xfId="6414" xr:uid="{00000000-0005-0000-0000-0000E8180000}"/>
    <cellStyle name="40% - Accent5 62" xfId="6415" xr:uid="{00000000-0005-0000-0000-0000E9180000}"/>
    <cellStyle name="40% - Accent5 63" xfId="6416" xr:uid="{00000000-0005-0000-0000-0000EA180000}"/>
    <cellStyle name="40% - Accent5 64" xfId="6417" xr:uid="{00000000-0005-0000-0000-0000EB180000}"/>
    <cellStyle name="40% - Accent5 65" xfId="6418" xr:uid="{00000000-0005-0000-0000-0000EC180000}"/>
    <cellStyle name="40% - Accent5 66" xfId="6419" xr:uid="{00000000-0005-0000-0000-0000ED180000}"/>
    <cellStyle name="40% - Accent5 67" xfId="6420" xr:uid="{00000000-0005-0000-0000-0000EE180000}"/>
    <cellStyle name="40% - Accent5 68" xfId="6421" xr:uid="{00000000-0005-0000-0000-0000EF180000}"/>
    <cellStyle name="40% - Accent5 69" xfId="6422" xr:uid="{00000000-0005-0000-0000-0000F0180000}"/>
    <cellStyle name="40% - Accent5 7" xfId="6423" xr:uid="{00000000-0005-0000-0000-0000F1180000}"/>
    <cellStyle name="40% - Accent5 7 10" xfId="6424" xr:uid="{00000000-0005-0000-0000-0000F2180000}"/>
    <cellStyle name="40% - Accent5 7 11" xfId="6425" xr:uid="{00000000-0005-0000-0000-0000F3180000}"/>
    <cellStyle name="40% - Accent5 7 12" xfId="6426" xr:uid="{00000000-0005-0000-0000-0000F4180000}"/>
    <cellStyle name="40% - Accent5 7 13" xfId="6427" xr:uid="{00000000-0005-0000-0000-0000F5180000}"/>
    <cellStyle name="40% - Accent5 7 14" xfId="6428" xr:uid="{00000000-0005-0000-0000-0000F6180000}"/>
    <cellStyle name="40% - Accent5 7 15" xfId="6429" xr:uid="{00000000-0005-0000-0000-0000F7180000}"/>
    <cellStyle name="40% - Accent5 7 16" xfId="6430" xr:uid="{00000000-0005-0000-0000-0000F8180000}"/>
    <cellStyle name="40% - Accent5 7 17" xfId="6431" xr:uid="{00000000-0005-0000-0000-0000F9180000}"/>
    <cellStyle name="40% - Accent5 7 18" xfId="6432" xr:uid="{00000000-0005-0000-0000-0000FA180000}"/>
    <cellStyle name="40% - Accent5 7 19" xfId="6433" xr:uid="{00000000-0005-0000-0000-0000FB180000}"/>
    <cellStyle name="40% - Accent5 7 2" xfId="6434" xr:uid="{00000000-0005-0000-0000-0000FC180000}"/>
    <cellStyle name="40% - Accent5 7 20" xfId="6435" xr:uid="{00000000-0005-0000-0000-0000FD180000}"/>
    <cellStyle name="40% - Accent5 7 21" xfId="6436" xr:uid="{00000000-0005-0000-0000-0000FE180000}"/>
    <cellStyle name="40% - Accent5 7 22" xfId="6437" xr:uid="{00000000-0005-0000-0000-0000FF180000}"/>
    <cellStyle name="40% - Accent5 7 23" xfId="6438" xr:uid="{00000000-0005-0000-0000-000000190000}"/>
    <cellStyle name="40% - Accent5 7 24" xfId="6439" xr:uid="{00000000-0005-0000-0000-000001190000}"/>
    <cellStyle name="40% - Accent5 7 25" xfId="6440" xr:uid="{00000000-0005-0000-0000-000002190000}"/>
    <cellStyle name="40% - Accent5 7 26" xfId="6441" xr:uid="{00000000-0005-0000-0000-000003190000}"/>
    <cellStyle name="40% - Accent5 7 27" xfId="6442" xr:uid="{00000000-0005-0000-0000-000004190000}"/>
    <cellStyle name="40% - Accent5 7 28" xfId="6443" xr:uid="{00000000-0005-0000-0000-000005190000}"/>
    <cellStyle name="40% - Accent5 7 29" xfId="6444" xr:uid="{00000000-0005-0000-0000-000006190000}"/>
    <cellStyle name="40% - Accent5 7 3" xfId="6445" xr:uid="{00000000-0005-0000-0000-000007190000}"/>
    <cellStyle name="40% - Accent5 7 30" xfId="6446" xr:uid="{00000000-0005-0000-0000-000008190000}"/>
    <cellStyle name="40% - Accent5 7 31" xfId="6447" xr:uid="{00000000-0005-0000-0000-000009190000}"/>
    <cellStyle name="40% - Accent5 7 32" xfId="6448" xr:uid="{00000000-0005-0000-0000-00000A190000}"/>
    <cellStyle name="40% - Accent5 7 33" xfId="6449" xr:uid="{00000000-0005-0000-0000-00000B190000}"/>
    <cellStyle name="40% - Accent5 7 34" xfId="6450" xr:uid="{00000000-0005-0000-0000-00000C190000}"/>
    <cellStyle name="40% - Accent5 7 35" xfId="6451" xr:uid="{00000000-0005-0000-0000-00000D190000}"/>
    <cellStyle name="40% - Accent5 7 36" xfId="6452" xr:uid="{00000000-0005-0000-0000-00000E190000}"/>
    <cellStyle name="40% - Accent5 7 37" xfId="6453" xr:uid="{00000000-0005-0000-0000-00000F190000}"/>
    <cellStyle name="40% - Accent5 7 38" xfId="6454" xr:uid="{00000000-0005-0000-0000-000010190000}"/>
    <cellStyle name="40% - Accent5 7 39" xfId="6455" xr:uid="{00000000-0005-0000-0000-000011190000}"/>
    <cellStyle name="40% - Accent5 7 4" xfId="6456" xr:uid="{00000000-0005-0000-0000-000012190000}"/>
    <cellStyle name="40% - Accent5 7 5" xfId="6457" xr:uid="{00000000-0005-0000-0000-000013190000}"/>
    <cellStyle name="40% - Accent5 7 6" xfId="6458" xr:uid="{00000000-0005-0000-0000-000014190000}"/>
    <cellStyle name="40% - Accent5 7 7" xfId="6459" xr:uid="{00000000-0005-0000-0000-000015190000}"/>
    <cellStyle name="40% - Accent5 7 8" xfId="6460" xr:uid="{00000000-0005-0000-0000-000016190000}"/>
    <cellStyle name="40% - Accent5 7 9" xfId="6461" xr:uid="{00000000-0005-0000-0000-000017190000}"/>
    <cellStyle name="40% - Accent5 70" xfId="6462" xr:uid="{00000000-0005-0000-0000-000018190000}"/>
    <cellStyle name="40% - Accent5 71" xfId="6463" xr:uid="{00000000-0005-0000-0000-000019190000}"/>
    <cellStyle name="40% - Accent5 72" xfId="6464" xr:uid="{00000000-0005-0000-0000-00001A190000}"/>
    <cellStyle name="40% - Accent5 73" xfId="6465" xr:uid="{00000000-0005-0000-0000-00001B190000}"/>
    <cellStyle name="40% - Accent5 74" xfId="6466" xr:uid="{00000000-0005-0000-0000-00001C190000}"/>
    <cellStyle name="40% - Accent5 75" xfId="6467" xr:uid="{00000000-0005-0000-0000-00001D190000}"/>
    <cellStyle name="40% - Accent5 76" xfId="6468" xr:uid="{00000000-0005-0000-0000-00001E190000}"/>
    <cellStyle name="40% - Accent5 77" xfId="6469" xr:uid="{00000000-0005-0000-0000-00001F190000}"/>
    <cellStyle name="40% - Accent5 78" xfId="6470" xr:uid="{00000000-0005-0000-0000-000020190000}"/>
    <cellStyle name="40% - Accent5 79" xfId="6471" xr:uid="{00000000-0005-0000-0000-000021190000}"/>
    <cellStyle name="40% - Accent5 8" xfId="6472" xr:uid="{00000000-0005-0000-0000-000022190000}"/>
    <cellStyle name="40% - Accent5 8 10" xfId="6473" xr:uid="{00000000-0005-0000-0000-000023190000}"/>
    <cellStyle name="40% - Accent5 8 11" xfId="6474" xr:uid="{00000000-0005-0000-0000-000024190000}"/>
    <cellStyle name="40% - Accent5 8 12" xfId="6475" xr:uid="{00000000-0005-0000-0000-000025190000}"/>
    <cellStyle name="40% - Accent5 8 13" xfId="6476" xr:uid="{00000000-0005-0000-0000-000026190000}"/>
    <cellStyle name="40% - Accent5 8 14" xfId="6477" xr:uid="{00000000-0005-0000-0000-000027190000}"/>
    <cellStyle name="40% - Accent5 8 15" xfId="6478" xr:uid="{00000000-0005-0000-0000-000028190000}"/>
    <cellStyle name="40% - Accent5 8 16" xfId="6479" xr:uid="{00000000-0005-0000-0000-000029190000}"/>
    <cellStyle name="40% - Accent5 8 17" xfId="6480" xr:uid="{00000000-0005-0000-0000-00002A190000}"/>
    <cellStyle name="40% - Accent5 8 18" xfId="6481" xr:uid="{00000000-0005-0000-0000-00002B190000}"/>
    <cellStyle name="40% - Accent5 8 19" xfId="6482" xr:uid="{00000000-0005-0000-0000-00002C190000}"/>
    <cellStyle name="40% - Accent5 8 2" xfId="6483" xr:uid="{00000000-0005-0000-0000-00002D190000}"/>
    <cellStyle name="40% - Accent5 8 20" xfId="6484" xr:uid="{00000000-0005-0000-0000-00002E190000}"/>
    <cellStyle name="40% - Accent5 8 21" xfId="6485" xr:uid="{00000000-0005-0000-0000-00002F190000}"/>
    <cellStyle name="40% - Accent5 8 22" xfId="6486" xr:uid="{00000000-0005-0000-0000-000030190000}"/>
    <cellStyle name="40% - Accent5 8 23" xfId="6487" xr:uid="{00000000-0005-0000-0000-000031190000}"/>
    <cellStyle name="40% - Accent5 8 24" xfId="6488" xr:uid="{00000000-0005-0000-0000-000032190000}"/>
    <cellStyle name="40% - Accent5 8 25" xfId="6489" xr:uid="{00000000-0005-0000-0000-000033190000}"/>
    <cellStyle name="40% - Accent5 8 26" xfId="6490" xr:uid="{00000000-0005-0000-0000-000034190000}"/>
    <cellStyle name="40% - Accent5 8 27" xfId="6491" xr:uid="{00000000-0005-0000-0000-000035190000}"/>
    <cellStyle name="40% - Accent5 8 28" xfId="6492" xr:uid="{00000000-0005-0000-0000-000036190000}"/>
    <cellStyle name="40% - Accent5 8 29" xfId="6493" xr:uid="{00000000-0005-0000-0000-000037190000}"/>
    <cellStyle name="40% - Accent5 8 3" xfId="6494" xr:uid="{00000000-0005-0000-0000-000038190000}"/>
    <cellStyle name="40% - Accent5 8 30" xfId="6495" xr:uid="{00000000-0005-0000-0000-000039190000}"/>
    <cellStyle name="40% - Accent5 8 31" xfId="6496" xr:uid="{00000000-0005-0000-0000-00003A190000}"/>
    <cellStyle name="40% - Accent5 8 32" xfId="6497" xr:uid="{00000000-0005-0000-0000-00003B190000}"/>
    <cellStyle name="40% - Accent5 8 33" xfId="6498" xr:uid="{00000000-0005-0000-0000-00003C190000}"/>
    <cellStyle name="40% - Accent5 8 34" xfId="6499" xr:uid="{00000000-0005-0000-0000-00003D190000}"/>
    <cellStyle name="40% - Accent5 8 35" xfId="6500" xr:uid="{00000000-0005-0000-0000-00003E190000}"/>
    <cellStyle name="40% - Accent5 8 36" xfId="6501" xr:uid="{00000000-0005-0000-0000-00003F190000}"/>
    <cellStyle name="40% - Accent5 8 37" xfId="6502" xr:uid="{00000000-0005-0000-0000-000040190000}"/>
    <cellStyle name="40% - Accent5 8 38" xfId="6503" xr:uid="{00000000-0005-0000-0000-000041190000}"/>
    <cellStyle name="40% - Accent5 8 39" xfId="6504" xr:uid="{00000000-0005-0000-0000-000042190000}"/>
    <cellStyle name="40% - Accent5 8 4" xfId="6505" xr:uid="{00000000-0005-0000-0000-000043190000}"/>
    <cellStyle name="40% - Accent5 8 5" xfId="6506" xr:uid="{00000000-0005-0000-0000-000044190000}"/>
    <cellStyle name="40% - Accent5 8 6" xfId="6507" xr:uid="{00000000-0005-0000-0000-000045190000}"/>
    <cellStyle name="40% - Accent5 8 7" xfId="6508" xr:uid="{00000000-0005-0000-0000-000046190000}"/>
    <cellStyle name="40% - Accent5 8 8" xfId="6509" xr:uid="{00000000-0005-0000-0000-000047190000}"/>
    <cellStyle name="40% - Accent5 8 9" xfId="6510" xr:uid="{00000000-0005-0000-0000-000048190000}"/>
    <cellStyle name="40% - Accent5 9" xfId="6511" xr:uid="{00000000-0005-0000-0000-000049190000}"/>
    <cellStyle name="40% - Accent5 9 10" xfId="6512" xr:uid="{00000000-0005-0000-0000-00004A190000}"/>
    <cellStyle name="40% - Accent5 9 11" xfId="6513" xr:uid="{00000000-0005-0000-0000-00004B190000}"/>
    <cellStyle name="40% - Accent5 9 12" xfId="6514" xr:uid="{00000000-0005-0000-0000-00004C190000}"/>
    <cellStyle name="40% - Accent5 9 13" xfId="6515" xr:uid="{00000000-0005-0000-0000-00004D190000}"/>
    <cellStyle name="40% - Accent5 9 14" xfId="6516" xr:uid="{00000000-0005-0000-0000-00004E190000}"/>
    <cellStyle name="40% - Accent5 9 15" xfId="6517" xr:uid="{00000000-0005-0000-0000-00004F190000}"/>
    <cellStyle name="40% - Accent5 9 16" xfId="6518" xr:uid="{00000000-0005-0000-0000-000050190000}"/>
    <cellStyle name="40% - Accent5 9 17" xfId="6519" xr:uid="{00000000-0005-0000-0000-000051190000}"/>
    <cellStyle name="40% - Accent5 9 18" xfId="6520" xr:uid="{00000000-0005-0000-0000-000052190000}"/>
    <cellStyle name="40% - Accent5 9 19" xfId="6521" xr:uid="{00000000-0005-0000-0000-000053190000}"/>
    <cellStyle name="40% - Accent5 9 2" xfId="6522" xr:uid="{00000000-0005-0000-0000-000054190000}"/>
    <cellStyle name="40% - Accent5 9 20" xfId="6523" xr:uid="{00000000-0005-0000-0000-000055190000}"/>
    <cellStyle name="40% - Accent5 9 21" xfId="6524" xr:uid="{00000000-0005-0000-0000-000056190000}"/>
    <cellStyle name="40% - Accent5 9 22" xfId="6525" xr:uid="{00000000-0005-0000-0000-000057190000}"/>
    <cellStyle name="40% - Accent5 9 23" xfId="6526" xr:uid="{00000000-0005-0000-0000-000058190000}"/>
    <cellStyle name="40% - Accent5 9 24" xfId="6527" xr:uid="{00000000-0005-0000-0000-000059190000}"/>
    <cellStyle name="40% - Accent5 9 25" xfId="6528" xr:uid="{00000000-0005-0000-0000-00005A190000}"/>
    <cellStyle name="40% - Accent5 9 26" xfId="6529" xr:uid="{00000000-0005-0000-0000-00005B190000}"/>
    <cellStyle name="40% - Accent5 9 27" xfId="6530" xr:uid="{00000000-0005-0000-0000-00005C190000}"/>
    <cellStyle name="40% - Accent5 9 28" xfId="6531" xr:uid="{00000000-0005-0000-0000-00005D190000}"/>
    <cellStyle name="40% - Accent5 9 29" xfId="6532" xr:uid="{00000000-0005-0000-0000-00005E190000}"/>
    <cellStyle name="40% - Accent5 9 3" xfId="6533" xr:uid="{00000000-0005-0000-0000-00005F190000}"/>
    <cellStyle name="40% - Accent5 9 30" xfId="6534" xr:uid="{00000000-0005-0000-0000-000060190000}"/>
    <cellStyle name="40% - Accent5 9 31" xfId="6535" xr:uid="{00000000-0005-0000-0000-000061190000}"/>
    <cellStyle name="40% - Accent5 9 32" xfId="6536" xr:uid="{00000000-0005-0000-0000-000062190000}"/>
    <cellStyle name="40% - Accent5 9 33" xfId="6537" xr:uid="{00000000-0005-0000-0000-000063190000}"/>
    <cellStyle name="40% - Accent5 9 34" xfId="6538" xr:uid="{00000000-0005-0000-0000-000064190000}"/>
    <cellStyle name="40% - Accent5 9 35" xfId="6539" xr:uid="{00000000-0005-0000-0000-000065190000}"/>
    <cellStyle name="40% - Accent5 9 36" xfId="6540" xr:uid="{00000000-0005-0000-0000-000066190000}"/>
    <cellStyle name="40% - Accent5 9 37" xfId="6541" xr:uid="{00000000-0005-0000-0000-000067190000}"/>
    <cellStyle name="40% - Accent5 9 38" xfId="6542" xr:uid="{00000000-0005-0000-0000-000068190000}"/>
    <cellStyle name="40% - Accent5 9 39" xfId="6543" xr:uid="{00000000-0005-0000-0000-000069190000}"/>
    <cellStyle name="40% - Accent5 9 4" xfId="6544" xr:uid="{00000000-0005-0000-0000-00006A190000}"/>
    <cellStyle name="40% - Accent5 9 5" xfId="6545" xr:uid="{00000000-0005-0000-0000-00006B190000}"/>
    <cellStyle name="40% - Accent5 9 6" xfId="6546" xr:uid="{00000000-0005-0000-0000-00006C190000}"/>
    <cellStyle name="40% - Accent5 9 7" xfId="6547" xr:uid="{00000000-0005-0000-0000-00006D190000}"/>
    <cellStyle name="40% - Accent5 9 8" xfId="6548" xr:uid="{00000000-0005-0000-0000-00006E190000}"/>
    <cellStyle name="40% - Accent5 9 9" xfId="6549" xr:uid="{00000000-0005-0000-0000-00006F190000}"/>
    <cellStyle name="40% - Accent6" xfId="41" builtinId="51" customBuiltin="1"/>
    <cellStyle name="40% - Accent6 10" xfId="6550" xr:uid="{00000000-0005-0000-0000-000071190000}"/>
    <cellStyle name="40% - Accent6 10 10" xfId="6551" xr:uid="{00000000-0005-0000-0000-000072190000}"/>
    <cellStyle name="40% - Accent6 10 11" xfId="6552" xr:uid="{00000000-0005-0000-0000-000073190000}"/>
    <cellStyle name="40% - Accent6 10 12" xfId="6553" xr:uid="{00000000-0005-0000-0000-000074190000}"/>
    <cellStyle name="40% - Accent6 10 13" xfId="6554" xr:uid="{00000000-0005-0000-0000-000075190000}"/>
    <cellStyle name="40% - Accent6 10 14" xfId="6555" xr:uid="{00000000-0005-0000-0000-000076190000}"/>
    <cellStyle name="40% - Accent6 10 15" xfId="6556" xr:uid="{00000000-0005-0000-0000-000077190000}"/>
    <cellStyle name="40% - Accent6 10 16" xfId="6557" xr:uid="{00000000-0005-0000-0000-000078190000}"/>
    <cellStyle name="40% - Accent6 10 17" xfId="6558" xr:uid="{00000000-0005-0000-0000-000079190000}"/>
    <cellStyle name="40% - Accent6 10 18" xfId="6559" xr:uid="{00000000-0005-0000-0000-00007A190000}"/>
    <cellStyle name="40% - Accent6 10 19" xfId="6560" xr:uid="{00000000-0005-0000-0000-00007B190000}"/>
    <cellStyle name="40% - Accent6 10 2" xfId="6561" xr:uid="{00000000-0005-0000-0000-00007C190000}"/>
    <cellStyle name="40% - Accent6 10 20" xfId="6562" xr:uid="{00000000-0005-0000-0000-00007D190000}"/>
    <cellStyle name="40% - Accent6 10 21" xfId="6563" xr:uid="{00000000-0005-0000-0000-00007E190000}"/>
    <cellStyle name="40% - Accent6 10 22" xfId="6564" xr:uid="{00000000-0005-0000-0000-00007F190000}"/>
    <cellStyle name="40% - Accent6 10 23" xfId="6565" xr:uid="{00000000-0005-0000-0000-000080190000}"/>
    <cellStyle name="40% - Accent6 10 24" xfId="6566" xr:uid="{00000000-0005-0000-0000-000081190000}"/>
    <cellStyle name="40% - Accent6 10 25" xfId="6567" xr:uid="{00000000-0005-0000-0000-000082190000}"/>
    <cellStyle name="40% - Accent6 10 26" xfId="6568" xr:uid="{00000000-0005-0000-0000-000083190000}"/>
    <cellStyle name="40% - Accent6 10 27" xfId="6569" xr:uid="{00000000-0005-0000-0000-000084190000}"/>
    <cellStyle name="40% - Accent6 10 28" xfId="6570" xr:uid="{00000000-0005-0000-0000-000085190000}"/>
    <cellStyle name="40% - Accent6 10 29" xfId="6571" xr:uid="{00000000-0005-0000-0000-000086190000}"/>
    <cellStyle name="40% - Accent6 10 3" xfId="6572" xr:uid="{00000000-0005-0000-0000-000087190000}"/>
    <cellStyle name="40% - Accent6 10 30" xfId="6573" xr:uid="{00000000-0005-0000-0000-000088190000}"/>
    <cellStyle name="40% - Accent6 10 31" xfId="6574" xr:uid="{00000000-0005-0000-0000-000089190000}"/>
    <cellStyle name="40% - Accent6 10 32" xfId="6575" xr:uid="{00000000-0005-0000-0000-00008A190000}"/>
    <cellStyle name="40% - Accent6 10 33" xfId="6576" xr:uid="{00000000-0005-0000-0000-00008B190000}"/>
    <cellStyle name="40% - Accent6 10 34" xfId="6577" xr:uid="{00000000-0005-0000-0000-00008C190000}"/>
    <cellStyle name="40% - Accent6 10 35" xfId="6578" xr:uid="{00000000-0005-0000-0000-00008D190000}"/>
    <cellStyle name="40% - Accent6 10 36" xfId="6579" xr:uid="{00000000-0005-0000-0000-00008E190000}"/>
    <cellStyle name="40% - Accent6 10 37" xfId="6580" xr:uid="{00000000-0005-0000-0000-00008F190000}"/>
    <cellStyle name="40% - Accent6 10 38" xfId="6581" xr:uid="{00000000-0005-0000-0000-000090190000}"/>
    <cellStyle name="40% - Accent6 10 39" xfId="6582" xr:uid="{00000000-0005-0000-0000-000091190000}"/>
    <cellStyle name="40% - Accent6 10 4" xfId="6583" xr:uid="{00000000-0005-0000-0000-000092190000}"/>
    <cellStyle name="40% - Accent6 10 5" xfId="6584" xr:uid="{00000000-0005-0000-0000-000093190000}"/>
    <cellStyle name="40% - Accent6 10 6" xfId="6585" xr:uid="{00000000-0005-0000-0000-000094190000}"/>
    <cellStyle name="40% - Accent6 10 7" xfId="6586" xr:uid="{00000000-0005-0000-0000-000095190000}"/>
    <cellStyle name="40% - Accent6 10 8" xfId="6587" xr:uid="{00000000-0005-0000-0000-000096190000}"/>
    <cellStyle name="40% - Accent6 10 9" xfId="6588" xr:uid="{00000000-0005-0000-0000-000097190000}"/>
    <cellStyle name="40% - Accent6 11" xfId="6589" xr:uid="{00000000-0005-0000-0000-000098190000}"/>
    <cellStyle name="40% - Accent6 11 10" xfId="6590" xr:uid="{00000000-0005-0000-0000-000099190000}"/>
    <cellStyle name="40% - Accent6 11 11" xfId="6591" xr:uid="{00000000-0005-0000-0000-00009A190000}"/>
    <cellStyle name="40% - Accent6 11 12" xfId="6592" xr:uid="{00000000-0005-0000-0000-00009B190000}"/>
    <cellStyle name="40% - Accent6 11 13" xfId="6593" xr:uid="{00000000-0005-0000-0000-00009C190000}"/>
    <cellStyle name="40% - Accent6 11 14" xfId="6594" xr:uid="{00000000-0005-0000-0000-00009D190000}"/>
    <cellStyle name="40% - Accent6 11 15" xfId="6595" xr:uid="{00000000-0005-0000-0000-00009E190000}"/>
    <cellStyle name="40% - Accent6 11 16" xfId="6596" xr:uid="{00000000-0005-0000-0000-00009F190000}"/>
    <cellStyle name="40% - Accent6 11 17" xfId="6597" xr:uid="{00000000-0005-0000-0000-0000A0190000}"/>
    <cellStyle name="40% - Accent6 11 18" xfId="6598" xr:uid="{00000000-0005-0000-0000-0000A1190000}"/>
    <cellStyle name="40% - Accent6 11 19" xfId="6599" xr:uid="{00000000-0005-0000-0000-0000A2190000}"/>
    <cellStyle name="40% - Accent6 11 2" xfId="6600" xr:uid="{00000000-0005-0000-0000-0000A3190000}"/>
    <cellStyle name="40% - Accent6 11 20" xfId="6601" xr:uid="{00000000-0005-0000-0000-0000A4190000}"/>
    <cellStyle name="40% - Accent6 11 21" xfId="6602" xr:uid="{00000000-0005-0000-0000-0000A5190000}"/>
    <cellStyle name="40% - Accent6 11 22" xfId="6603" xr:uid="{00000000-0005-0000-0000-0000A6190000}"/>
    <cellStyle name="40% - Accent6 11 23" xfId="6604" xr:uid="{00000000-0005-0000-0000-0000A7190000}"/>
    <cellStyle name="40% - Accent6 11 24" xfId="6605" xr:uid="{00000000-0005-0000-0000-0000A8190000}"/>
    <cellStyle name="40% - Accent6 11 25" xfId="6606" xr:uid="{00000000-0005-0000-0000-0000A9190000}"/>
    <cellStyle name="40% - Accent6 11 26" xfId="6607" xr:uid="{00000000-0005-0000-0000-0000AA190000}"/>
    <cellStyle name="40% - Accent6 11 27" xfId="6608" xr:uid="{00000000-0005-0000-0000-0000AB190000}"/>
    <cellStyle name="40% - Accent6 11 28" xfId="6609" xr:uid="{00000000-0005-0000-0000-0000AC190000}"/>
    <cellStyle name="40% - Accent6 11 29" xfId="6610" xr:uid="{00000000-0005-0000-0000-0000AD190000}"/>
    <cellStyle name="40% - Accent6 11 3" xfId="6611" xr:uid="{00000000-0005-0000-0000-0000AE190000}"/>
    <cellStyle name="40% - Accent6 11 30" xfId="6612" xr:uid="{00000000-0005-0000-0000-0000AF190000}"/>
    <cellStyle name="40% - Accent6 11 31" xfId="6613" xr:uid="{00000000-0005-0000-0000-0000B0190000}"/>
    <cellStyle name="40% - Accent6 11 32" xfId="6614" xr:uid="{00000000-0005-0000-0000-0000B1190000}"/>
    <cellStyle name="40% - Accent6 11 33" xfId="6615" xr:uid="{00000000-0005-0000-0000-0000B2190000}"/>
    <cellStyle name="40% - Accent6 11 34" xfId="6616" xr:uid="{00000000-0005-0000-0000-0000B3190000}"/>
    <cellStyle name="40% - Accent6 11 35" xfId="6617" xr:uid="{00000000-0005-0000-0000-0000B4190000}"/>
    <cellStyle name="40% - Accent6 11 36" xfId="6618" xr:uid="{00000000-0005-0000-0000-0000B5190000}"/>
    <cellStyle name="40% - Accent6 11 37" xfId="6619" xr:uid="{00000000-0005-0000-0000-0000B6190000}"/>
    <cellStyle name="40% - Accent6 11 38" xfId="6620" xr:uid="{00000000-0005-0000-0000-0000B7190000}"/>
    <cellStyle name="40% - Accent6 11 39" xfId="6621" xr:uid="{00000000-0005-0000-0000-0000B8190000}"/>
    <cellStyle name="40% - Accent6 11 4" xfId="6622" xr:uid="{00000000-0005-0000-0000-0000B9190000}"/>
    <cellStyle name="40% - Accent6 11 5" xfId="6623" xr:uid="{00000000-0005-0000-0000-0000BA190000}"/>
    <cellStyle name="40% - Accent6 11 6" xfId="6624" xr:uid="{00000000-0005-0000-0000-0000BB190000}"/>
    <cellStyle name="40% - Accent6 11 7" xfId="6625" xr:uid="{00000000-0005-0000-0000-0000BC190000}"/>
    <cellStyle name="40% - Accent6 11 8" xfId="6626" xr:uid="{00000000-0005-0000-0000-0000BD190000}"/>
    <cellStyle name="40% - Accent6 11 9" xfId="6627" xr:uid="{00000000-0005-0000-0000-0000BE190000}"/>
    <cellStyle name="40% - Accent6 12" xfId="6628" xr:uid="{00000000-0005-0000-0000-0000BF190000}"/>
    <cellStyle name="40% - Accent6 13" xfId="6629" xr:uid="{00000000-0005-0000-0000-0000C0190000}"/>
    <cellStyle name="40% - Accent6 14" xfId="6630" xr:uid="{00000000-0005-0000-0000-0000C1190000}"/>
    <cellStyle name="40% - Accent6 15" xfId="6631" xr:uid="{00000000-0005-0000-0000-0000C2190000}"/>
    <cellStyle name="40% - Accent6 16" xfId="6632" xr:uid="{00000000-0005-0000-0000-0000C3190000}"/>
    <cellStyle name="40% - Accent6 17" xfId="6633" xr:uid="{00000000-0005-0000-0000-0000C4190000}"/>
    <cellStyle name="40% - Accent6 18" xfId="6634" xr:uid="{00000000-0005-0000-0000-0000C5190000}"/>
    <cellStyle name="40% - Accent6 19" xfId="6635" xr:uid="{00000000-0005-0000-0000-0000C6190000}"/>
    <cellStyle name="40% - Accent6 2" xfId="6636" xr:uid="{00000000-0005-0000-0000-0000C7190000}"/>
    <cellStyle name="40% - Accent6 2 10" xfId="6637" xr:uid="{00000000-0005-0000-0000-0000C8190000}"/>
    <cellStyle name="40% - Accent6 2 11" xfId="6638" xr:uid="{00000000-0005-0000-0000-0000C9190000}"/>
    <cellStyle name="40% - Accent6 2 12" xfId="6639" xr:uid="{00000000-0005-0000-0000-0000CA190000}"/>
    <cellStyle name="40% - Accent6 2 13" xfId="6640" xr:uid="{00000000-0005-0000-0000-0000CB190000}"/>
    <cellStyle name="40% - Accent6 2 14" xfId="6641" xr:uid="{00000000-0005-0000-0000-0000CC190000}"/>
    <cellStyle name="40% - Accent6 2 15" xfId="6642" xr:uid="{00000000-0005-0000-0000-0000CD190000}"/>
    <cellStyle name="40% - Accent6 2 16" xfId="6643" xr:uid="{00000000-0005-0000-0000-0000CE190000}"/>
    <cellStyle name="40% - Accent6 2 17" xfId="6644" xr:uid="{00000000-0005-0000-0000-0000CF190000}"/>
    <cellStyle name="40% - Accent6 2 18" xfId="6645" xr:uid="{00000000-0005-0000-0000-0000D0190000}"/>
    <cellStyle name="40% - Accent6 2 19" xfId="6646" xr:uid="{00000000-0005-0000-0000-0000D1190000}"/>
    <cellStyle name="40% - Accent6 2 2" xfId="6647" xr:uid="{00000000-0005-0000-0000-0000D2190000}"/>
    <cellStyle name="40% - Accent6 2 2 2" xfId="6648" xr:uid="{00000000-0005-0000-0000-0000D3190000}"/>
    <cellStyle name="40% - Accent6 2 20" xfId="6649" xr:uid="{00000000-0005-0000-0000-0000D4190000}"/>
    <cellStyle name="40% - Accent6 2 21" xfId="6650" xr:uid="{00000000-0005-0000-0000-0000D5190000}"/>
    <cellStyle name="40% - Accent6 2 22" xfId="6651" xr:uid="{00000000-0005-0000-0000-0000D6190000}"/>
    <cellStyle name="40% - Accent6 2 23" xfId="6652" xr:uid="{00000000-0005-0000-0000-0000D7190000}"/>
    <cellStyle name="40% - Accent6 2 24" xfId="6653" xr:uid="{00000000-0005-0000-0000-0000D8190000}"/>
    <cellStyle name="40% - Accent6 2 25" xfId="6654" xr:uid="{00000000-0005-0000-0000-0000D9190000}"/>
    <cellStyle name="40% - Accent6 2 26" xfId="6655" xr:uid="{00000000-0005-0000-0000-0000DA190000}"/>
    <cellStyle name="40% - Accent6 2 27" xfId="6656" xr:uid="{00000000-0005-0000-0000-0000DB190000}"/>
    <cellStyle name="40% - Accent6 2 28" xfId="6657" xr:uid="{00000000-0005-0000-0000-0000DC190000}"/>
    <cellStyle name="40% - Accent6 2 29" xfId="6658" xr:uid="{00000000-0005-0000-0000-0000DD190000}"/>
    <cellStyle name="40% - Accent6 2 3" xfId="6659" xr:uid="{00000000-0005-0000-0000-0000DE190000}"/>
    <cellStyle name="40% - Accent6 2 3 2" xfId="6660" xr:uid="{00000000-0005-0000-0000-0000DF190000}"/>
    <cellStyle name="40% - Accent6 2 30" xfId="6661" xr:uid="{00000000-0005-0000-0000-0000E0190000}"/>
    <cellStyle name="40% - Accent6 2 31" xfId="6662" xr:uid="{00000000-0005-0000-0000-0000E1190000}"/>
    <cellStyle name="40% - Accent6 2 32" xfId="6663" xr:uid="{00000000-0005-0000-0000-0000E2190000}"/>
    <cellStyle name="40% - Accent6 2 33" xfId="6664" xr:uid="{00000000-0005-0000-0000-0000E3190000}"/>
    <cellStyle name="40% - Accent6 2 34" xfId="6665" xr:uid="{00000000-0005-0000-0000-0000E4190000}"/>
    <cellStyle name="40% - Accent6 2 35" xfId="6666" xr:uid="{00000000-0005-0000-0000-0000E5190000}"/>
    <cellStyle name="40% - Accent6 2 36" xfId="6667" xr:uid="{00000000-0005-0000-0000-0000E6190000}"/>
    <cellStyle name="40% - Accent6 2 37" xfId="6668" xr:uid="{00000000-0005-0000-0000-0000E7190000}"/>
    <cellStyle name="40% - Accent6 2 38" xfId="6669" xr:uid="{00000000-0005-0000-0000-0000E8190000}"/>
    <cellStyle name="40% - Accent6 2 39" xfId="6670" xr:uid="{00000000-0005-0000-0000-0000E9190000}"/>
    <cellStyle name="40% - Accent6 2 4" xfId="6671" xr:uid="{00000000-0005-0000-0000-0000EA190000}"/>
    <cellStyle name="40% - Accent6 2 4 2" xfId="6672" xr:uid="{00000000-0005-0000-0000-0000EB190000}"/>
    <cellStyle name="40% - Accent6 2 40" xfId="6673" xr:uid="{00000000-0005-0000-0000-0000EC190000}"/>
    <cellStyle name="40% - Accent6 2 41" xfId="6674" xr:uid="{00000000-0005-0000-0000-0000ED190000}"/>
    <cellStyle name="40% - Accent6 2 42" xfId="6675" xr:uid="{00000000-0005-0000-0000-0000EE190000}"/>
    <cellStyle name="40% - Accent6 2 43" xfId="6676" xr:uid="{00000000-0005-0000-0000-0000EF190000}"/>
    <cellStyle name="40% - Accent6 2 44" xfId="6677" xr:uid="{00000000-0005-0000-0000-0000F0190000}"/>
    <cellStyle name="40% - Accent6 2 45" xfId="6678" xr:uid="{00000000-0005-0000-0000-0000F1190000}"/>
    <cellStyle name="40% - Accent6 2 46" xfId="6679" xr:uid="{00000000-0005-0000-0000-0000F2190000}"/>
    <cellStyle name="40% - Accent6 2 47" xfId="6680" xr:uid="{00000000-0005-0000-0000-0000F3190000}"/>
    <cellStyle name="40% - Accent6 2 48" xfId="6681" xr:uid="{00000000-0005-0000-0000-0000F4190000}"/>
    <cellStyle name="40% - Accent6 2 49" xfId="6682" xr:uid="{00000000-0005-0000-0000-0000F5190000}"/>
    <cellStyle name="40% - Accent6 2 5" xfId="6683" xr:uid="{00000000-0005-0000-0000-0000F6190000}"/>
    <cellStyle name="40% - Accent6 2 5 2" xfId="6684" xr:uid="{00000000-0005-0000-0000-0000F7190000}"/>
    <cellStyle name="40% - Accent6 2 50" xfId="6685" xr:uid="{00000000-0005-0000-0000-0000F8190000}"/>
    <cellStyle name="40% - Accent6 2 51" xfId="6686" xr:uid="{00000000-0005-0000-0000-0000F9190000}"/>
    <cellStyle name="40% - Accent6 2 52" xfId="6687" xr:uid="{00000000-0005-0000-0000-0000FA190000}"/>
    <cellStyle name="40% - Accent6 2 53" xfId="6688" xr:uid="{00000000-0005-0000-0000-0000FB190000}"/>
    <cellStyle name="40% - Accent6 2 54" xfId="6689" xr:uid="{00000000-0005-0000-0000-0000FC190000}"/>
    <cellStyle name="40% - Accent6 2 55" xfId="6690" xr:uid="{00000000-0005-0000-0000-0000FD190000}"/>
    <cellStyle name="40% - Accent6 2 56" xfId="6691" xr:uid="{00000000-0005-0000-0000-0000FE190000}"/>
    <cellStyle name="40% - Accent6 2 57" xfId="6692" xr:uid="{00000000-0005-0000-0000-0000FF190000}"/>
    <cellStyle name="40% - Accent6 2 58" xfId="6693" xr:uid="{00000000-0005-0000-0000-0000001A0000}"/>
    <cellStyle name="40% - Accent6 2 59" xfId="6694" xr:uid="{00000000-0005-0000-0000-0000011A0000}"/>
    <cellStyle name="40% - Accent6 2 6" xfId="6695" xr:uid="{00000000-0005-0000-0000-0000021A0000}"/>
    <cellStyle name="40% - Accent6 2 6 2" xfId="6696" xr:uid="{00000000-0005-0000-0000-0000031A0000}"/>
    <cellStyle name="40% - Accent6 2 60" xfId="6697" xr:uid="{00000000-0005-0000-0000-0000041A0000}"/>
    <cellStyle name="40% - Accent6 2 61" xfId="6698" xr:uid="{00000000-0005-0000-0000-0000051A0000}"/>
    <cellStyle name="40% - Accent6 2 62" xfId="6699" xr:uid="{00000000-0005-0000-0000-0000061A0000}"/>
    <cellStyle name="40% - Accent6 2 63" xfId="6700" xr:uid="{00000000-0005-0000-0000-0000071A0000}"/>
    <cellStyle name="40% - Accent6 2 64" xfId="6701" xr:uid="{00000000-0005-0000-0000-0000081A0000}"/>
    <cellStyle name="40% - Accent6 2 65" xfId="6702" xr:uid="{00000000-0005-0000-0000-0000091A0000}"/>
    <cellStyle name="40% - Accent6 2 66" xfId="6703" xr:uid="{00000000-0005-0000-0000-00000A1A0000}"/>
    <cellStyle name="40% - Accent6 2 67" xfId="6704" xr:uid="{00000000-0005-0000-0000-00000B1A0000}"/>
    <cellStyle name="40% - Accent6 2 68" xfId="6705" xr:uid="{00000000-0005-0000-0000-00000C1A0000}"/>
    <cellStyle name="40% - Accent6 2 69" xfId="6706" xr:uid="{00000000-0005-0000-0000-00000D1A0000}"/>
    <cellStyle name="40% - Accent6 2 7" xfId="6707" xr:uid="{00000000-0005-0000-0000-00000E1A0000}"/>
    <cellStyle name="40% - Accent6 2 7 2" xfId="6708" xr:uid="{00000000-0005-0000-0000-00000F1A0000}"/>
    <cellStyle name="40% - Accent6 2 70" xfId="6709" xr:uid="{00000000-0005-0000-0000-0000101A0000}"/>
    <cellStyle name="40% - Accent6 2 71" xfId="6710" xr:uid="{00000000-0005-0000-0000-0000111A0000}"/>
    <cellStyle name="40% - Accent6 2 72" xfId="6711" xr:uid="{00000000-0005-0000-0000-0000121A0000}"/>
    <cellStyle name="40% - Accent6 2 73" xfId="6712" xr:uid="{00000000-0005-0000-0000-0000131A0000}"/>
    <cellStyle name="40% - Accent6 2 74" xfId="6713" xr:uid="{00000000-0005-0000-0000-0000141A0000}"/>
    <cellStyle name="40% - Accent6 2 75" xfId="6714" xr:uid="{00000000-0005-0000-0000-0000151A0000}"/>
    <cellStyle name="40% - Accent6 2 8" xfId="6715" xr:uid="{00000000-0005-0000-0000-0000161A0000}"/>
    <cellStyle name="40% - Accent6 2 8 2" xfId="6716" xr:uid="{00000000-0005-0000-0000-0000171A0000}"/>
    <cellStyle name="40% - Accent6 2 9" xfId="6717" xr:uid="{00000000-0005-0000-0000-0000181A0000}"/>
    <cellStyle name="40% - Accent6 2 9 2" xfId="6718" xr:uid="{00000000-0005-0000-0000-0000191A0000}"/>
    <cellStyle name="40% - Accent6 20" xfId="6719" xr:uid="{00000000-0005-0000-0000-00001A1A0000}"/>
    <cellStyle name="40% - Accent6 21" xfId="6720" xr:uid="{00000000-0005-0000-0000-00001B1A0000}"/>
    <cellStyle name="40% - Accent6 22" xfId="6721" xr:uid="{00000000-0005-0000-0000-00001C1A0000}"/>
    <cellStyle name="40% - Accent6 23" xfId="6722" xr:uid="{00000000-0005-0000-0000-00001D1A0000}"/>
    <cellStyle name="40% - Accent6 24" xfId="6723" xr:uid="{00000000-0005-0000-0000-00001E1A0000}"/>
    <cellStyle name="40% - Accent6 25" xfId="6724" xr:uid="{00000000-0005-0000-0000-00001F1A0000}"/>
    <cellStyle name="40% - Accent6 26" xfId="6725" xr:uid="{00000000-0005-0000-0000-0000201A0000}"/>
    <cellStyle name="40% - Accent6 27" xfId="6726" xr:uid="{00000000-0005-0000-0000-0000211A0000}"/>
    <cellStyle name="40% - Accent6 28" xfId="6727" xr:uid="{00000000-0005-0000-0000-0000221A0000}"/>
    <cellStyle name="40% - Accent6 29" xfId="6728" xr:uid="{00000000-0005-0000-0000-0000231A0000}"/>
    <cellStyle name="40% - Accent6 3" xfId="6729" xr:uid="{00000000-0005-0000-0000-0000241A0000}"/>
    <cellStyle name="40% - Accent6 3 10" xfId="6730" xr:uid="{00000000-0005-0000-0000-0000251A0000}"/>
    <cellStyle name="40% - Accent6 3 11" xfId="6731" xr:uid="{00000000-0005-0000-0000-0000261A0000}"/>
    <cellStyle name="40% - Accent6 3 12" xfId="6732" xr:uid="{00000000-0005-0000-0000-0000271A0000}"/>
    <cellStyle name="40% - Accent6 3 13" xfId="6733" xr:uid="{00000000-0005-0000-0000-0000281A0000}"/>
    <cellStyle name="40% - Accent6 3 14" xfId="6734" xr:uid="{00000000-0005-0000-0000-0000291A0000}"/>
    <cellStyle name="40% - Accent6 3 15" xfId="6735" xr:uid="{00000000-0005-0000-0000-00002A1A0000}"/>
    <cellStyle name="40% - Accent6 3 16" xfId="6736" xr:uid="{00000000-0005-0000-0000-00002B1A0000}"/>
    <cellStyle name="40% - Accent6 3 17" xfId="6737" xr:uid="{00000000-0005-0000-0000-00002C1A0000}"/>
    <cellStyle name="40% - Accent6 3 18" xfId="6738" xr:uid="{00000000-0005-0000-0000-00002D1A0000}"/>
    <cellStyle name="40% - Accent6 3 19" xfId="6739" xr:uid="{00000000-0005-0000-0000-00002E1A0000}"/>
    <cellStyle name="40% - Accent6 3 2" xfId="6740" xr:uid="{00000000-0005-0000-0000-00002F1A0000}"/>
    <cellStyle name="40% - Accent6 3 2 2" xfId="6741" xr:uid="{00000000-0005-0000-0000-0000301A0000}"/>
    <cellStyle name="40% - Accent6 3 20" xfId="6742" xr:uid="{00000000-0005-0000-0000-0000311A0000}"/>
    <cellStyle name="40% - Accent6 3 21" xfId="6743" xr:uid="{00000000-0005-0000-0000-0000321A0000}"/>
    <cellStyle name="40% - Accent6 3 22" xfId="6744" xr:uid="{00000000-0005-0000-0000-0000331A0000}"/>
    <cellStyle name="40% - Accent6 3 23" xfId="6745" xr:uid="{00000000-0005-0000-0000-0000341A0000}"/>
    <cellStyle name="40% - Accent6 3 24" xfId="6746" xr:uid="{00000000-0005-0000-0000-0000351A0000}"/>
    <cellStyle name="40% - Accent6 3 25" xfId="6747" xr:uid="{00000000-0005-0000-0000-0000361A0000}"/>
    <cellStyle name="40% - Accent6 3 26" xfId="6748" xr:uid="{00000000-0005-0000-0000-0000371A0000}"/>
    <cellStyle name="40% - Accent6 3 27" xfId="6749" xr:uid="{00000000-0005-0000-0000-0000381A0000}"/>
    <cellStyle name="40% - Accent6 3 28" xfId="6750" xr:uid="{00000000-0005-0000-0000-0000391A0000}"/>
    <cellStyle name="40% - Accent6 3 29" xfId="6751" xr:uid="{00000000-0005-0000-0000-00003A1A0000}"/>
    <cellStyle name="40% - Accent6 3 3" xfId="6752" xr:uid="{00000000-0005-0000-0000-00003B1A0000}"/>
    <cellStyle name="40% - Accent6 3 3 2" xfId="6753" xr:uid="{00000000-0005-0000-0000-00003C1A0000}"/>
    <cellStyle name="40% - Accent6 3 30" xfId="6754" xr:uid="{00000000-0005-0000-0000-00003D1A0000}"/>
    <cellStyle name="40% - Accent6 3 31" xfId="6755" xr:uid="{00000000-0005-0000-0000-00003E1A0000}"/>
    <cellStyle name="40% - Accent6 3 32" xfId="6756" xr:uid="{00000000-0005-0000-0000-00003F1A0000}"/>
    <cellStyle name="40% - Accent6 3 33" xfId="6757" xr:uid="{00000000-0005-0000-0000-0000401A0000}"/>
    <cellStyle name="40% - Accent6 3 34" xfId="6758" xr:uid="{00000000-0005-0000-0000-0000411A0000}"/>
    <cellStyle name="40% - Accent6 3 35" xfId="6759" xr:uid="{00000000-0005-0000-0000-0000421A0000}"/>
    <cellStyle name="40% - Accent6 3 36" xfId="6760" xr:uid="{00000000-0005-0000-0000-0000431A0000}"/>
    <cellStyle name="40% - Accent6 3 37" xfId="6761" xr:uid="{00000000-0005-0000-0000-0000441A0000}"/>
    <cellStyle name="40% - Accent6 3 38" xfId="6762" xr:uid="{00000000-0005-0000-0000-0000451A0000}"/>
    <cellStyle name="40% - Accent6 3 39" xfId="6763" xr:uid="{00000000-0005-0000-0000-0000461A0000}"/>
    <cellStyle name="40% - Accent6 3 4" xfId="6764" xr:uid="{00000000-0005-0000-0000-0000471A0000}"/>
    <cellStyle name="40% - Accent6 3 4 2" xfId="6765" xr:uid="{00000000-0005-0000-0000-0000481A0000}"/>
    <cellStyle name="40% - Accent6 3 40" xfId="6766" xr:uid="{00000000-0005-0000-0000-0000491A0000}"/>
    <cellStyle name="40% - Accent6 3 41" xfId="6767" xr:uid="{00000000-0005-0000-0000-00004A1A0000}"/>
    <cellStyle name="40% - Accent6 3 42" xfId="6768" xr:uid="{00000000-0005-0000-0000-00004B1A0000}"/>
    <cellStyle name="40% - Accent6 3 43" xfId="6769" xr:uid="{00000000-0005-0000-0000-00004C1A0000}"/>
    <cellStyle name="40% - Accent6 3 44" xfId="6770" xr:uid="{00000000-0005-0000-0000-00004D1A0000}"/>
    <cellStyle name="40% - Accent6 3 45" xfId="6771" xr:uid="{00000000-0005-0000-0000-00004E1A0000}"/>
    <cellStyle name="40% - Accent6 3 46" xfId="6772" xr:uid="{00000000-0005-0000-0000-00004F1A0000}"/>
    <cellStyle name="40% - Accent6 3 47" xfId="6773" xr:uid="{00000000-0005-0000-0000-0000501A0000}"/>
    <cellStyle name="40% - Accent6 3 48" xfId="6774" xr:uid="{00000000-0005-0000-0000-0000511A0000}"/>
    <cellStyle name="40% - Accent6 3 49" xfId="6775" xr:uid="{00000000-0005-0000-0000-0000521A0000}"/>
    <cellStyle name="40% - Accent6 3 5" xfId="6776" xr:uid="{00000000-0005-0000-0000-0000531A0000}"/>
    <cellStyle name="40% - Accent6 3 5 2" xfId="6777" xr:uid="{00000000-0005-0000-0000-0000541A0000}"/>
    <cellStyle name="40% - Accent6 3 50" xfId="6778" xr:uid="{00000000-0005-0000-0000-0000551A0000}"/>
    <cellStyle name="40% - Accent6 3 51" xfId="6779" xr:uid="{00000000-0005-0000-0000-0000561A0000}"/>
    <cellStyle name="40% - Accent6 3 52" xfId="6780" xr:uid="{00000000-0005-0000-0000-0000571A0000}"/>
    <cellStyle name="40% - Accent6 3 53" xfId="6781" xr:uid="{00000000-0005-0000-0000-0000581A0000}"/>
    <cellStyle name="40% - Accent6 3 54" xfId="6782" xr:uid="{00000000-0005-0000-0000-0000591A0000}"/>
    <cellStyle name="40% - Accent6 3 55" xfId="6783" xr:uid="{00000000-0005-0000-0000-00005A1A0000}"/>
    <cellStyle name="40% - Accent6 3 56" xfId="6784" xr:uid="{00000000-0005-0000-0000-00005B1A0000}"/>
    <cellStyle name="40% - Accent6 3 57" xfId="6785" xr:uid="{00000000-0005-0000-0000-00005C1A0000}"/>
    <cellStyle name="40% - Accent6 3 58" xfId="6786" xr:uid="{00000000-0005-0000-0000-00005D1A0000}"/>
    <cellStyle name="40% - Accent6 3 59" xfId="6787" xr:uid="{00000000-0005-0000-0000-00005E1A0000}"/>
    <cellStyle name="40% - Accent6 3 6" xfId="6788" xr:uid="{00000000-0005-0000-0000-00005F1A0000}"/>
    <cellStyle name="40% - Accent6 3 6 2" xfId="6789" xr:uid="{00000000-0005-0000-0000-0000601A0000}"/>
    <cellStyle name="40% - Accent6 3 60" xfId="6790" xr:uid="{00000000-0005-0000-0000-0000611A0000}"/>
    <cellStyle name="40% - Accent6 3 61" xfId="6791" xr:uid="{00000000-0005-0000-0000-0000621A0000}"/>
    <cellStyle name="40% - Accent6 3 62" xfId="6792" xr:uid="{00000000-0005-0000-0000-0000631A0000}"/>
    <cellStyle name="40% - Accent6 3 63" xfId="6793" xr:uid="{00000000-0005-0000-0000-0000641A0000}"/>
    <cellStyle name="40% - Accent6 3 64" xfId="6794" xr:uid="{00000000-0005-0000-0000-0000651A0000}"/>
    <cellStyle name="40% - Accent6 3 65" xfId="6795" xr:uid="{00000000-0005-0000-0000-0000661A0000}"/>
    <cellStyle name="40% - Accent6 3 66" xfId="6796" xr:uid="{00000000-0005-0000-0000-0000671A0000}"/>
    <cellStyle name="40% - Accent6 3 67" xfId="6797" xr:uid="{00000000-0005-0000-0000-0000681A0000}"/>
    <cellStyle name="40% - Accent6 3 68" xfId="6798" xr:uid="{00000000-0005-0000-0000-0000691A0000}"/>
    <cellStyle name="40% - Accent6 3 69" xfId="6799" xr:uid="{00000000-0005-0000-0000-00006A1A0000}"/>
    <cellStyle name="40% - Accent6 3 7" xfId="6800" xr:uid="{00000000-0005-0000-0000-00006B1A0000}"/>
    <cellStyle name="40% - Accent6 3 7 2" xfId="6801" xr:uid="{00000000-0005-0000-0000-00006C1A0000}"/>
    <cellStyle name="40% - Accent6 3 70" xfId="6802" xr:uid="{00000000-0005-0000-0000-00006D1A0000}"/>
    <cellStyle name="40% - Accent6 3 71" xfId="6803" xr:uid="{00000000-0005-0000-0000-00006E1A0000}"/>
    <cellStyle name="40% - Accent6 3 72" xfId="6804" xr:uid="{00000000-0005-0000-0000-00006F1A0000}"/>
    <cellStyle name="40% - Accent6 3 73" xfId="6805" xr:uid="{00000000-0005-0000-0000-0000701A0000}"/>
    <cellStyle name="40% - Accent6 3 74" xfId="6806" xr:uid="{00000000-0005-0000-0000-0000711A0000}"/>
    <cellStyle name="40% - Accent6 3 75" xfId="6807" xr:uid="{00000000-0005-0000-0000-0000721A0000}"/>
    <cellStyle name="40% - Accent6 3 8" xfId="6808" xr:uid="{00000000-0005-0000-0000-0000731A0000}"/>
    <cellStyle name="40% - Accent6 3 8 2" xfId="6809" xr:uid="{00000000-0005-0000-0000-0000741A0000}"/>
    <cellStyle name="40% - Accent6 3 9" xfId="6810" xr:uid="{00000000-0005-0000-0000-0000751A0000}"/>
    <cellStyle name="40% - Accent6 3 9 2" xfId="6811" xr:uid="{00000000-0005-0000-0000-0000761A0000}"/>
    <cellStyle name="40% - Accent6 30" xfId="6812" xr:uid="{00000000-0005-0000-0000-0000771A0000}"/>
    <cellStyle name="40% - Accent6 31" xfId="6813" xr:uid="{00000000-0005-0000-0000-0000781A0000}"/>
    <cellStyle name="40% - Accent6 32" xfId="6814" xr:uid="{00000000-0005-0000-0000-0000791A0000}"/>
    <cellStyle name="40% - Accent6 33" xfId="6815" xr:uid="{00000000-0005-0000-0000-00007A1A0000}"/>
    <cellStyle name="40% - Accent6 34" xfId="6816" xr:uid="{00000000-0005-0000-0000-00007B1A0000}"/>
    <cellStyle name="40% - Accent6 35" xfId="6817" xr:uid="{00000000-0005-0000-0000-00007C1A0000}"/>
    <cellStyle name="40% - Accent6 36" xfId="6818" xr:uid="{00000000-0005-0000-0000-00007D1A0000}"/>
    <cellStyle name="40% - Accent6 37" xfId="6819" xr:uid="{00000000-0005-0000-0000-00007E1A0000}"/>
    <cellStyle name="40% - Accent6 38" xfId="6820" xr:uid="{00000000-0005-0000-0000-00007F1A0000}"/>
    <cellStyle name="40% - Accent6 39" xfId="6821" xr:uid="{00000000-0005-0000-0000-0000801A0000}"/>
    <cellStyle name="40% - Accent6 4" xfId="6822" xr:uid="{00000000-0005-0000-0000-0000811A0000}"/>
    <cellStyle name="40% - Accent6 4 10" xfId="6823" xr:uid="{00000000-0005-0000-0000-0000821A0000}"/>
    <cellStyle name="40% - Accent6 4 11" xfId="6824" xr:uid="{00000000-0005-0000-0000-0000831A0000}"/>
    <cellStyle name="40% - Accent6 4 12" xfId="6825" xr:uid="{00000000-0005-0000-0000-0000841A0000}"/>
    <cellStyle name="40% - Accent6 4 13" xfId="6826" xr:uid="{00000000-0005-0000-0000-0000851A0000}"/>
    <cellStyle name="40% - Accent6 4 14" xfId="6827" xr:uid="{00000000-0005-0000-0000-0000861A0000}"/>
    <cellStyle name="40% - Accent6 4 15" xfId="6828" xr:uid="{00000000-0005-0000-0000-0000871A0000}"/>
    <cellStyle name="40% - Accent6 4 16" xfId="6829" xr:uid="{00000000-0005-0000-0000-0000881A0000}"/>
    <cellStyle name="40% - Accent6 4 17" xfId="6830" xr:uid="{00000000-0005-0000-0000-0000891A0000}"/>
    <cellStyle name="40% - Accent6 4 18" xfId="6831" xr:uid="{00000000-0005-0000-0000-00008A1A0000}"/>
    <cellStyle name="40% - Accent6 4 19" xfId="6832" xr:uid="{00000000-0005-0000-0000-00008B1A0000}"/>
    <cellStyle name="40% - Accent6 4 2" xfId="6833" xr:uid="{00000000-0005-0000-0000-00008C1A0000}"/>
    <cellStyle name="40% - Accent6 4 2 2" xfId="6834" xr:uid="{00000000-0005-0000-0000-00008D1A0000}"/>
    <cellStyle name="40% - Accent6 4 20" xfId="6835" xr:uid="{00000000-0005-0000-0000-00008E1A0000}"/>
    <cellStyle name="40% - Accent6 4 21" xfId="6836" xr:uid="{00000000-0005-0000-0000-00008F1A0000}"/>
    <cellStyle name="40% - Accent6 4 22" xfId="6837" xr:uid="{00000000-0005-0000-0000-0000901A0000}"/>
    <cellStyle name="40% - Accent6 4 23" xfId="6838" xr:uid="{00000000-0005-0000-0000-0000911A0000}"/>
    <cellStyle name="40% - Accent6 4 24" xfId="6839" xr:uid="{00000000-0005-0000-0000-0000921A0000}"/>
    <cellStyle name="40% - Accent6 4 25" xfId="6840" xr:uid="{00000000-0005-0000-0000-0000931A0000}"/>
    <cellStyle name="40% - Accent6 4 26" xfId="6841" xr:uid="{00000000-0005-0000-0000-0000941A0000}"/>
    <cellStyle name="40% - Accent6 4 27" xfId="6842" xr:uid="{00000000-0005-0000-0000-0000951A0000}"/>
    <cellStyle name="40% - Accent6 4 28" xfId="6843" xr:uid="{00000000-0005-0000-0000-0000961A0000}"/>
    <cellStyle name="40% - Accent6 4 29" xfId="6844" xr:uid="{00000000-0005-0000-0000-0000971A0000}"/>
    <cellStyle name="40% - Accent6 4 3" xfId="6845" xr:uid="{00000000-0005-0000-0000-0000981A0000}"/>
    <cellStyle name="40% - Accent6 4 3 2" xfId="6846" xr:uid="{00000000-0005-0000-0000-0000991A0000}"/>
    <cellStyle name="40% - Accent6 4 30" xfId="6847" xr:uid="{00000000-0005-0000-0000-00009A1A0000}"/>
    <cellStyle name="40% - Accent6 4 31" xfId="6848" xr:uid="{00000000-0005-0000-0000-00009B1A0000}"/>
    <cellStyle name="40% - Accent6 4 32" xfId="6849" xr:uid="{00000000-0005-0000-0000-00009C1A0000}"/>
    <cellStyle name="40% - Accent6 4 33" xfId="6850" xr:uid="{00000000-0005-0000-0000-00009D1A0000}"/>
    <cellStyle name="40% - Accent6 4 34" xfId="6851" xr:uid="{00000000-0005-0000-0000-00009E1A0000}"/>
    <cellStyle name="40% - Accent6 4 35" xfId="6852" xr:uid="{00000000-0005-0000-0000-00009F1A0000}"/>
    <cellStyle name="40% - Accent6 4 36" xfId="6853" xr:uid="{00000000-0005-0000-0000-0000A01A0000}"/>
    <cellStyle name="40% - Accent6 4 37" xfId="6854" xr:uid="{00000000-0005-0000-0000-0000A11A0000}"/>
    <cellStyle name="40% - Accent6 4 38" xfId="6855" xr:uid="{00000000-0005-0000-0000-0000A21A0000}"/>
    <cellStyle name="40% - Accent6 4 39" xfId="6856" xr:uid="{00000000-0005-0000-0000-0000A31A0000}"/>
    <cellStyle name="40% - Accent6 4 4" xfId="6857" xr:uid="{00000000-0005-0000-0000-0000A41A0000}"/>
    <cellStyle name="40% - Accent6 4 4 2" xfId="6858" xr:uid="{00000000-0005-0000-0000-0000A51A0000}"/>
    <cellStyle name="40% - Accent6 4 40" xfId="6859" xr:uid="{00000000-0005-0000-0000-0000A61A0000}"/>
    <cellStyle name="40% - Accent6 4 41" xfId="6860" xr:uid="{00000000-0005-0000-0000-0000A71A0000}"/>
    <cellStyle name="40% - Accent6 4 42" xfId="6861" xr:uid="{00000000-0005-0000-0000-0000A81A0000}"/>
    <cellStyle name="40% - Accent6 4 43" xfId="6862" xr:uid="{00000000-0005-0000-0000-0000A91A0000}"/>
    <cellStyle name="40% - Accent6 4 44" xfId="6863" xr:uid="{00000000-0005-0000-0000-0000AA1A0000}"/>
    <cellStyle name="40% - Accent6 4 45" xfId="6864" xr:uid="{00000000-0005-0000-0000-0000AB1A0000}"/>
    <cellStyle name="40% - Accent6 4 46" xfId="6865" xr:uid="{00000000-0005-0000-0000-0000AC1A0000}"/>
    <cellStyle name="40% - Accent6 4 47" xfId="6866" xr:uid="{00000000-0005-0000-0000-0000AD1A0000}"/>
    <cellStyle name="40% - Accent6 4 48" xfId="6867" xr:uid="{00000000-0005-0000-0000-0000AE1A0000}"/>
    <cellStyle name="40% - Accent6 4 49" xfId="6868" xr:uid="{00000000-0005-0000-0000-0000AF1A0000}"/>
    <cellStyle name="40% - Accent6 4 5" xfId="6869" xr:uid="{00000000-0005-0000-0000-0000B01A0000}"/>
    <cellStyle name="40% - Accent6 4 5 2" xfId="6870" xr:uid="{00000000-0005-0000-0000-0000B11A0000}"/>
    <cellStyle name="40% - Accent6 4 50" xfId="6871" xr:uid="{00000000-0005-0000-0000-0000B21A0000}"/>
    <cellStyle name="40% - Accent6 4 51" xfId="6872" xr:uid="{00000000-0005-0000-0000-0000B31A0000}"/>
    <cellStyle name="40% - Accent6 4 52" xfId="6873" xr:uid="{00000000-0005-0000-0000-0000B41A0000}"/>
    <cellStyle name="40% - Accent6 4 53" xfId="6874" xr:uid="{00000000-0005-0000-0000-0000B51A0000}"/>
    <cellStyle name="40% - Accent6 4 54" xfId="6875" xr:uid="{00000000-0005-0000-0000-0000B61A0000}"/>
    <cellStyle name="40% - Accent6 4 55" xfId="6876" xr:uid="{00000000-0005-0000-0000-0000B71A0000}"/>
    <cellStyle name="40% - Accent6 4 56" xfId="6877" xr:uid="{00000000-0005-0000-0000-0000B81A0000}"/>
    <cellStyle name="40% - Accent6 4 57" xfId="6878" xr:uid="{00000000-0005-0000-0000-0000B91A0000}"/>
    <cellStyle name="40% - Accent6 4 58" xfId="6879" xr:uid="{00000000-0005-0000-0000-0000BA1A0000}"/>
    <cellStyle name="40% - Accent6 4 59" xfId="6880" xr:uid="{00000000-0005-0000-0000-0000BB1A0000}"/>
    <cellStyle name="40% - Accent6 4 6" xfId="6881" xr:uid="{00000000-0005-0000-0000-0000BC1A0000}"/>
    <cellStyle name="40% - Accent6 4 6 2" xfId="6882" xr:uid="{00000000-0005-0000-0000-0000BD1A0000}"/>
    <cellStyle name="40% - Accent6 4 60" xfId="6883" xr:uid="{00000000-0005-0000-0000-0000BE1A0000}"/>
    <cellStyle name="40% - Accent6 4 61" xfId="6884" xr:uid="{00000000-0005-0000-0000-0000BF1A0000}"/>
    <cellStyle name="40% - Accent6 4 62" xfId="6885" xr:uid="{00000000-0005-0000-0000-0000C01A0000}"/>
    <cellStyle name="40% - Accent6 4 63" xfId="6886" xr:uid="{00000000-0005-0000-0000-0000C11A0000}"/>
    <cellStyle name="40% - Accent6 4 64" xfId="6887" xr:uid="{00000000-0005-0000-0000-0000C21A0000}"/>
    <cellStyle name="40% - Accent6 4 65" xfId="6888" xr:uid="{00000000-0005-0000-0000-0000C31A0000}"/>
    <cellStyle name="40% - Accent6 4 66" xfId="6889" xr:uid="{00000000-0005-0000-0000-0000C41A0000}"/>
    <cellStyle name="40% - Accent6 4 67" xfId="6890" xr:uid="{00000000-0005-0000-0000-0000C51A0000}"/>
    <cellStyle name="40% - Accent6 4 68" xfId="6891" xr:uid="{00000000-0005-0000-0000-0000C61A0000}"/>
    <cellStyle name="40% - Accent6 4 69" xfId="6892" xr:uid="{00000000-0005-0000-0000-0000C71A0000}"/>
    <cellStyle name="40% - Accent6 4 7" xfId="6893" xr:uid="{00000000-0005-0000-0000-0000C81A0000}"/>
    <cellStyle name="40% - Accent6 4 7 2" xfId="6894" xr:uid="{00000000-0005-0000-0000-0000C91A0000}"/>
    <cellStyle name="40% - Accent6 4 70" xfId="6895" xr:uid="{00000000-0005-0000-0000-0000CA1A0000}"/>
    <cellStyle name="40% - Accent6 4 71" xfId="6896" xr:uid="{00000000-0005-0000-0000-0000CB1A0000}"/>
    <cellStyle name="40% - Accent6 4 72" xfId="6897" xr:uid="{00000000-0005-0000-0000-0000CC1A0000}"/>
    <cellStyle name="40% - Accent6 4 73" xfId="6898" xr:uid="{00000000-0005-0000-0000-0000CD1A0000}"/>
    <cellStyle name="40% - Accent6 4 74" xfId="6899" xr:uid="{00000000-0005-0000-0000-0000CE1A0000}"/>
    <cellStyle name="40% - Accent6 4 75" xfId="6900" xr:uid="{00000000-0005-0000-0000-0000CF1A0000}"/>
    <cellStyle name="40% - Accent6 4 8" xfId="6901" xr:uid="{00000000-0005-0000-0000-0000D01A0000}"/>
    <cellStyle name="40% - Accent6 4 8 2" xfId="6902" xr:uid="{00000000-0005-0000-0000-0000D11A0000}"/>
    <cellStyle name="40% - Accent6 4 9" xfId="6903" xr:uid="{00000000-0005-0000-0000-0000D21A0000}"/>
    <cellStyle name="40% - Accent6 4 9 2" xfId="6904" xr:uid="{00000000-0005-0000-0000-0000D31A0000}"/>
    <cellStyle name="40% - Accent6 40" xfId="6905" xr:uid="{00000000-0005-0000-0000-0000D41A0000}"/>
    <cellStyle name="40% - Accent6 41" xfId="6906" xr:uid="{00000000-0005-0000-0000-0000D51A0000}"/>
    <cellStyle name="40% - Accent6 42" xfId="6907" xr:uid="{00000000-0005-0000-0000-0000D61A0000}"/>
    <cellStyle name="40% - Accent6 43" xfId="6908" xr:uid="{00000000-0005-0000-0000-0000D71A0000}"/>
    <cellStyle name="40% - Accent6 44" xfId="6909" xr:uid="{00000000-0005-0000-0000-0000D81A0000}"/>
    <cellStyle name="40% - Accent6 45" xfId="6910" xr:uid="{00000000-0005-0000-0000-0000D91A0000}"/>
    <cellStyle name="40% - Accent6 46" xfId="6911" xr:uid="{00000000-0005-0000-0000-0000DA1A0000}"/>
    <cellStyle name="40% - Accent6 47" xfId="6912" xr:uid="{00000000-0005-0000-0000-0000DB1A0000}"/>
    <cellStyle name="40% - Accent6 48" xfId="6913" xr:uid="{00000000-0005-0000-0000-0000DC1A0000}"/>
    <cellStyle name="40% - Accent6 49" xfId="6914" xr:uid="{00000000-0005-0000-0000-0000DD1A0000}"/>
    <cellStyle name="40% - Accent6 5" xfId="6915" xr:uid="{00000000-0005-0000-0000-0000DE1A0000}"/>
    <cellStyle name="40% - Accent6 5 10" xfId="6916" xr:uid="{00000000-0005-0000-0000-0000DF1A0000}"/>
    <cellStyle name="40% - Accent6 5 11" xfId="6917" xr:uid="{00000000-0005-0000-0000-0000E01A0000}"/>
    <cellStyle name="40% - Accent6 5 12" xfId="6918" xr:uid="{00000000-0005-0000-0000-0000E11A0000}"/>
    <cellStyle name="40% - Accent6 5 13" xfId="6919" xr:uid="{00000000-0005-0000-0000-0000E21A0000}"/>
    <cellStyle name="40% - Accent6 5 14" xfId="6920" xr:uid="{00000000-0005-0000-0000-0000E31A0000}"/>
    <cellStyle name="40% - Accent6 5 15" xfId="6921" xr:uid="{00000000-0005-0000-0000-0000E41A0000}"/>
    <cellStyle name="40% - Accent6 5 16" xfId="6922" xr:uid="{00000000-0005-0000-0000-0000E51A0000}"/>
    <cellStyle name="40% - Accent6 5 17" xfId="6923" xr:uid="{00000000-0005-0000-0000-0000E61A0000}"/>
    <cellStyle name="40% - Accent6 5 18" xfId="6924" xr:uid="{00000000-0005-0000-0000-0000E71A0000}"/>
    <cellStyle name="40% - Accent6 5 19" xfId="6925" xr:uid="{00000000-0005-0000-0000-0000E81A0000}"/>
    <cellStyle name="40% - Accent6 5 2" xfId="6926" xr:uid="{00000000-0005-0000-0000-0000E91A0000}"/>
    <cellStyle name="40% - Accent6 5 2 2" xfId="6927" xr:uid="{00000000-0005-0000-0000-0000EA1A0000}"/>
    <cellStyle name="40% - Accent6 5 20" xfId="6928" xr:uid="{00000000-0005-0000-0000-0000EB1A0000}"/>
    <cellStyle name="40% - Accent6 5 21" xfId="6929" xr:uid="{00000000-0005-0000-0000-0000EC1A0000}"/>
    <cellStyle name="40% - Accent6 5 22" xfId="6930" xr:uid="{00000000-0005-0000-0000-0000ED1A0000}"/>
    <cellStyle name="40% - Accent6 5 23" xfId="6931" xr:uid="{00000000-0005-0000-0000-0000EE1A0000}"/>
    <cellStyle name="40% - Accent6 5 24" xfId="6932" xr:uid="{00000000-0005-0000-0000-0000EF1A0000}"/>
    <cellStyle name="40% - Accent6 5 25" xfId="6933" xr:uid="{00000000-0005-0000-0000-0000F01A0000}"/>
    <cellStyle name="40% - Accent6 5 26" xfId="6934" xr:uid="{00000000-0005-0000-0000-0000F11A0000}"/>
    <cellStyle name="40% - Accent6 5 27" xfId="6935" xr:uid="{00000000-0005-0000-0000-0000F21A0000}"/>
    <cellStyle name="40% - Accent6 5 28" xfId="6936" xr:uid="{00000000-0005-0000-0000-0000F31A0000}"/>
    <cellStyle name="40% - Accent6 5 29" xfId="6937" xr:uid="{00000000-0005-0000-0000-0000F41A0000}"/>
    <cellStyle name="40% - Accent6 5 3" xfId="6938" xr:uid="{00000000-0005-0000-0000-0000F51A0000}"/>
    <cellStyle name="40% - Accent6 5 30" xfId="6939" xr:uid="{00000000-0005-0000-0000-0000F61A0000}"/>
    <cellStyle name="40% - Accent6 5 31" xfId="6940" xr:uid="{00000000-0005-0000-0000-0000F71A0000}"/>
    <cellStyle name="40% - Accent6 5 32" xfId="6941" xr:uid="{00000000-0005-0000-0000-0000F81A0000}"/>
    <cellStyle name="40% - Accent6 5 33" xfId="6942" xr:uid="{00000000-0005-0000-0000-0000F91A0000}"/>
    <cellStyle name="40% - Accent6 5 34" xfId="6943" xr:uid="{00000000-0005-0000-0000-0000FA1A0000}"/>
    <cellStyle name="40% - Accent6 5 35" xfId="6944" xr:uid="{00000000-0005-0000-0000-0000FB1A0000}"/>
    <cellStyle name="40% - Accent6 5 36" xfId="6945" xr:uid="{00000000-0005-0000-0000-0000FC1A0000}"/>
    <cellStyle name="40% - Accent6 5 37" xfId="6946" xr:uid="{00000000-0005-0000-0000-0000FD1A0000}"/>
    <cellStyle name="40% - Accent6 5 38" xfId="6947" xr:uid="{00000000-0005-0000-0000-0000FE1A0000}"/>
    <cellStyle name="40% - Accent6 5 39" xfId="6948" xr:uid="{00000000-0005-0000-0000-0000FF1A0000}"/>
    <cellStyle name="40% - Accent6 5 4" xfId="6949" xr:uid="{00000000-0005-0000-0000-0000001B0000}"/>
    <cellStyle name="40% - Accent6 5 5" xfId="6950" xr:uid="{00000000-0005-0000-0000-0000011B0000}"/>
    <cellStyle name="40% - Accent6 5 6" xfId="6951" xr:uid="{00000000-0005-0000-0000-0000021B0000}"/>
    <cellStyle name="40% - Accent6 5 7" xfId="6952" xr:uid="{00000000-0005-0000-0000-0000031B0000}"/>
    <cellStyle name="40% - Accent6 5 8" xfId="6953" xr:uid="{00000000-0005-0000-0000-0000041B0000}"/>
    <cellStyle name="40% - Accent6 5 9" xfId="6954" xr:uid="{00000000-0005-0000-0000-0000051B0000}"/>
    <cellStyle name="40% - Accent6 50" xfId="6955" xr:uid="{00000000-0005-0000-0000-0000061B0000}"/>
    <cellStyle name="40% - Accent6 51" xfId="6956" xr:uid="{00000000-0005-0000-0000-0000071B0000}"/>
    <cellStyle name="40% - Accent6 52" xfId="6957" xr:uid="{00000000-0005-0000-0000-0000081B0000}"/>
    <cellStyle name="40% - Accent6 53" xfId="6958" xr:uid="{00000000-0005-0000-0000-0000091B0000}"/>
    <cellStyle name="40% - Accent6 54" xfId="6959" xr:uid="{00000000-0005-0000-0000-00000A1B0000}"/>
    <cellStyle name="40% - Accent6 55" xfId="6960" xr:uid="{00000000-0005-0000-0000-00000B1B0000}"/>
    <cellStyle name="40% - Accent6 56" xfId="6961" xr:uid="{00000000-0005-0000-0000-00000C1B0000}"/>
    <cellStyle name="40% - Accent6 57" xfId="6962" xr:uid="{00000000-0005-0000-0000-00000D1B0000}"/>
    <cellStyle name="40% - Accent6 58" xfId="6963" xr:uid="{00000000-0005-0000-0000-00000E1B0000}"/>
    <cellStyle name="40% - Accent6 59" xfId="6964" xr:uid="{00000000-0005-0000-0000-00000F1B0000}"/>
    <cellStyle name="40% - Accent6 6" xfId="6965" xr:uid="{00000000-0005-0000-0000-0000101B0000}"/>
    <cellStyle name="40% - Accent6 6 10" xfId="6966" xr:uid="{00000000-0005-0000-0000-0000111B0000}"/>
    <cellStyle name="40% - Accent6 6 11" xfId="6967" xr:uid="{00000000-0005-0000-0000-0000121B0000}"/>
    <cellStyle name="40% - Accent6 6 12" xfId="6968" xr:uid="{00000000-0005-0000-0000-0000131B0000}"/>
    <cellStyle name="40% - Accent6 6 13" xfId="6969" xr:uid="{00000000-0005-0000-0000-0000141B0000}"/>
    <cellStyle name="40% - Accent6 6 14" xfId="6970" xr:uid="{00000000-0005-0000-0000-0000151B0000}"/>
    <cellStyle name="40% - Accent6 6 15" xfId="6971" xr:uid="{00000000-0005-0000-0000-0000161B0000}"/>
    <cellStyle name="40% - Accent6 6 16" xfId="6972" xr:uid="{00000000-0005-0000-0000-0000171B0000}"/>
    <cellStyle name="40% - Accent6 6 17" xfId="6973" xr:uid="{00000000-0005-0000-0000-0000181B0000}"/>
    <cellStyle name="40% - Accent6 6 18" xfId="6974" xr:uid="{00000000-0005-0000-0000-0000191B0000}"/>
    <cellStyle name="40% - Accent6 6 19" xfId="6975" xr:uid="{00000000-0005-0000-0000-00001A1B0000}"/>
    <cellStyle name="40% - Accent6 6 2" xfId="6976" xr:uid="{00000000-0005-0000-0000-00001B1B0000}"/>
    <cellStyle name="40% - Accent6 6 20" xfId="6977" xr:uid="{00000000-0005-0000-0000-00001C1B0000}"/>
    <cellStyle name="40% - Accent6 6 21" xfId="6978" xr:uid="{00000000-0005-0000-0000-00001D1B0000}"/>
    <cellStyle name="40% - Accent6 6 22" xfId="6979" xr:uid="{00000000-0005-0000-0000-00001E1B0000}"/>
    <cellStyle name="40% - Accent6 6 23" xfId="6980" xr:uid="{00000000-0005-0000-0000-00001F1B0000}"/>
    <cellStyle name="40% - Accent6 6 24" xfId="6981" xr:uid="{00000000-0005-0000-0000-0000201B0000}"/>
    <cellStyle name="40% - Accent6 6 25" xfId="6982" xr:uid="{00000000-0005-0000-0000-0000211B0000}"/>
    <cellStyle name="40% - Accent6 6 26" xfId="6983" xr:uid="{00000000-0005-0000-0000-0000221B0000}"/>
    <cellStyle name="40% - Accent6 6 27" xfId="6984" xr:uid="{00000000-0005-0000-0000-0000231B0000}"/>
    <cellStyle name="40% - Accent6 6 28" xfId="6985" xr:uid="{00000000-0005-0000-0000-0000241B0000}"/>
    <cellStyle name="40% - Accent6 6 29" xfId="6986" xr:uid="{00000000-0005-0000-0000-0000251B0000}"/>
    <cellStyle name="40% - Accent6 6 3" xfId="6987" xr:uid="{00000000-0005-0000-0000-0000261B0000}"/>
    <cellStyle name="40% - Accent6 6 30" xfId="6988" xr:uid="{00000000-0005-0000-0000-0000271B0000}"/>
    <cellStyle name="40% - Accent6 6 31" xfId="6989" xr:uid="{00000000-0005-0000-0000-0000281B0000}"/>
    <cellStyle name="40% - Accent6 6 32" xfId="6990" xr:uid="{00000000-0005-0000-0000-0000291B0000}"/>
    <cellStyle name="40% - Accent6 6 33" xfId="6991" xr:uid="{00000000-0005-0000-0000-00002A1B0000}"/>
    <cellStyle name="40% - Accent6 6 34" xfId="6992" xr:uid="{00000000-0005-0000-0000-00002B1B0000}"/>
    <cellStyle name="40% - Accent6 6 35" xfId="6993" xr:uid="{00000000-0005-0000-0000-00002C1B0000}"/>
    <cellStyle name="40% - Accent6 6 36" xfId="6994" xr:uid="{00000000-0005-0000-0000-00002D1B0000}"/>
    <cellStyle name="40% - Accent6 6 37" xfId="6995" xr:uid="{00000000-0005-0000-0000-00002E1B0000}"/>
    <cellStyle name="40% - Accent6 6 38" xfId="6996" xr:uid="{00000000-0005-0000-0000-00002F1B0000}"/>
    <cellStyle name="40% - Accent6 6 39" xfId="6997" xr:uid="{00000000-0005-0000-0000-0000301B0000}"/>
    <cellStyle name="40% - Accent6 6 4" xfId="6998" xr:uid="{00000000-0005-0000-0000-0000311B0000}"/>
    <cellStyle name="40% - Accent6 6 5" xfId="6999" xr:uid="{00000000-0005-0000-0000-0000321B0000}"/>
    <cellStyle name="40% - Accent6 6 6" xfId="7000" xr:uid="{00000000-0005-0000-0000-0000331B0000}"/>
    <cellStyle name="40% - Accent6 6 7" xfId="7001" xr:uid="{00000000-0005-0000-0000-0000341B0000}"/>
    <cellStyle name="40% - Accent6 6 8" xfId="7002" xr:uid="{00000000-0005-0000-0000-0000351B0000}"/>
    <cellStyle name="40% - Accent6 6 9" xfId="7003" xr:uid="{00000000-0005-0000-0000-0000361B0000}"/>
    <cellStyle name="40% - Accent6 60" xfId="7004" xr:uid="{00000000-0005-0000-0000-0000371B0000}"/>
    <cellStyle name="40% - Accent6 61" xfId="7005" xr:uid="{00000000-0005-0000-0000-0000381B0000}"/>
    <cellStyle name="40% - Accent6 62" xfId="7006" xr:uid="{00000000-0005-0000-0000-0000391B0000}"/>
    <cellStyle name="40% - Accent6 63" xfId="7007" xr:uid="{00000000-0005-0000-0000-00003A1B0000}"/>
    <cellStyle name="40% - Accent6 64" xfId="7008" xr:uid="{00000000-0005-0000-0000-00003B1B0000}"/>
    <cellStyle name="40% - Accent6 65" xfId="7009" xr:uid="{00000000-0005-0000-0000-00003C1B0000}"/>
    <cellStyle name="40% - Accent6 66" xfId="7010" xr:uid="{00000000-0005-0000-0000-00003D1B0000}"/>
    <cellStyle name="40% - Accent6 67" xfId="7011" xr:uid="{00000000-0005-0000-0000-00003E1B0000}"/>
    <cellStyle name="40% - Accent6 68" xfId="7012" xr:uid="{00000000-0005-0000-0000-00003F1B0000}"/>
    <cellStyle name="40% - Accent6 69" xfId="7013" xr:uid="{00000000-0005-0000-0000-0000401B0000}"/>
    <cellStyle name="40% - Accent6 7" xfId="7014" xr:uid="{00000000-0005-0000-0000-0000411B0000}"/>
    <cellStyle name="40% - Accent6 7 10" xfId="7015" xr:uid="{00000000-0005-0000-0000-0000421B0000}"/>
    <cellStyle name="40% - Accent6 7 11" xfId="7016" xr:uid="{00000000-0005-0000-0000-0000431B0000}"/>
    <cellStyle name="40% - Accent6 7 12" xfId="7017" xr:uid="{00000000-0005-0000-0000-0000441B0000}"/>
    <cellStyle name="40% - Accent6 7 13" xfId="7018" xr:uid="{00000000-0005-0000-0000-0000451B0000}"/>
    <cellStyle name="40% - Accent6 7 14" xfId="7019" xr:uid="{00000000-0005-0000-0000-0000461B0000}"/>
    <cellStyle name="40% - Accent6 7 15" xfId="7020" xr:uid="{00000000-0005-0000-0000-0000471B0000}"/>
    <cellStyle name="40% - Accent6 7 16" xfId="7021" xr:uid="{00000000-0005-0000-0000-0000481B0000}"/>
    <cellStyle name="40% - Accent6 7 17" xfId="7022" xr:uid="{00000000-0005-0000-0000-0000491B0000}"/>
    <cellStyle name="40% - Accent6 7 18" xfId="7023" xr:uid="{00000000-0005-0000-0000-00004A1B0000}"/>
    <cellStyle name="40% - Accent6 7 19" xfId="7024" xr:uid="{00000000-0005-0000-0000-00004B1B0000}"/>
    <cellStyle name="40% - Accent6 7 2" xfId="7025" xr:uid="{00000000-0005-0000-0000-00004C1B0000}"/>
    <cellStyle name="40% - Accent6 7 20" xfId="7026" xr:uid="{00000000-0005-0000-0000-00004D1B0000}"/>
    <cellStyle name="40% - Accent6 7 21" xfId="7027" xr:uid="{00000000-0005-0000-0000-00004E1B0000}"/>
    <cellStyle name="40% - Accent6 7 22" xfId="7028" xr:uid="{00000000-0005-0000-0000-00004F1B0000}"/>
    <cellStyle name="40% - Accent6 7 23" xfId="7029" xr:uid="{00000000-0005-0000-0000-0000501B0000}"/>
    <cellStyle name="40% - Accent6 7 24" xfId="7030" xr:uid="{00000000-0005-0000-0000-0000511B0000}"/>
    <cellStyle name="40% - Accent6 7 25" xfId="7031" xr:uid="{00000000-0005-0000-0000-0000521B0000}"/>
    <cellStyle name="40% - Accent6 7 26" xfId="7032" xr:uid="{00000000-0005-0000-0000-0000531B0000}"/>
    <cellStyle name="40% - Accent6 7 27" xfId="7033" xr:uid="{00000000-0005-0000-0000-0000541B0000}"/>
    <cellStyle name="40% - Accent6 7 28" xfId="7034" xr:uid="{00000000-0005-0000-0000-0000551B0000}"/>
    <cellStyle name="40% - Accent6 7 29" xfId="7035" xr:uid="{00000000-0005-0000-0000-0000561B0000}"/>
    <cellStyle name="40% - Accent6 7 3" xfId="7036" xr:uid="{00000000-0005-0000-0000-0000571B0000}"/>
    <cellStyle name="40% - Accent6 7 30" xfId="7037" xr:uid="{00000000-0005-0000-0000-0000581B0000}"/>
    <cellStyle name="40% - Accent6 7 31" xfId="7038" xr:uid="{00000000-0005-0000-0000-0000591B0000}"/>
    <cellStyle name="40% - Accent6 7 32" xfId="7039" xr:uid="{00000000-0005-0000-0000-00005A1B0000}"/>
    <cellStyle name="40% - Accent6 7 33" xfId="7040" xr:uid="{00000000-0005-0000-0000-00005B1B0000}"/>
    <cellStyle name="40% - Accent6 7 34" xfId="7041" xr:uid="{00000000-0005-0000-0000-00005C1B0000}"/>
    <cellStyle name="40% - Accent6 7 35" xfId="7042" xr:uid="{00000000-0005-0000-0000-00005D1B0000}"/>
    <cellStyle name="40% - Accent6 7 36" xfId="7043" xr:uid="{00000000-0005-0000-0000-00005E1B0000}"/>
    <cellStyle name="40% - Accent6 7 37" xfId="7044" xr:uid="{00000000-0005-0000-0000-00005F1B0000}"/>
    <cellStyle name="40% - Accent6 7 38" xfId="7045" xr:uid="{00000000-0005-0000-0000-0000601B0000}"/>
    <cellStyle name="40% - Accent6 7 39" xfId="7046" xr:uid="{00000000-0005-0000-0000-0000611B0000}"/>
    <cellStyle name="40% - Accent6 7 4" xfId="7047" xr:uid="{00000000-0005-0000-0000-0000621B0000}"/>
    <cellStyle name="40% - Accent6 7 5" xfId="7048" xr:uid="{00000000-0005-0000-0000-0000631B0000}"/>
    <cellStyle name="40% - Accent6 7 6" xfId="7049" xr:uid="{00000000-0005-0000-0000-0000641B0000}"/>
    <cellStyle name="40% - Accent6 7 7" xfId="7050" xr:uid="{00000000-0005-0000-0000-0000651B0000}"/>
    <cellStyle name="40% - Accent6 7 8" xfId="7051" xr:uid="{00000000-0005-0000-0000-0000661B0000}"/>
    <cellStyle name="40% - Accent6 7 9" xfId="7052" xr:uid="{00000000-0005-0000-0000-0000671B0000}"/>
    <cellStyle name="40% - Accent6 70" xfId="7053" xr:uid="{00000000-0005-0000-0000-0000681B0000}"/>
    <cellStyle name="40% - Accent6 71" xfId="7054" xr:uid="{00000000-0005-0000-0000-0000691B0000}"/>
    <cellStyle name="40% - Accent6 72" xfId="7055" xr:uid="{00000000-0005-0000-0000-00006A1B0000}"/>
    <cellStyle name="40% - Accent6 73" xfId="7056" xr:uid="{00000000-0005-0000-0000-00006B1B0000}"/>
    <cellStyle name="40% - Accent6 74" xfId="7057" xr:uid="{00000000-0005-0000-0000-00006C1B0000}"/>
    <cellStyle name="40% - Accent6 75" xfId="7058" xr:uid="{00000000-0005-0000-0000-00006D1B0000}"/>
    <cellStyle name="40% - Accent6 76" xfId="7059" xr:uid="{00000000-0005-0000-0000-00006E1B0000}"/>
    <cellStyle name="40% - Accent6 77" xfId="7060" xr:uid="{00000000-0005-0000-0000-00006F1B0000}"/>
    <cellStyle name="40% - Accent6 78" xfId="7061" xr:uid="{00000000-0005-0000-0000-0000701B0000}"/>
    <cellStyle name="40% - Accent6 79" xfId="7062" xr:uid="{00000000-0005-0000-0000-0000711B0000}"/>
    <cellStyle name="40% - Accent6 8" xfId="7063" xr:uid="{00000000-0005-0000-0000-0000721B0000}"/>
    <cellStyle name="40% - Accent6 8 10" xfId="7064" xr:uid="{00000000-0005-0000-0000-0000731B0000}"/>
    <cellStyle name="40% - Accent6 8 11" xfId="7065" xr:uid="{00000000-0005-0000-0000-0000741B0000}"/>
    <cellStyle name="40% - Accent6 8 12" xfId="7066" xr:uid="{00000000-0005-0000-0000-0000751B0000}"/>
    <cellStyle name="40% - Accent6 8 13" xfId="7067" xr:uid="{00000000-0005-0000-0000-0000761B0000}"/>
    <cellStyle name="40% - Accent6 8 14" xfId="7068" xr:uid="{00000000-0005-0000-0000-0000771B0000}"/>
    <cellStyle name="40% - Accent6 8 15" xfId="7069" xr:uid="{00000000-0005-0000-0000-0000781B0000}"/>
    <cellStyle name="40% - Accent6 8 16" xfId="7070" xr:uid="{00000000-0005-0000-0000-0000791B0000}"/>
    <cellStyle name="40% - Accent6 8 17" xfId="7071" xr:uid="{00000000-0005-0000-0000-00007A1B0000}"/>
    <cellStyle name="40% - Accent6 8 18" xfId="7072" xr:uid="{00000000-0005-0000-0000-00007B1B0000}"/>
    <cellStyle name="40% - Accent6 8 19" xfId="7073" xr:uid="{00000000-0005-0000-0000-00007C1B0000}"/>
    <cellStyle name="40% - Accent6 8 2" xfId="7074" xr:uid="{00000000-0005-0000-0000-00007D1B0000}"/>
    <cellStyle name="40% - Accent6 8 20" xfId="7075" xr:uid="{00000000-0005-0000-0000-00007E1B0000}"/>
    <cellStyle name="40% - Accent6 8 21" xfId="7076" xr:uid="{00000000-0005-0000-0000-00007F1B0000}"/>
    <cellStyle name="40% - Accent6 8 22" xfId="7077" xr:uid="{00000000-0005-0000-0000-0000801B0000}"/>
    <cellStyle name="40% - Accent6 8 23" xfId="7078" xr:uid="{00000000-0005-0000-0000-0000811B0000}"/>
    <cellStyle name="40% - Accent6 8 24" xfId="7079" xr:uid="{00000000-0005-0000-0000-0000821B0000}"/>
    <cellStyle name="40% - Accent6 8 25" xfId="7080" xr:uid="{00000000-0005-0000-0000-0000831B0000}"/>
    <cellStyle name="40% - Accent6 8 26" xfId="7081" xr:uid="{00000000-0005-0000-0000-0000841B0000}"/>
    <cellStyle name="40% - Accent6 8 27" xfId="7082" xr:uid="{00000000-0005-0000-0000-0000851B0000}"/>
    <cellStyle name="40% - Accent6 8 28" xfId="7083" xr:uid="{00000000-0005-0000-0000-0000861B0000}"/>
    <cellStyle name="40% - Accent6 8 29" xfId="7084" xr:uid="{00000000-0005-0000-0000-0000871B0000}"/>
    <cellStyle name="40% - Accent6 8 3" xfId="7085" xr:uid="{00000000-0005-0000-0000-0000881B0000}"/>
    <cellStyle name="40% - Accent6 8 30" xfId="7086" xr:uid="{00000000-0005-0000-0000-0000891B0000}"/>
    <cellStyle name="40% - Accent6 8 31" xfId="7087" xr:uid="{00000000-0005-0000-0000-00008A1B0000}"/>
    <cellStyle name="40% - Accent6 8 32" xfId="7088" xr:uid="{00000000-0005-0000-0000-00008B1B0000}"/>
    <cellStyle name="40% - Accent6 8 33" xfId="7089" xr:uid="{00000000-0005-0000-0000-00008C1B0000}"/>
    <cellStyle name="40% - Accent6 8 34" xfId="7090" xr:uid="{00000000-0005-0000-0000-00008D1B0000}"/>
    <cellStyle name="40% - Accent6 8 35" xfId="7091" xr:uid="{00000000-0005-0000-0000-00008E1B0000}"/>
    <cellStyle name="40% - Accent6 8 36" xfId="7092" xr:uid="{00000000-0005-0000-0000-00008F1B0000}"/>
    <cellStyle name="40% - Accent6 8 37" xfId="7093" xr:uid="{00000000-0005-0000-0000-0000901B0000}"/>
    <cellStyle name="40% - Accent6 8 38" xfId="7094" xr:uid="{00000000-0005-0000-0000-0000911B0000}"/>
    <cellStyle name="40% - Accent6 8 39" xfId="7095" xr:uid="{00000000-0005-0000-0000-0000921B0000}"/>
    <cellStyle name="40% - Accent6 8 4" xfId="7096" xr:uid="{00000000-0005-0000-0000-0000931B0000}"/>
    <cellStyle name="40% - Accent6 8 5" xfId="7097" xr:uid="{00000000-0005-0000-0000-0000941B0000}"/>
    <cellStyle name="40% - Accent6 8 6" xfId="7098" xr:uid="{00000000-0005-0000-0000-0000951B0000}"/>
    <cellStyle name="40% - Accent6 8 7" xfId="7099" xr:uid="{00000000-0005-0000-0000-0000961B0000}"/>
    <cellStyle name="40% - Accent6 8 8" xfId="7100" xr:uid="{00000000-0005-0000-0000-0000971B0000}"/>
    <cellStyle name="40% - Accent6 8 9" xfId="7101" xr:uid="{00000000-0005-0000-0000-0000981B0000}"/>
    <cellStyle name="40% - Accent6 9" xfId="7102" xr:uid="{00000000-0005-0000-0000-0000991B0000}"/>
    <cellStyle name="40% - Accent6 9 10" xfId="7103" xr:uid="{00000000-0005-0000-0000-00009A1B0000}"/>
    <cellStyle name="40% - Accent6 9 11" xfId="7104" xr:uid="{00000000-0005-0000-0000-00009B1B0000}"/>
    <cellStyle name="40% - Accent6 9 12" xfId="7105" xr:uid="{00000000-0005-0000-0000-00009C1B0000}"/>
    <cellStyle name="40% - Accent6 9 13" xfId="7106" xr:uid="{00000000-0005-0000-0000-00009D1B0000}"/>
    <cellStyle name="40% - Accent6 9 14" xfId="7107" xr:uid="{00000000-0005-0000-0000-00009E1B0000}"/>
    <cellStyle name="40% - Accent6 9 15" xfId="7108" xr:uid="{00000000-0005-0000-0000-00009F1B0000}"/>
    <cellStyle name="40% - Accent6 9 16" xfId="7109" xr:uid="{00000000-0005-0000-0000-0000A01B0000}"/>
    <cellStyle name="40% - Accent6 9 17" xfId="7110" xr:uid="{00000000-0005-0000-0000-0000A11B0000}"/>
    <cellStyle name="40% - Accent6 9 18" xfId="7111" xr:uid="{00000000-0005-0000-0000-0000A21B0000}"/>
    <cellStyle name="40% - Accent6 9 19" xfId="7112" xr:uid="{00000000-0005-0000-0000-0000A31B0000}"/>
    <cellStyle name="40% - Accent6 9 2" xfId="7113" xr:uid="{00000000-0005-0000-0000-0000A41B0000}"/>
    <cellStyle name="40% - Accent6 9 20" xfId="7114" xr:uid="{00000000-0005-0000-0000-0000A51B0000}"/>
    <cellStyle name="40% - Accent6 9 21" xfId="7115" xr:uid="{00000000-0005-0000-0000-0000A61B0000}"/>
    <cellStyle name="40% - Accent6 9 22" xfId="7116" xr:uid="{00000000-0005-0000-0000-0000A71B0000}"/>
    <cellStyle name="40% - Accent6 9 23" xfId="7117" xr:uid="{00000000-0005-0000-0000-0000A81B0000}"/>
    <cellStyle name="40% - Accent6 9 24" xfId="7118" xr:uid="{00000000-0005-0000-0000-0000A91B0000}"/>
    <cellStyle name="40% - Accent6 9 25" xfId="7119" xr:uid="{00000000-0005-0000-0000-0000AA1B0000}"/>
    <cellStyle name="40% - Accent6 9 26" xfId="7120" xr:uid="{00000000-0005-0000-0000-0000AB1B0000}"/>
    <cellStyle name="40% - Accent6 9 27" xfId="7121" xr:uid="{00000000-0005-0000-0000-0000AC1B0000}"/>
    <cellStyle name="40% - Accent6 9 28" xfId="7122" xr:uid="{00000000-0005-0000-0000-0000AD1B0000}"/>
    <cellStyle name="40% - Accent6 9 29" xfId="7123" xr:uid="{00000000-0005-0000-0000-0000AE1B0000}"/>
    <cellStyle name="40% - Accent6 9 3" xfId="7124" xr:uid="{00000000-0005-0000-0000-0000AF1B0000}"/>
    <cellStyle name="40% - Accent6 9 30" xfId="7125" xr:uid="{00000000-0005-0000-0000-0000B01B0000}"/>
    <cellStyle name="40% - Accent6 9 31" xfId="7126" xr:uid="{00000000-0005-0000-0000-0000B11B0000}"/>
    <cellStyle name="40% - Accent6 9 32" xfId="7127" xr:uid="{00000000-0005-0000-0000-0000B21B0000}"/>
    <cellStyle name="40% - Accent6 9 33" xfId="7128" xr:uid="{00000000-0005-0000-0000-0000B31B0000}"/>
    <cellStyle name="40% - Accent6 9 34" xfId="7129" xr:uid="{00000000-0005-0000-0000-0000B41B0000}"/>
    <cellStyle name="40% - Accent6 9 35" xfId="7130" xr:uid="{00000000-0005-0000-0000-0000B51B0000}"/>
    <cellStyle name="40% - Accent6 9 36" xfId="7131" xr:uid="{00000000-0005-0000-0000-0000B61B0000}"/>
    <cellStyle name="40% - Accent6 9 37" xfId="7132" xr:uid="{00000000-0005-0000-0000-0000B71B0000}"/>
    <cellStyle name="40% - Accent6 9 38" xfId="7133" xr:uid="{00000000-0005-0000-0000-0000B81B0000}"/>
    <cellStyle name="40% - Accent6 9 39" xfId="7134" xr:uid="{00000000-0005-0000-0000-0000B91B0000}"/>
    <cellStyle name="40% - Accent6 9 4" xfId="7135" xr:uid="{00000000-0005-0000-0000-0000BA1B0000}"/>
    <cellStyle name="40% - Accent6 9 5" xfId="7136" xr:uid="{00000000-0005-0000-0000-0000BB1B0000}"/>
    <cellStyle name="40% - Accent6 9 6" xfId="7137" xr:uid="{00000000-0005-0000-0000-0000BC1B0000}"/>
    <cellStyle name="40% - Accent6 9 7" xfId="7138" xr:uid="{00000000-0005-0000-0000-0000BD1B0000}"/>
    <cellStyle name="40% - Accent6 9 8" xfId="7139" xr:uid="{00000000-0005-0000-0000-0000BE1B0000}"/>
    <cellStyle name="40% - Accent6 9 9" xfId="7140" xr:uid="{00000000-0005-0000-0000-0000BF1B0000}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[0] 2" xfId="45" xr:uid="{00000000-0005-0000-0000-0000D01B0000}"/>
    <cellStyle name="Comma 10" xfId="8183" xr:uid="{2E0D4E95-1358-44A5-B030-0B682B29188B}"/>
    <cellStyle name="Comma 2" xfId="44" xr:uid="{00000000-0005-0000-0000-0000D11B0000}"/>
    <cellStyle name="Comma 2 10" xfId="7141" xr:uid="{00000000-0005-0000-0000-0000D21B0000}"/>
    <cellStyle name="Comma 2 10 2" xfId="7142" xr:uid="{00000000-0005-0000-0000-0000D31B0000}"/>
    <cellStyle name="Comma 2 11" xfId="7143" xr:uid="{00000000-0005-0000-0000-0000D41B0000}"/>
    <cellStyle name="Comma 2 12" xfId="7144" xr:uid="{00000000-0005-0000-0000-0000D51B0000}"/>
    <cellStyle name="Comma 2 13" xfId="7145" xr:uid="{00000000-0005-0000-0000-0000D61B0000}"/>
    <cellStyle name="Comma 2 14" xfId="7146" xr:uid="{00000000-0005-0000-0000-0000D71B0000}"/>
    <cellStyle name="Comma 2 15" xfId="7147" xr:uid="{00000000-0005-0000-0000-0000D81B0000}"/>
    <cellStyle name="Comma 2 16" xfId="7148" xr:uid="{00000000-0005-0000-0000-0000D91B0000}"/>
    <cellStyle name="Comma 2 17" xfId="7149" xr:uid="{00000000-0005-0000-0000-0000DA1B0000}"/>
    <cellStyle name="Comma 2 18" xfId="7150" xr:uid="{00000000-0005-0000-0000-0000DB1B0000}"/>
    <cellStyle name="Comma 2 19" xfId="7151" xr:uid="{00000000-0005-0000-0000-0000DC1B0000}"/>
    <cellStyle name="Comma 2 2" xfId="7152" xr:uid="{00000000-0005-0000-0000-0000DD1B0000}"/>
    <cellStyle name="Comma 2 20" xfId="7153" xr:uid="{00000000-0005-0000-0000-0000DE1B0000}"/>
    <cellStyle name="Comma 2 21" xfId="7154" xr:uid="{00000000-0005-0000-0000-0000DF1B0000}"/>
    <cellStyle name="Comma 2 22" xfId="7155" xr:uid="{00000000-0005-0000-0000-0000E01B0000}"/>
    <cellStyle name="Comma 2 23" xfId="7156" xr:uid="{00000000-0005-0000-0000-0000E11B0000}"/>
    <cellStyle name="Comma 2 24" xfId="7157" xr:uid="{00000000-0005-0000-0000-0000E21B0000}"/>
    <cellStyle name="Comma 2 25" xfId="7158" xr:uid="{00000000-0005-0000-0000-0000E31B0000}"/>
    <cellStyle name="Comma 2 26" xfId="7159" xr:uid="{00000000-0005-0000-0000-0000E41B0000}"/>
    <cellStyle name="Comma 2 27" xfId="7160" xr:uid="{00000000-0005-0000-0000-0000E51B0000}"/>
    <cellStyle name="Comma 2 28" xfId="7161" xr:uid="{00000000-0005-0000-0000-0000E61B0000}"/>
    <cellStyle name="Comma 2 29" xfId="7162" xr:uid="{00000000-0005-0000-0000-0000E71B0000}"/>
    <cellStyle name="Comma 2 3" xfId="7163" xr:uid="{00000000-0005-0000-0000-0000E81B0000}"/>
    <cellStyle name="Comma 2 3 10" xfId="7164" xr:uid="{00000000-0005-0000-0000-0000E91B0000}"/>
    <cellStyle name="Comma 2 3 11" xfId="7165" xr:uid="{00000000-0005-0000-0000-0000EA1B0000}"/>
    <cellStyle name="Comma 2 3 12" xfId="7166" xr:uid="{00000000-0005-0000-0000-0000EB1B0000}"/>
    <cellStyle name="Comma 2 3 13" xfId="7167" xr:uid="{00000000-0005-0000-0000-0000EC1B0000}"/>
    <cellStyle name="Comma 2 3 14" xfId="7168" xr:uid="{00000000-0005-0000-0000-0000ED1B0000}"/>
    <cellStyle name="Comma 2 3 15" xfId="7169" xr:uid="{00000000-0005-0000-0000-0000EE1B0000}"/>
    <cellStyle name="Comma 2 3 16" xfId="7170" xr:uid="{00000000-0005-0000-0000-0000EF1B0000}"/>
    <cellStyle name="Comma 2 3 17" xfId="7171" xr:uid="{00000000-0005-0000-0000-0000F01B0000}"/>
    <cellStyle name="Comma 2 3 18" xfId="7172" xr:uid="{00000000-0005-0000-0000-0000F11B0000}"/>
    <cellStyle name="Comma 2 3 19" xfId="7173" xr:uid="{00000000-0005-0000-0000-0000F21B0000}"/>
    <cellStyle name="Comma 2 3 2" xfId="7174" xr:uid="{00000000-0005-0000-0000-0000F31B0000}"/>
    <cellStyle name="Comma 2 3 2 10" xfId="7175" xr:uid="{00000000-0005-0000-0000-0000F41B0000}"/>
    <cellStyle name="Comma 2 3 2 11" xfId="7176" xr:uid="{00000000-0005-0000-0000-0000F51B0000}"/>
    <cellStyle name="Comma 2 3 2 12" xfId="7177" xr:uid="{00000000-0005-0000-0000-0000F61B0000}"/>
    <cellStyle name="Comma 2 3 2 13" xfId="7178" xr:uid="{00000000-0005-0000-0000-0000F71B0000}"/>
    <cellStyle name="Comma 2 3 2 14" xfId="7179" xr:uid="{00000000-0005-0000-0000-0000F81B0000}"/>
    <cellStyle name="Comma 2 3 2 15" xfId="7180" xr:uid="{00000000-0005-0000-0000-0000F91B0000}"/>
    <cellStyle name="Comma 2 3 2 16" xfId="7181" xr:uid="{00000000-0005-0000-0000-0000FA1B0000}"/>
    <cellStyle name="Comma 2 3 2 17" xfId="7182" xr:uid="{00000000-0005-0000-0000-0000FB1B0000}"/>
    <cellStyle name="Comma 2 3 2 18" xfId="7183" xr:uid="{00000000-0005-0000-0000-0000FC1B0000}"/>
    <cellStyle name="Comma 2 3 2 19" xfId="7184" xr:uid="{00000000-0005-0000-0000-0000FD1B0000}"/>
    <cellStyle name="Comma 2 3 2 2" xfId="7185" xr:uid="{00000000-0005-0000-0000-0000FE1B0000}"/>
    <cellStyle name="Comma 2 3 2 2 10" xfId="7186" xr:uid="{00000000-0005-0000-0000-0000FF1B0000}"/>
    <cellStyle name="Comma 2 3 2 2 11" xfId="7187" xr:uid="{00000000-0005-0000-0000-0000001C0000}"/>
    <cellStyle name="Comma 2 3 2 2 12" xfId="7188" xr:uid="{00000000-0005-0000-0000-0000011C0000}"/>
    <cellStyle name="Comma 2 3 2 2 13" xfId="7189" xr:uid="{00000000-0005-0000-0000-0000021C0000}"/>
    <cellStyle name="Comma 2 3 2 2 14" xfId="7190" xr:uid="{00000000-0005-0000-0000-0000031C0000}"/>
    <cellStyle name="Comma 2 3 2 2 15" xfId="7191" xr:uid="{00000000-0005-0000-0000-0000041C0000}"/>
    <cellStyle name="Comma 2 3 2 2 16" xfId="7192" xr:uid="{00000000-0005-0000-0000-0000051C0000}"/>
    <cellStyle name="Comma 2 3 2 2 17" xfId="7193" xr:uid="{00000000-0005-0000-0000-0000061C0000}"/>
    <cellStyle name="Comma 2 3 2 2 18" xfId="7194" xr:uid="{00000000-0005-0000-0000-0000071C0000}"/>
    <cellStyle name="Comma 2 3 2 2 19" xfId="7195" xr:uid="{00000000-0005-0000-0000-0000081C0000}"/>
    <cellStyle name="Comma 2 3 2 2 2" xfId="7196" xr:uid="{00000000-0005-0000-0000-0000091C0000}"/>
    <cellStyle name="Comma 2 3 2 2 20" xfId="7197" xr:uid="{00000000-0005-0000-0000-00000A1C0000}"/>
    <cellStyle name="Comma 2 3 2 2 21" xfId="7198" xr:uid="{00000000-0005-0000-0000-00000B1C0000}"/>
    <cellStyle name="Comma 2 3 2 2 22" xfId="7199" xr:uid="{00000000-0005-0000-0000-00000C1C0000}"/>
    <cellStyle name="Comma 2 3 2 2 23" xfId="7200" xr:uid="{00000000-0005-0000-0000-00000D1C0000}"/>
    <cellStyle name="Comma 2 3 2 2 24" xfId="7201" xr:uid="{00000000-0005-0000-0000-00000E1C0000}"/>
    <cellStyle name="Comma 2 3 2 2 25" xfId="7202" xr:uid="{00000000-0005-0000-0000-00000F1C0000}"/>
    <cellStyle name="Comma 2 3 2 2 26" xfId="7203" xr:uid="{00000000-0005-0000-0000-0000101C0000}"/>
    <cellStyle name="Comma 2 3 2 2 27" xfId="7204" xr:uid="{00000000-0005-0000-0000-0000111C0000}"/>
    <cellStyle name="Comma 2 3 2 2 28" xfId="7205" xr:uid="{00000000-0005-0000-0000-0000121C0000}"/>
    <cellStyle name="Comma 2 3 2 2 3" xfId="7206" xr:uid="{00000000-0005-0000-0000-0000131C0000}"/>
    <cellStyle name="Comma 2 3 2 2 4" xfId="7207" xr:uid="{00000000-0005-0000-0000-0000141C0000}"/>
    <cellStyle name="Comma 2 3 2 2 5" xfId="7208" xr:uid="{00000000-0005-0000-0000-0000151C0000}"/>
    <cellStyle name="Comma 2 3 2 2 6" xfId="7209" xr:uid="{00000000-0005-0000-0000-0000161C0000}"/>
    <cellStyle name="Comma 2 3 2 2 7" xfId="7210" xr:uid="{00000000-0005-0000-0000-0000171C0000}"/>
    <cellStyle name="Comma 2 3 2 2 8" xfId="7211" xr:uid="{00000000-0005-0000-0000-0000181C0000}"/>
    <cellStyle name="Comma 2 3 2 2 9" xfId="7212" xr:uid="{00000000-0005-0000-0000-0000191C0000}"/>
    <cellStyle name="Comma 2 3 2 20" xfId="7213" xr:uid="{00000000-0005-0000-0000-00001A1C0000}"/>
    <cellStyle name="Comma 2 3 2 21" xfId="7214" xr:uid="{00000000-0005-0000-0000-00001B1C0000}"/>
    <cellStyle name="Comma 2 3 2 22" xfId="7215" xr:uid="{00000000-0005-0000-0000-00001C1C0000}"/>
    <cellStyle name="Comma 2 3 2 23" xfId="7216" xr:uid="{00000000-0005-0000-0000-00001D1C0000}"/>
    <cellStyle name="Comma 2 3 2 24" xfId="7217" xr:uid="{00000000-0005-0000-0000-00001E1C0000}"/>
    <cellStyle name="Comma 2 3 2 25" xfId="7218" xr:uid="{00000000-0005-0000-0000-00001F1C0000}"/>
    <cellStyle name="Comma 2 3 2 26" xfId="7219" xr:uid="{00000000-0005-0000-0000-0000201C0000}"/>
    <cellStyle name="Comma 2 3 2 27" xfId="7220" xr:uid="{00000000-0005-0000-0000-0000211C0000}"/>
    <cellStyle name="Comma 2 3 2 28" xfId="7221" xr:uid="{00000000-0005-0000-0000-0000221C0000}"/>
    <cellStyle name="Comma 2 3 2 29" xfId="7222" xr:uid="{00000000-0005-0000-0000-0000231C0000}"/>
    <cellStyle name="Comma 2 3 2 3" xfId="7223" xr:uid="{00000000-0005-0000-0000-0000241C0000}"/>
    <cellStyle name="Comma 2 3 2 30" xfId="7224" xr:uid="{00000000-0005-0000-0000-0000251C0000}"/>
    <cellStyle name="Comma 2 3 2 31" xfId="7225" xr:uid="{00000000-0005-0000-0000-0000261C0000}"/>
    <cellStyle name="Comma 2 3 2 32" xfId="7226" xr:uid="{00000000-0005-0000-0000-0000271C0000}"/>
    <cellStyle name="Comma 2 3 2 33" xfId="7227" xr:uid="{00000000-0005-0000-0000-0000281C0000}"/>
    <cellStyle name="Comma 2 3 2 34" xfId="7228" xr:uid="{00000000-0005-0000-0000-0000291C0000}"/>
    <cellStyle name="Comma 2 3 2 35" xfId="7229" xr:uid="{00000000-0005-0000-0000-00002A1C0000}"/>
    <cellStyle name="Comma 2 3 2 36" xfId="7230" xr:uid="{00000000-0005-0000-0000-00002B1C0000}"/>
    <cellStyle name="Comma 2 3 2 37" xfId="7231" xr:uid="{00000000-0005-0000-0000-00002C1C0000}"/>
    <cellStyle name="Comma 2 3 2 38" xfId="7232" xr:uid="{00000000-0005-0000-0000-00002D1C0000}"/>
    <cellStyle name="Comma 2 3 2 39" xfId="7233" xr:uid="{00000000-0005-0000-0000-00002E1C0000}"/>
    <cellStyle name="Comma 2 3 2 4" xfId="7234" xr:uid="{00000000-0005-0000-0000-00002F1C0000}"/>
    <cellStyle name="Comma 2 3 2 40" xfId="7235" xr:uid="{00000000-0005-0000-0000-0000301C0000}"/>
    <cellStyle name="Comma 2 3 2 41" xfId="7236" xr:uid="{00000000-0005-0000-0000-0000311C0000}"/>
    <cellStyle name="Comma 2 3 2 42" xfId="7237" xr:uid="{00000000-0005-0000-0000-0000321C0000}"/>
    <cellStyle name="Comma 2 3 2 43" xfId="7238" xr:uid="{00000000-0005-0000-0000-0000331C0000}"/>
    <cellStyle name="Comma 2 3 2 44" xfId="7239" xr:uid="{00000000-0005-0000-0000-0000341C0000}"/>
    <cellStyle name="Comma 2 3 2 45" xfId="7240" xr:uid="{00000000-0005-0000-0000-0000351C0000}"/>
    <cellStyle name="Comma 2 3 2 46" xfId="7241" xr:uid="{00000000-0005-0000-0000-0000361C0000}"/>
    <cellStyle name="Comma 2 3 2 47" xfId="7242" xr:uid="{00000000-0005-0000-0000-0000371C0000}"/>
    <cellStyle name="Comma 2 3 2 48" xfId="7243" xr:uid="{00000000-0005-0000-0000-0000381C0000}"/>
    <cellStyle name="Comma 2 3 2 49" xfId="7244" xr:uid="{00000000-0005-0000-0000-0000391C0000}"/>
    <cellStyle name="Comma 2 3 2 5" xfId="7245" xr:uid="{00000000-0005-0000-0000-00003A1C0000}"/>
    <cellStyle name="Comma 2 3 2 50" xfId="7246" xr:uid="{00000000-0005-0000-0000-00003B1C0000}"/>
    <cellStyle name="Comma 2 3 2 51" xfId="7247" xr:uid="{00000000-0005-0000-0000-00003C1C0000}"/>
    <cellStyle name="Comma 2 3 2 52" xfId="7248" xr:uid="{00000000-0005-0000-0000-00003D1C0000}"/>
    <cellStyle name="Comma 2 3 2 53" xfId="7249" xr:uid="{00000000-0005-0000-0000-00003E1C0000}"/>
    <cellStyle name="Comma 2 3 2 54" xfId="7250" xr:uid="{00000000-0005-0000-0000-00003F1C0000}"/>
    <cellStyle name="Comma 2 3 2 55" xfId="7251" xr:uid="{00000000-0005-0000-0000-0000401C0000}"/>
    <cellStyle name="Comma 2 3 2 56" xfId="7252" xr:uid="{00000000-0005-0000-0000-0000411C0000}"/>
    <cellStyle name="Comma 2 3 2 57" xfId="7253" xr:uid="{00000000-0005-0000-0000-0000421C0000}"/>
    <cellStyle name="Comma 2 3 2 58" xfId="7254" xr:uid="{00000000-0005-0000-0000-0000431C0000}"/>
    <cellStyle name="Comma 2 3 2 59" xfId="7255" xr:uid="{00000000-0005-0000-0000-0000441C0000}"/>
    <cellStyle name="Comma 2 3 2 6" xfId="7256" xr:uid="{00000000-0005-0000-0000-0000451C0000}"/>
    <cellStyle name="Comma 2 3 2 60" xfId="7257" xr:uid="{00000000-0005-0000-0000-0000461C0000}"/>
    <cellStyle name="Comma 2 3 2 61" xfId="7258" xr:uid="{00000000-0005-0000-0000-0000471C0000}"/>
    <cellStyle name="Comma 2 3 2 62" xfId="7259" xr:uid="{00000000-0005-0000-0000-0000481C0000}"/>
    <cellStyle name="Comma 2 3 2 63" xfId="7260" xr:uid="{00000000-0005-0000-0000-0000491C0000}"/>
    <cellStyle name="Comma 2 3 2 64" xfId="7261" xr:uid="{00000000-0005-0000-0000-00004A1C0000}"/>
    <cellStyle name="Comma 2 3 2 65" xfId="7262" xr:uid="{00000000-0005-0000-0000-00004B1C0000}"/>
    <cellStyle name="Comma 2 3 2 7" xfId="7263" xr:uid="{00000000-0005-0000-0000-00004C1C0000}"/>
    <cellStyle name="Comma 2 3 2 8" xfId="7264" xr:uid="{00000000-0005-0000-0000-00004D1C0000}"/>
    <cellStyle name="Comma 2 3 2 9" xfId="7265" xr:uid="{00000000-0005-0000-0000-00004E1C0000}"/>
    <cellStyle name="Comma 2 3 20" xfId="7266" xr:uid="{00000000-0005-0000-0000-00004F1C0000}"/>
    <cellStyle name="Comma 2 3 21" xfId="7267" xr:uid="{00000000-0005-0000-0000-0000501C0000}"/>
    <cellStyle name="Comma 2 3 22" xfId="7268" xr:uid="{00000000-0005-0000-0000-0000511C0000}"/>
    <cellStyle name="Comma 2 3 23" xfId="7269" xr:uid="{00000000-0005-0000-0000-0000521C0000}"/>
    <cellStyle name="Comma 2 3 24" xfId="7270" xr:uid="{00000000-0005-0000-0000-0000531C0000}"/>
    <cellStyle name="Comma 2 3 25" xfId="7271" xr:uid="{00000000-0005-0000-0000-0000541C0000}"/>
    <cellStyle name="Comma 2 3 26" xfId="7272" xr:uid="{00000000-0005-0000-0000-0000551C0000}"/>
    <cellStyle name="Comma 2 3 27" xfId="7273" xr:uid="{00000000-0005-0000-0000-0000561C0000}"/>
    <cellStyle name="Comma 2 3 28" xfId="7274" xr:uid="{00000000-0005-0000-0000-0000571C0000}"/>
    <cellStyle name="Comma 2 3 29" xfId="7275" xr:uid="{00000000-0005-0000-0000-0000581C0000}"/>
    <cellStyle name="Comma 2 3 3" xfId="7276" xr:uid="{00000000-0005-0000-0000-0000591C0000}"/>
    <cellStyle name="Comma 2 3 30" xfId="7277" xr:uid="{00000000-0005-0000-0000-00005A1C0000}"/>
    <cellStyle name="Comma 2 3 31" xfId="7278" xr:uid="{00000000-0005-0000-0000-00005B1C0000}"/>
    <cellStyle name="Comma 2 3 32" xfId="7279" xr:uid="{00000000-0005-0000-0000-00005C1C0000}"/>
    <cellStyle name="Comma 2 3 33" xfId="7280" xr:uid="{00000000-0005-0000-0000-00005D1C0000}"/>
    <cellStyle name="Comma 2 3 34" xfId="7281" xr:uid="{00000000-0005-0000-0000-00005E1C0000}"/>
    <cellStyle name="Comma 2 3 35" xfId="7282" xr:uid="{00000000-0005-0000-0000-00005F1C0000}"/>
    <cellStyle name="Comma 2 3 36" xfId="7283" xr:uid="{00000000-0005-0000-0000-0000601C0000}"/>
    <cellStyle name="Comma 2 3 37" xfId="7284" xr:uid="{00000000-0005-0000-0000-0000611C0000}"/>
    <cellStyle name="Comma 2 3 38" xfId="7285" xr:uid="{00000000-0005-0000-0000-0000621C0000}"/>
    <cellStyle name="Comma 2 3 39" xfId="7286" xr:uid="{00000000-0005-0000-0000-0000631C0000}"/>
    <cellStyle name="Comma 2 3 4" xfId="7287" xr:uid="{00000000-0005-0000-0000-0000641C0000}"/>
    <cellStyle name="Comma 2 3 40" xfId="7288" xr:uid="{00000000-0005-0000-0000-0000651C0000}"/>
    <cellStyle name="Comma 2 3 41" xfId="7289" xr:uid="{00000000-0005-0000-0000-0000661C0000}"/>
    <cellStyle name="Comma 2 3 42" xfId="7290" xr:uid="{00000000-0005-0000-0000-0000671C0000}"/>
    <cellStyle name="Comma 2 3 43" xfId="7291" xr:uid="{00000000-0005-0000-0000-0000681C0000}"/>
    <cellStyle name="Comma 2 3 44" xfId="7292" xr:uid="{00000000-0005-0000-0000-0000691C0000}"/>
    <cellStyle name="Comma 2 3 45" xfId="7293" xr:uid="{00000000-0005-0000-0000-00006A1C0000}"/>
    <cellStyle name="Comma 2 3 46" xfId="7294" xr:uid="{00000000-0005-0000-0000-00006B1C0000}"/>
    <cellStyle name="Comma 2 3 47" xfId="7295" xr:uid="{00000000-0005-0000-0000-00006C1C0000}"/>
    <cellStyle name="Comma 2 3 48" xfId="7296" xr:uid="{00000000-0005-0000-0000-00006D1C0000}"/>
    <cellStyle name="Comma 2 3 49" xfId="7297" xr:uid="{00000000-0005-0000-0000-00006E1C0000}"/>
    <cellStyle name="Comma 2 3 5" xfId="7298" xr:uid="{00000000-0005-0000-0000-00006F1C0000}"/>
    <cellStyle name="Comma 2 3 50" xfId="7299" xr:uid="{00000000-0005-0000-0000-0000701C0000}"/>
    <cellStyle name="Comma 2 3 51" xfId="7300" xr:uid="{00000000-0005-0000-0000-0000711C0000}"/>
    <cellStyle name="Comma 2 3 52" xfId="7301" xr:uid="{00000000-0005-0000-0000-0000721C0000}"/>
    <cellStyle name="Comma 2 3 53" xfId="7302" xr:uid="{00000000-0005-0000-0000-0000731C0000}"/>
    <cellStyle name="Comma 2 3 54" xfId="7303" xr:uid="{00000000-0005-0000-0000-0000741C0000}"/>
    <cellStyle name="Comma 2 3 55" xfId="7304" xr:uid="{00000000-0005-0000-0000-0000751C0000}"/>
    <cellStyle name="Comma 2 3 56" xfId="7305" xr:uid="{00000000-0005-0000-0000-0000761C0000}"/>
    <cellStyle name="Comma 2 3 57" xfId="7306" xr:uid="{00000000-0005-0000-0000-0000771C0000}"/>
    <cellStyle name="Comma 2 3 58" xfId="7307" xr:uid="{00000000-0005-0000-0000-0000781C0000}"/>
    <cellStyle name="Comma 2 3 59" xfId="7308" xr:uid="{00000000-0005-0000-0000-0000791C0000}"/>
    <cellStyle name="Comma 2 3 6" xfId="7309" xr:uid="{00000000-0005-0000-0000-00007A1C0000}"/>
    <cellStyle name="Comma 2 3 60" xfId="7310" xr:uid="{00000000-0005-0000-0000-00007B1C0000}"/>
    <cellStyle name="Comma 2 3 61" xfId="7311" xr:uid="{00000000-0005-0000-0000-00007C1C0000}"/>
    <cellStyle name="Comma 2 3 62" xfId="7312" xr:uid="{00000000-0005-0000-0000-00007D1C0000}"/>
    <cellStyle name="Comma 2 3 63" xfId="7313" xr:uid="{00000000-0005-0000-0000-00007E1C0000}"/>
    <cellStyle name="Comma 2 3 64" xfId="7314" xr:uid="{00000000-0005-0000-0000-00007F1C0000}"/>
    <cellStyle name="Comma 2 3 65" xfId="7315" xr:uid="{00000000-0005-0000-0000-0000801C0000}"/>
    <cellStyle name="Comma 2 3 7" xfId="7316" xr:uid="{00000000-0005-0000-0000-0000811C0000}"/>
    <cellStyle name="Comma 2 3 8" xfId="7317" xr:uid="{00000000-0005-0000-0000-0000821C0000}"/>
    <cellStyle name="Comma 2 3 9" xfId="7318" xr:uid="{00000000-0005-0000-0000-0000831C0000}"/>
    <cellStyle name="Comma 2 30" xfId="7319" xr:uid="{00000000-0005-0000-0000-0000841C0000}"/>
    <cellStyle name="Comma 2 31" xfId="7320" xr:uid="{00000000-0005-0000-0000-0000851C0000}"/>
    <cellStyle name="Comma 2 32" xfId="7321" xr:uid="{00000000-0005-0000-0000-0000861C0000}"/>
    <cellStyle name="Comma 2 33" xfId="7322" xr:uid="{00000000-0005-0000-0000-0000871C0000}"/>
    <cellStyle name="Comma 2 34" xfId="7323" xr:uid="{00000000-0005-0000-0000-0000881C0000}"/>
    <cellStyle name="Comma 2 35" xfId="7324" xr:uid="{00000000-0005-0000-0000-0000891C0000}"/>
    <cellStyle name="Comma 2 36" xfId="7325" xr:uid="{00000000-0005-0000-0000-00008A1C0000}"/>
    <cellStyle name="Comma 2 37" xfId="7326" xr:uid="{00000000-0005-0000-0000-00008B1C0000}"/>
    <cellStyle name="Comma 2 38" xfId="7327" xr:uid="{00000000-0005-0000-0000-00008C1C0000}"/>
    <cellStyle name="Comma 2 39" xfId="7328" xr:uid="{00000000-0005-0000-0000-00008D1C0000}"/>
    <cellStyle name="Comma 2 4" xfId="7329" xr:uid="{00000000-0005-0000-0000-00008E1C0000}"/>
    <cellStyle name="Comma 2 4 2" xfId="7330" xr:uid="{00000000-0005-0000-0000-00008F1C0000}"/>
    <cellStyle name="Comma 2 40" xfId="7331" xr:uid="{00000000-0005-0000-0000-0000901C0000}"/>
    <cellStyle name="Comma 2 41" xfId="7332" xr:uid="{00000000-0005-0000-0000-0000911C0000}"/>
    <cellStyle name="Comma 2 42" xfId="7333" xr:uid="{00000000-0005-0000-0000-0000921C0000}"/>
    <cellStyle name="Comma 2 43" xfId="7334" xr:uid="{00000000-0005-0000-0000-0000931C0000}"/>
    <cellStyle name="Comma 2 44" xfId="7335" xr:uid="{00000000-0005-0000-0000-0000941C0000}"/>
    <cellStyle name="Comma 2 45" xfId="7336" xr:uid="{00000000-0005-0000-0000-0000951C0000}"/>
    <cellStyle name="Comma 2 46" xfId="7337" xr:uid="{00000000-0005-0000-0000-0000961C0000}"/>
    <cellStyle name="Comma 2 47" xfId="7338" xr:uid="{00000000-0005-0000-0000-0000971C0000}"/>
    <cellStyle name="Comma 2 48" xfId="7339" xr:uid="{00000000-0005-0000-0000-0000981C0000}"/>
    <cellStyle name="Comma 2 49" xfId="7340" xr:uid="{00000000-0005-0000-0000-0000991C0000}"/>
    <cellStyle name="Comma 2 5" xfId="7341" xr:uid="{00000000-0005-0000-0000-00009A1C0000}"/>
    <cellStyle name="Comma 2 5 2" xfId="7342" xr:uid="{00000000-0005-0000-0000-00009B1C0000}"/>
    <cellStyle name="Comma 2 50" xfId="7343" xr:uid="{00000000-0005-0000-0000-00009C1C0000}"/>
    <cellStyle name="Comma 2 51" xfId="7344" xr:uid="{00000000-0005-0000-0000-00009D1C0000}"/>
    <cellStyle name="Comma 2 52" xfId="7345" xr:uid="{00000000-0005-0000-0000-00009E1C0000}"/>
    <cellStyle name="Comma 2 53" xfId="7346" xr:uid="{00000000-0005-0000-0000-00009F1C0000}"/>
    <cellStyle name="Comma 2 54" xfId="7347" xr:uid="{00000000-0005-0000-0000-0000A01C0000}"/>
    <cellStyle name="Comma 2 55" xfId="7348" xr:uid="{00000000-0005-0000-0000-0000A11C0000}"/>
    <cellStyle name="Comma 2 56" xfId="7349" xr:uid="{00000000-0005-0000-0000-0000A21C0000}"/>
    <cellStyle name="Comma 2 57" xfId="7350" xr:uid="{00000000-0005-0000-0000-0000A31C0000}"/>
    <cellStyle name="Comma 2 58" xfId="7351" xr:uid="{00000000-0005-0000-0000-0000A41C0000}"/>
    <cellStyle name="Comma 2 59" xfId="7352" xr:uid="{00000000-0005-0000-0000-0000A51C0000}"/>
    <cellStyle name="Comma 2 6" xfId="7353" xr:uid="{00000000-0005-0000-0000-0000A61C0000}"/>
    <cellStyle name="Comma 2 6 2" xfId="7354" xr:uid="{00000000-0005-0000-0000-0000A71C0000}"/>
    <cellStyle name="Comma 2 60" xfId="7355" xr:uid="{00000000-0005-0000-0000-0000A81C0000}"/>
    <cellStyle name="Comma 2 61" xfId="7356" xr:uid="{00000000-0005-0000-0000-0000A91C0000}"/>
    <cellStyle name="Comma 2 62" xfId="7357" xr:uid="{00000000-0005-0000-0000-0000AA1C0000}"/>
    <cellStyle name="Comma 2 63" xfId="7358" xr:uid="{00000000-0005-0000-0000-0000AB1C0000}"/>
    <cellStyle name="Comma 2 64" xfId="7359" xr:uid="{00000000-0005-0000-0000-0000AC1C0000}"/>
    <cellStyle name="Comma 2 65" xfId="7360" xr:uid="{00000000-0005-0000-0000-0000AD1C0000}"/>
    <cellStyle name="Comma 2 66" xfId="7361" xr:uid="{00000000-0005-0000-0000-0000AE1C0000}"/>
    <cellStyle name="Comma 2 67" xfId="7362" xr:uid="{00000000-0005-0000-0000-0000AF1C0000}"/>
    <cellStyle name="Comma 2 68" xfId="7363" xr:uid="{00000000-0005-0000-0000-0000B01C0000}"/>
    <cellStyle name="Comma 2 69" xfId="7364" xr:uid="{00000000-0005-0000-0000-0000B11C0000}"/>
    <cellStyle name="Comma 2 7" xfId="7365" xr:uid="{00000000-0005-0000-0000-0000B21C0000}"/>
    <cellStyle name="Comma 2 7 2" xfId="7366" xr:uid="{00000000-0005-0000-0000-0000B31C0000}"/>
    <cellStyle name="Comma 2 70" xfId="7367" xr:uid="{00000000-0005-0000-0000-0000B41C0000}"/>
    <cellStyle name="Comma 2 71" xfId="7368" xr:uid="{00000000-0005-0000-0000-0000B51C0000}"/>
    <cellStyle name="Comma 2 72" xfId="7369" xr:uid="{00000000-0005-0000-0000-0000B61C0000}"/>
    <cellStyle name="Comma 2 73" xfId="7370" xr:uid="{00000000-0005-0000-0000-0000B71C0000}"/>
    <cellStyle name="Comma 2 74" xfId="7371" xr:uid="{00000000-0005-0000-0000-0000B81C0000}"/>
    <cellStyle name="Comma 2 75" xfId="7372" xr:uid="{00000000-0005-0000-0000-0000B91C0000}"/>
    <cellStyle name="Comma 2 76" xfId="7373" xr:uid="{00000000-0005-0000-0000-0000BA1C0000}"/>
    <cellStyle name="Comma 2 77" xfId="7374" xr:uid="{00000000-0005-0000-0000-0000BB1C0000}"/>
    <cellStyle name="Comma 2 8" xfId="7375" xr:uid="{00000000-0005-0000-0000-0000BC1C0000}"/>
    <cellStyle name="Comma 2 8 2" xfId="7376" xr:uid="{00000000-0005-0000-0000-0000BD1C0000}"/>
    <cellStyle name="Comma 2 9" xfId="7377" xr:uid="{00000000-0005-0000-0000-0000BE1C0000}"/>
    <cellStyle name="Comma 2 9 2" xfId="7378" xr:uid="{00000000-0005-0000-0000-0000BF1C0000}"/>
    <cellStyle name="Comma 3" xfId="7379" xr:uid="{00000000-0005-0000-0000-0000C01C0000}"/>
    <cellStyle name="Comma 4" xfId="7380" xr:uid="{00000000-0005-0000-0000-0000C11C0000}"/>
    <cellStyle name="Comma 5" xfId="7381" xr:uid="{00000000-0005-0000-0000-0000C21C0000}"/>
    <cellStyle name="Comma 6" xfId="7382" xr:uid="{00000000-0005-0000-0000-0000C31C0000}"/>
    <cellStyle name="Comma 6 2" xfId="7383" xr:uid="{00000000-0005-0000-0000-0000C41C0000}"/>
    <cellStyle name="Comma 6 2 2" xfId="7384" xr:uid="{00000000-0005-0000-0000-0000C51C0000}"/>
    <cellStyle name="Comma 6 3" xfId="7385" xr:uid="{00000000-0005-0000-0000-0000C61C0000}"/>
    <cellStyle name="Comma 7" xfId="48" xr:uid="{00000000-0005-0000-0000-0000C71C0000}"/>
    <cellStyle name="Comma 8" xfId="8177" xr:uid="{00000000-0005-0000-0000-0000C81C0000}"/>
    <cellStyle name="Comma 9" xfId="8181" xr:uid="{00000000-0005-0000-0000-0000C91C0000}"/>
    <cellStyle name="Comma_Cash Flowsdraft 2" xfId="47" xr:uid="{00000000-0005-0000-0000-0000CA1C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" xfId="7386" xr:uid="{00000000-0005-0000-0000-0000D61C0000}"/>
    <cellStyle name="Normal 2" xfId="43" xr:uid="{00000000-0005-0000-0000-0000D71C0000}"/>
    <cellStyle name="Normal 2 10" xfId="7387" xr:uid="{00000000-0005-0000-0000-0000D81C0000}"/>
    <cellStyle name="Normal 2 11" xfId="7388" xr:uid="{00000000-0005-0000-0000-0000D91C0000}"/>
    <cellStyle name="Normal 2 12" xfId="7389" xr:uid="{00000000-0005-0000-0000-0000DA1C0000}"/>
    <cellStyle name="Normal 2 13" xfId="7390" xr:uid="{00000000-0005-0000-0000-0000DB1C0000}"/>
    <cellStyle name="Normal 2 14" xfId="7391" xr:uid="{00000000-0005-0000-0000-0000DC1C0000}"/>
    <cellStyle name="Normal 2 15" xfId="7392" xr:uid="{00000000-0005-0000-0000-0000DD1C0000}"/>
    <cellStyle name="Normal 2 16" xfId="7393" xr:uid="{00000000-0005-0000-0000-0000DE1C0000}"/>
    <cellStyle name="Normal 2 17" xfId="7394" xr:uid="{00000000-0005-0000-0000-0000DF1C0000}"/>
    <cellStyle name="Normal 2 18" xfId="7395" xr:uid="{00000000-0005-0000-0000-0000E01C0000}"/>
    <cellStyle name="Normal 2 19" xfId="7396" xr:uid="{00000000-0005-0000-0000-0000E11C0000}"/>
    <cellStyle name="Normal 2 2" xfId="7397" xr:uid="{00000000-0005-0000-0000-0000E21C0000}"/>
    <cellStyle name="Normal 2 2 2" xfId="7398" xr:uid="{00000000-0005-0000-0000-0000E31C0000}"/>
    <cellStyle name="Normal 2 2 3" xfId="8180" xr:uid="{00000000-0005-0000-0000-0000E41C0000}"/>
    <cellStyle name="Normal 2 20" xfId="7399" xr:uid="{00000000-0005-0000-0000-0000E51C0000}"/>
    <cellStyle name="Normal 2 21" xfId="7400" xr:uid="{00000000-0005-0000-0000-0000E61C0000}"/>
    <cellStyle name="Normal 2 22" xfId="7401" xr:uid="{00000000-0005-0000-0000-0000E71C0000}"/>
    <cellStyle name="Normal 2 23" xfId="7402" xr:uid="{00000000-0005-0000-0000-0000E81C0000}"/>
    <cellStyle name="Normal 2 24" xfId="7403" xr:uid="{00000000-0005-0000-0000-0000E91C0000}"/>
    <cellStyle name="Normal 2 25" xfId="7404" xr:uid="{00000000-0005-0000-0000-0000EA1C0000}"/>
    <cellStyle name="Normal 2 26" xfId="7405" xr:uid="{00000000-0005-0000-0000-0000EB1C0000}"/>
    <cellStyle name="Normal 2 27" xfId="7406" xr:uid="{00000000-0005-0000-0000-0000EC1C0000}"/>
    <cellStyle name="Normal 2 28" xfId="7407" xr:uid="{00000000-0005-0000-0000-0000ED1C0000}"/>
    <cellStyle name="Normal 2 29" xfId="7408" xr:uid="{00000000-0005-0000-0000-0000EE1C0000}"/>
    <cellStyle name="Normal 2 3" xfId="7409" xr:uid="{00000000-0005-0000-0000-0000EF1C0000}"/>
    <cellStyle name="Normal 2 3 2" xfId="7410" xr:uid="{00000000-0005-0000-0000-0000F01C0000}"/>
    <cellStyle name="Normal 2 30" xfId="7411" xr:uid="{00000000-0005-0000-0000-0000F11C0000}"/>
    <cellStyle name="Normal 2 31" xfId="7412" xr:uid="{00000000-0005-0000-0000-0000F21C0000}"/>
    <cellStyle name="Normal 2 32" xfId="7413" xr:uid="{00000000-0005-0000-0000-0000F31C0000}"/>
    <cellStyle name="Normal 2 33" xfId="7414" xr:uid="{00000000-0005-0000-0000-0000F41C0000}"/>
    <cellStyle name="Normal 2 34" xfId="7415" xr:uid="{00000000-0005-0000-0000-0000F51C0000}"/>
    <cellStyle name="Normal 2 35" xfId="7416" xr:uid="{00000000-0005-0000-0000-0000F61C0000}"/>
    <cellStyle name="Normal 2 36" xfId="7417" xr:uid="{00000000-0005-0000-0000-0000F71C0000}"/>
    <cellStyle name="Normal 2 37" xfId="7418" xr:uid="{00000000-0005-0000-0000-0000F81C0000}"/>
    <cellStyle name="Normal 2 38" xfId="7419" xr:uid="{00000000-0005-0000-0000-0000F91C0000}"/>
    <cellStyle name="Normal 2 39" xfId="7420" xr:uid="{00000000-0005-0000-0000-0000FA1C0000}"/>
    <cellStyle name="Normal 2 4" xfId="7421" xr:uid="{00000000-0005-0000-0000-0000FB1C0000}"/>
    <cellStyle name="Normal 2 4 2" xfId="7422" xr:uid="{00000000-0005-0000-0000-0000FC1C0000}"/>
    <cellStyle name="Normal 2 40" xfId="7423" xr:uid="{00000000-0005-0000-0000-0000FD1C0000}"/>
    <cellStyle name="Normal 2 41" xfId="7424" xr:uid="{00000000-0005-0000-0000-0000FE1C0000}"/>
    <cellStyle name="Normal 2 42" xfId="7425" xr:uid="{00000000-0005-0000-0000-0000FF1C0000}"/>
    <cellStyle name="Normal 2 43" xfId="7426" xr:uid="{00000000-0005-0000-0000-0000001D0000}"/>
    <cellStyle name="Normal 2 44" xfId="7427" xr:uid="{00000000-0005-0000-0000-0000011D0000}"/>
    <cellStyle name="Normal 2 45" xfId="7428" xr:uid="{00000000-0005-0000-0000-0000021D0000}"/>
    <cellStyle name="Normal 2 46" xfId="7429" xr:uid="{00000000-0005-0000-0000-0000031D0000}"/>
    <cellStyle name="Normal 2 47" xfId="7430" xr:uid="{00000000-0005-0000-0000-0000041D0000}"/>
    <cellStyle name="Normal 2 48" xfId="7431" xr:uid="{00000000-0005-0000-0000-0000051D0000}"/>
    <cellStyle name="Normal 2 49" xfId="7432" xr:uid="{00000000-0005-0000-0000-0000061D0000}"/>
    <cellStyle name="Normal 2 5" xfId="7433" xr:uid="{00000000-0005-0000-0000-0000071D0000}"/>
    <cellStyle name="Normal 2 5 2" xfId="7434" xr:uid="{00000000-0005-0000-0000-0000081D0000}"/>
    <cellStyle name="Normal 2 50" xfId="7435" xr:uid="{00000000-0005-0000-0000-0000091D0000}"/>
    <cellStyle name="Normal 2 51" xfId="7436" xr:uid="{00000000-0005-0000-0000-00000A1D0000}"/>
    <cellStyle name="Normal 2 52" xfId="7437" xr:uid="{00000000-0005-0000-0000-00000B1D0000}"/>
    <cellStyle name="Normal 2 53" xfId="7438" xr:uid="{00000000-0005-0000-0000-00000C1D0000}"/>
    <cellStyle name="Normal 2 54" xfId="7439" xr:uid="{00000000-0005-0000-0000-00000D1D0000}"/>
    <cellStyle name="Normal 2 55" xfId="7440" xr:uid="{00000000-0005-0000-0000-00000E1D0000}"/>
    <cellStyle name="Normal 2 56" xfId="7441" xr:uid="{00000000-0005-0000-0000-00000F1D0000}"/>
    <cellStyle name="Normal 2 57" xfId="7442" xr:uid="{00000000-0005-0000-0000-0000101D0000}"/>
    <cellStyle name="Normal 2 58" xfId="7443" xr:uid="{00000000-0005-0000-0000-0000111D0000}"/>
    <cellStyle name="Normal 2 59" xfId="7444" xr:uid="{00000000-0005-0000-0000-0000121D0000}"/>
    <cellStyle name="Normal 2 6" xfId="7445" xr:uid="{00000000-0005-0000-0000-0000131D0000}"/>
    <cellStyle name="Normal 2 6 2" xfId="7446" xr:uid="{00000000-0005-0000-0000-0000141D0000}"/>
    <cellStyle name="Normal 2 60" xfId="7447" xr:uid="{00000000-0005-0000-0000-0000151D0000}"/>
    <cellStyle name="Normal 2 61" xfId="7448" xr:uid="{00000000-0005-0000-0000-0000161D0000}"/>
    <cellStyle name="Normal 2 62" xfId="7449" xr:uid="{00000000-0005-0000-0000-0000171D0000}"/>
    <cellStyle name="Normal 2 63" xfId="7450" xr:uid="{00000000-0005-0000-0000-0000181D0000}"/>
    <cellStyle name="Normal 2 64" xfId="7451" xr:uid="{00000000-0005-0000-0000-0000191D0000}"/>
    <cellStyle name="Normal 2 65" xfId="7452" xr:uid="{00000000-0005-0000-0000-00001A1D0000}"/>
    <cellStyle name="Normal 2 66" xfId="7453" xr:uid="{00000000-0005-0000-0000-00001B1D0000}"/>
    <cellStyle name="Normal 2 67" xfId="7454" xr:uid="{00000000-0005-0000-0000-00001C1D0000}"/>
    <cellStyle name="Normal 2 68" xfId="7455" xr:uid="{00000000-0005-0000-0000-00001D1D0000}"/>
    <cellStyle name="Normal 2 69" xfId="7456" xr:uid="{00000000-0005-0000-0000-00001E1D0000}"/>
    <cellStyle name="Normal 2 7" xfId="7457" xr:uid="{00000000-0005-0000-0000-00001F1D0000}"/>
    <cellStyle name="Normal 2 7 2" xfId="7458" xr:uid="{00000000-0005-0000-0000-0000201D0000}"/>
    <cellStyle name="Normal 2 70" xfId="7459" xr:uid="{00000000-0005-0000-0000-0000211D0000}"/>
    <cellStyle name="Normal 2 71" xfId="7460" xr:uid="{00000000-0005-0000-0000-0000221D0000}"/>
    <cellStyle name="Normal 2 72" xfId="7461" xr:uid="{00000000-0005-0000-0000-0000231D0000}"/>
    <cellStyle name="Normal 2 73" xfId="7462" xr:uid="{00000000-0005-0000-0000-0000241D0000}"/>
    <cellStyle name="Normal 2 74" xfId="7463" xr:uid="{00000000-0005-0000-0000-0000251D0000}"/>
    <cellStyle name="Normal 2 75" xfId="7464" xr:uid="{00000000-0005-0000-0000-0000261D0000}"/>
    <cellStyle name="Normal 2 76" xfId="7465" xr:uid="{00000000-0005-0000-0000-0000271D0000}"/>
    <cellStyle name="Normal 2 77" xfId="8178" xr:uid="{00000000-0005-0000-0000-0000281D0000}"/>
    <cellStyle name="Normal 2 77 2" xfId="8182" xr:uid="{8661640B-56EE-4265-AEC7-6791227E3DDC}"/>
    <cellStyle name="Normal 2 8" xfId="7466" xr:uid="{00000000-0005-0000-0000-0000291D0000}"/>
    <cellStyle name="Normal 2 8 2" xfId="7467" xr:uid="{00000000-0005-0000-0000-00002A1D0000}"/>
    <cellStyle name="Normal 2 9" xfId="7468" xr:uid="{00000000-0005-0000-0000-00002B1D0000}"/>
    <cellStyle name="Normal 2 9 2" xfId="7469" xr:uid="{00000000-0005-0000-0000-00002C1D0000}"/>
    <cellStyle name="Normal 3" xfId="7470" xr:uid="{00000000-0005-0000-0000-00002D1D0000}"/>
    <cellStyle name="Normal 3 2" xfId="8176" xr:uid="{00000000-0005-0000-0000-00002E1D0000}"/>
    <cellStyle name="Normal 34" xfId="7471" xr:uid="{00000000-0005-0000-0000-00002F1D0000}"/>
    <cellStyle name="Normal 37" xfId="7472" xr:uid="{00000000-0005-0000-0000-0000301D0000}"/>
    <cellStyle name="Normal 4" xfId="7473" xr:uid="{00000000-0005-0000-0000-0000311D0000}"/>
    <cellStyle name="Normal 4 10" xfId="7474" xr:uid="{00000000-0005-0000-0000-0000321D0000}"/>
    <cellStyle name="Normal 4 11" xfId="7475" xr:uid="{00000000-0005-0000-0000-0000331D0000}"/>
    <cellStyle name="Normal 4 12" xfId="7476" xr:uid="{00000000-0005-0000-0000-0000341D0000}"/>
    <cellStyle name="Normal 4 13" xfId="7477" xr:uid="{00000000-0005-0000-0000-0000351D0000}"/>
    <cellStyle name="Normal 4 14" xfId="7478" xr:uid="{00000000-0005-0000-0000-0000361D0000}"/>
    <cellStyle name="Normal 4 15" xfId="7479" xr:uid="{00000000-0005-0000-0000-0000371D0000}"/>
    <cellStyle name="Normal 4 16" xfId="7480" xr:uid="{00000000-0005-0000-0000-0000381D0000}"/>
    <cellStyle name="Normal 4 17" xfId="7481" xr:uid="{00000000-0005-0000-0000-0000391D0000}"/>
    <cellStyle name="Normal 4 18" xfId="7482" xr:uid="{00000000-0005-0000-0000-00003A1D0000}"/>
    <cellStyle name="Normal 4 19" xfId="7483" xr:uid="{00000000-0005-0000-0000-00003B1D0000}"/>
    <cellStyle name="Normal 4 2" xfId="7484" xr:uid="{00000000-0005-0000-0000-00003C1D0000}"/>
    <cellStyle name="Normal 4 2 2" xfId="7485" xr:uid="{00000000-0005-0000-0000-00003D1D0000}"/>
    <cellStyle name="Normal 4 20" xfId="7486" xr:uid="{00000000-0005-0000-0000-00003E1D0000}"/>
    <cellStyle name="Normal 4 21" xfId="7487" xr:uid="{00000000-0005-0000-0000-00003F1D0000}"/>
    <cellStyle name="Normal 4 22" xfId="7488" xr:uid="{00000000-0005-0000-0000-0000401D0000}"/>
    <cellStyle name="Normal 4 23" xfId="7489" xr:uid="{00000000-0005-0000-0000-0000411D0000}"/>
    <cellStyle name="Normal 4 24" xfId="7490" xr:uid="{00000000-0005-0000-0000-0000421D0000}"/>
    <cellStyle name="Normal 4 25" xfId="7491" xr:uid="{00000000-0005-0000-0000-0000431D0000}"/>
    <cellStyle name="Normal 4 26" xfId="7492" xr:uid="{00000000-0005-0000-0000-0000441D0000}"/>
    <cellStyle name="Normal 4 27" xfId="7493" xr:uid="{00000000-0005-0000-0000-0000451D0000}"/>
    <cellStyle name="Normal 4 28" xfId="7494" xr:uid="{00000000-0005-0000-0000-0000461D0000}"/>
    <cellStyle name="Normal 4 29" xfId="7495" xr:uid="{00000000-0005-0000-0000-0000471D0000}"/>
    <cellStyle name="Normal 4 3" xfId="7496" xr:uid="{00000000-0005-0000-0000-0000481D0000}"/>
    <cellStyle name="Normal 4 3 2" xfId="7497" xr:uid="{00000000-0005-0000-0000-0000491D0000}"/>
    <cellStyle name="Normal 4 30" xfId="7498" xr:uid="{00000000-0005-0000-0000-00004A1D0000}"/>
    <cellStyle name="Normal 4 31" xfId="7499" xr:uid="{00000000-0005-0000-0000-00004B1D0000}"/>
    <cellStyle name="Normal 4 32" xfId="7500" xr:uid="{00000000-0005-0000-0000-00004C1D0000}"/>
    <cellStyle name="Normal 4 33" xfId="7501" xr:uid="{00000000-0005-0000-0000-00004D1D0000}"/>
    <cellStyle name="Normal 4 34" xfId="7502" xr:uid="{00000000-0005-0000-0000-00004E1D0000}"/>
    <cellStyle name="Normal 4 35" xfId="7503" xr:uid="{00000000-0005-0000-0000-00004F1D0000}"/>
    <cellStyle name="Normal 4 36" xfId="7504" xr:uid="{00000000-0005-0000-0000-0000501D0000}"/>
    <cellStyle name="Normal 4 37" xfId="7505" xr:uid="{00000000-0005-0000-0000-0000511D0000}"/>
    <cellStyle name="Normal 4 38" xfId="7506" xr:uid="{00000000-0005-0000-0000-0000521D0000}"/>
    <cellStyle name="Normal 4 39" xfId="7507" xr:uid="{00000000-0005-0000-0000-0000531D0000}"/>
    <cellStyle name="Normal 4 4" xfId="7508" xr:uid="{00000000-0005-0000-0000-0000541D0000}"/>
    <cellStyle name="Normal 4 4 2" xfId="7509" xr:uid="{00000000-0005-0000-0000-0000551D0000}"/>
    <cellStyle name="Normal 4 40" xfId="7510" xr:uid="{00000000-0005-0000-0000-0000561D0000}"/>
    <cellStyle name="Normal 4 41" xfId="7511" xr:uid="{00000000-0005-0000-0000-0000571D0000}"/>
    <cellStyle name="Normal 4 42" xfId="7512" xr:uid="{00000000-0005-0000-0000-0000581D0000}"/>
    <cellStyle name="Normal 4 43" xfId="7513" xr:uid="{00000000-0005-0000-0000-0000591D0000}"/>
    <cellStyle name="Normal 4 44" xfId="7514" xr:uid="{00000000-0005-0000-0000-00005A1D0000}"/>
    <cellStyle name="Normal 4 45" xfId="7515" xr:uid="{00000000-0005-0000-0000-00005B1D0000}"/>
    <cellStyle name="Normal 4 46" xfId="7516" xr:uid="{00000000-0005-0000-0000-00005C1D0000}"/>
    <cellStyle name="Normal 4 47" xfId="7517" xr:uid="{00000000-0005-0000-0000-00005D1D0000}"/>
    <cellStyle name="Normal 4 48" xfId="7518" xr:uid="{00000000-0005-0000-0000-00005E1D0000}"/>
    <cellStyle name="Normal 4 49" xfId="7519" xr:uid="{00000000-0005-0000-0000-00005F1D0000}"/>
    <cellStyle name="Normal 4 5" xfId="7520" xr:uid="{00000000-0005-0000-0000-0000601D0000}"/>
    <cellStyle name="Normal 4 5 2" xfId="7521" xr:uid="{00000000-0005-0000-0000-0000611D0000}"/>
    <cellStyle name="Normal 4 50" xfId="7522" xr:uid="{00000000-0005-0000-0000-0000621D0000}"/>
    <cellStyle name="Normal 4 51" xfId="7523" xr:uid="{00000000-0005-0000-0000-0000631D0000}"/>
    <cellStyle name="Normal 4 52" xfId="7524" xr:uid="{00000000-0005-0000-0000-0000641D0000}"/>
    <cellStyle name="Normal 4 53" xfId="7525" xr:uid="{00000000-0005-0000-0000-0000651D0000}"/>
    <cellStyle name="Normal 4 54" xfId="7526" xr:uid="{00000000-0005-0000-0000-0000661D0000}"/>
    <cellStyle name="Normal 4 55" xfId="7527" xr:uid="{00000000-0005-0000-0000-0000671D0000}"/>
    <cellStyle name="Normal 4 56" xfId="7528" xr:uid="{00000000-0005-0000-0000-0000681D0000}"/>
    <cellStyle name="Normal 4 57" xfId="7529" xr:uid="{00000000-0005-0000-0000-0000691D0000}"/>
    <cellStyle name="Normal 4 58" xfId="7530" xr:uid="{00000000-0005-0000-0000-00006A1D0000}"/>
    <cellStyle name="Normal 4 59" xfId="7531" xr:uid="{00000000-0005-0000-0000-00006B1D0000}"/>
    <cellStyle name="Normal 4 6" xfId="7532" xr:uid="{00000000-0005-0000-0000-00006C1D0000}"/>
    <cellStyle name="Normal 4 6 2" xfId="7533" xr:uid="{00000000-0005-0000-0000-00006D1D0000}"/>
    <cellStyle name="Normal 4 60" xfId="7534" xr:uid="{00000000-0005-0000-0000-00006E1D0000}"/>
    <cellStyle name="Normal 4 61" xfId="7535" xr:uid="{00000000-0005-0000-0000-00006F1D0000}"/>
    <cellStyle name="Normal 4 62" xfId="7536" xr:uid="{00000000-0005-0000-0000-0000701D0000}"/>
    <cellStyle name="Normal 4 63" xfId="7537" xr:uid="{00000000-0005-0000-0000-0000711D0000}"/>
    <cellStyle name="Normal 4 64" xfId="7538" xr:uid="{00000000-0005-0000-0000-0000721D0000}"/>
    <cellStyle name="Normal 4 65" xfId="7539" xr:uid="{00000000-0005-0000-0000-0000731D0000}"/>
    <cellStyle name="Normal 4 66" xfId="7540" xr:uid="{00000000-0005-0000-0000-0000741D0000}"/>
    <cellStyle name="Normal 4 67" xfId="7541" xr:uid="{00000000-0005-0000-0000-0000751D0000}"/>
    <cellStyle name="Normal 4 68" xfId="7542" xr:uid="{00000000-0005-0000-0000-0000761D0000}"/>
    <cellStyle name="Normal 4 69" xfId="7543" xr:uid="{00000000-0005-0000-0000-0000771D0000}"/>
    <cellStyle name="Normal 4 7" xfId="7544" xr:uid="{00000000-0005-0000-0000-0000781D0000}"/>
    <cellStyle name="Normal 4 7 2" xfId="7545" xr:uid="{00000000-0005-0000-0000-0000791D0000}"/>
    <cellStyle name="Normal 4 70" xfId="7546" xr:uid="{00000000-0005-0000-0000-00007A1D0000}"/>
    <cellStyle name="Normal 4 71" xfId="7547" xr:uid="{00000000-0005-0000-0000-00007B1D0000}"/>
    <cellStyle name="Normal 4 72" xfId="7548" xr:uid="{00000000-0005-0000-0000-00007C1D0000}"/>
    <cellStyle name="Normal 4 73" xfId="7549" xr:uid="{00000000-0005-0000-0000-00007D1D0000}"/>
    <cellStyle name="Normal 4 74" xfId="7550" xr:uid="{00000000-0005-0000-0000-00007E1D0000}"/>
    <cellStyle name="Normal 4 75" xfId="7551" xr:uid="{00000000-0005-0000-0000-00007F1D0000}"/>
    <cellStyle name="Normal 4 76" xfId="7552" xr:uid="{00000000-0005-0000-0000-0000801D0000}"/>
    <cellStyle name="Normal 4 8" xfId="7553" xr:uid="{00000000-0005-0000-0000-0000811D0000}"/>
    <cellStyle name="Normal 4 8 2" xfId="7554" xr:uid="{00000000-0005-0000-0000-0000821D0000}"/>
    <cellStyle name="Normal 4 9" xfId="7555" xr:uid="{00000000-0005-0000-0000-0000831D0000}"/>
    <cellStyle name="Normal 4 9 2" xfId="7556" xr:uid="{00000000-0005-0000-0000-0000841D0000}"/>
    <cellStyle name="Normal 5" xfId="7557" xr:uid="{00000000-0005-0000-0000-0000851D0000}"/>
    <cellStyle name="Normal 6" xfId="7558" xr:uid="{00000000-0005-0000-0000-0000861D0000}"/>
    <cellStyle name="Normal 7" xfId="7559" xr:uid="{00000000-0005-0000-0000-0000871D0000}"/>
    <cellStyle name="Normal_Cash Flowsdraft" xfId="46" xr:uid="{00000000-0005-0000-0000-0000881D0000}"/>
    <cellStyle name="Note" xfId="16" builtinId="10" customBuiltin="1"/>
    <cellStyle name="Note 2" xfId="7560" xr:uid="{00000000-0005-0000-0000-00008B1D0000}"/>
    <cellStyle name="Note 2 10" xfId="7561" xr:uid="{00000000-0005-0000-0000-00008C1D0000}"/>
    <cellStyle name="Note 2 11" xfId="7562" xr:uid="{00000000-0005-0000-0000-00008D1D0000}"/>
    <cellStyle name="Note 2 12" xfId="7563" xr:uid="{00000000-0005-0000-0000-00008E1D0000}"/>
    <cellStyle name="Note 2 13" xfId="7564" xr:uid="{00000000-0005-0000-0000-00008F1D0000}"/>
    <cellStyle name="Note 2 14" xfId="7565" xr:uid="{00000000-0005-0000-0000-0000901D0000}"/>
    <cellStyle name="Note 2 15" xfId="7566" xr:uid="{00000000-0005-0000-0000-0000911D0000}"/>
    <cellStyle name="Note 2 16" xfId="7567" xr:uid="{00000000-0005-0000-0000-0000921D0000}"/>
    <cellStyle name="Note 2 17" xfId="7568" xr:uid="{00000000-0005-0000-0000-0000931D0000}"/>
    <cellStyle name="Note 2 18" xfId="7569" xr:uid="{00000000-0005-0000-0000-0000941D0000}"/>
    <cellStyle name="Note 2 19" xfId="7570" xr:uid="{00000000-0005-0000-0000-0000951D0000}"/>
    <cellStyle name="Note 2 2" xfId="7571" xr:uid="{00000000-0005-0000-0000-0000961D0000}"/>
    <cellStyle name="Note 2 2 10" xfId="7572" xr:uid="{00000000-0005-0000-0000-0000971D0000}"/>
    <cellStyle name="Note 2 2 11" xfId="7573" xr:uid="{00000000-0005-0000-0000-0000981D0000}"/>
    <cellStyle name="Note 2 2 12" xfId="7574" xr:uid="{00000000-0005-0000-0000-0000991D0000}"/>
    <cellStyle name="Note 2 2 13" xfId="7575" xr:uid="{00000000-0005-0000-0000-00009A1D0000}"/>
    <cellStyle name="Note 2 2 14" xfId="7576" xr:uid="{00000000-0005-0000-0000-00009B1D0000}"/>
    <cellStyle name="Note 2 2 15" xfId="7577" xr:uid="{00000000-0005-0000-0000-00009C1D0000}"/>
    <cellStyle name="Note 2 2 16" xfId="7578" xr:uid="{00000000-0005-0000-0000-00009D1D0000}"/>
    <cellStyle name="Note 2 2 17" xfId="7579" xr:uid="{00000000-0005-0000-0000-00009E1D0000}"/>
    <cellStyle name="Note 2 2 18" xfId="7580" xr:uid="{00000000-0005-0000-0000-00009F1D0000}"/>
    <cellStyle name="Note 2 2 19" xfId="7581" xr:uid="{00000000-0005-0000-0000-0000A01D0000}"/>
    <cellStyle name="Note 2 2 2" xfId="7582" xr:uid="{00000000-0005-0000-0000-0000A11D0000}"/>
    <cellStyle name="Note 2 2 2 10" xfId="7583" xr:uid="{00000000-0005-0000-0000-0000A21D0000}"/>
    <cellStyle name="Note 2 2 2 11" xfId="7584" xr:uid="{00000000-0005-0000-0000-0000A31D0000}"/>
    <cellStyle name="Note 2 2 2 12" xfId="7585" xr:uid="{00000000-0005-0000-0000-0000A41D0000}"/>
    <cellStyle name="Note 2 2 2 13" xfId="7586" xr:uid="{00000000-0005-0000-0000-0000A51D0000}"/>
    <cellStyle name="Note 2 2 2 14" xfId="7587" xr:uid="{00000000-0005-0000-0000-0000A61D0000}"/>
    <cellStyle name="Note 2 2 2 15" xfId="7588" xr:uid="{00000000-0005-0000-0000-0000A71D0000}"/>
    <cellStyle name="Note 2 2 2 16" xfId="7589" xr:uid="{00000000-0005-0000-0000-0000A81D0000}"/>
    <cellStyle name="Note 2 2 2 17" xfId="7590" xr:uid="{00000000-0005-0000-0000-0000A91D0000}"/>
    <cellStyle name="Note 2 2 2 18" xfId="7591" xr:uid="{00000000-0005-0000-0000-0000AA1D0000}"/>
    <cellStyle name="Note 2 2 2 19" xfId="7592" xr:uid="{00000000-0005-0000-0000-0000AB1D0000}"/>
    <cellStyle name="Note 2 2 2 2" xfId="7593" xr:uid="{00000000-0005-0000-0000-0000AC1D0000}"/>
    <cellStyle name="Note 2 2 2 2 10" xfId="7594" xr:uid="{00000000-0005-0000-0000-0000AD1D0000}"/>
    <cellStyle name="Note 2 2 2 2 11" xfId="7595" xr:uid="{00000000-0005-0000-0000-0000AE1D0000}"/>
    <cellStyle name="Note 2 2 2 2 12" xfId="7596" xr:uid="{00000000-0005-0000-0000-0000AF1D0000}"/>
    <cellStyle name="Note 2 2 2 2 13" xfId="7597" xr:uid="{00000000-0005-0000-0000-0000B01D0000}"/>
    <cellStyle name="Note 2 2 2 2 14" xfId="7598" xr:uid="{00000000-0005-0000-0000-0000B11D0000}"/>
    <cellStyle name="Note 2 2 2 2 15" xfId="7599" xr:uid="{00000000-0005-0000-0000-0000B21D0000}"/>
    <cellStyle name="Note 2 2 2 2 16" xfId="7600" xr:uid="{00000000-0005-0000-0000-0000B31D0000}"/>
    <cellStyle name="Note 2 2 2 2 17" xfId="7601" xr:uid="{00000000-0005-0000-0000-0000B41D0000}"/>
    <cellStyle name="Note 2 2 2 2 18" xfId="7602" xr:uid="{00000000-0005-0000-0000-0000B51D0000}"/>
    <cellStyle name="Note 2 2 2 2 19" xfId="7603" xr:uid="{00000000-0005-0000-0000-0000B61D0000}"/>
    <cellStyle name="Note 2 2 2 2 2" xfId="7604" xr:uid="{00000000-0005-0000-0000-0000B71D0000}"/>
    <cellStyle name="Note 2 2 2 2 20" xfId="7605" xr:uid="{00000000-0005-0000-0000-0000B81D0000}"/>
    <cellStyle name="Note 2 2 2 2 21" xfId="7606" xr:uid="{00000000-0005-0000-0000-0000B91D0000}"/>
    <cellStyle name="Note 2 2 2 2 22" xfId="7607" xr:uid="{00000000-0005-0000-0000-0000BA1D0000}"/>
    <cellStyle name="Note 2 2 2 2 23" xfId="7608" xr:uid="{00000000-0005-0000-0000-0000BB1D0000}"/>
    <cellStyle name="Note 2 2 2 2 24" xfId="7609" xr:uid="{00000000-0005-0000-0000-0000BC1D0000}"/>
    <cellStyle name="Note 2 2 2 2 25" xfId="7610" xr:uid="{00000000-0005-0000-0000-0000BD1D0000}"/>
    <cellStyle name="Note 2 2 2 2 26" xfId="7611" xr:uid="{00000000-0005-0000-0000-0000BE1D0000}"/>
    <cellStyle name="Note 2 2 2 2 27" xfId="7612" xr:uid="{00000000-0005-0000-0000-0000BF1D0000}"/>
    <cellStyle name="Note 2 2 2 2 28" xfId="7613" xr:uid="{00000000-0005-0000-0000-0000C01D0000}"/>
    <cellStyle name="Note 2 2 2 2 3" xfId="7614" xr:uid="{00000000-0005-0000-0000-0000C11D0000}"/>
    <cellStyle name="Note 2 2 2 2 4" xfId="7615" xr:uid="{00000000-0005-0000-0000-0000C21D0000}"/>
    <cellStyle name="Note 2 2 2 2 5" xfId="7616" xr:uid="{00000000-0005-0000-0000-0000C31D0000}"/>
    <cellStyle name="Note 2 2 2 2 6" xfId="7617" xr:uid="{00000000-0005-0000-0000-0000C41D0000}"/>
    <cellStyle name="Note 2 2 2 2 7" xfId="7618" xr:uid="{00000000-0005-0000-0000-0000C51D0000}"/>
    <cellStyle name="Note 2 2 2 2 8" xfId="7619" xr:uid="{00000000-0005-0000-0000-0000C61D0000}"/>
    <cellStyle name="Note 2 2 2 2 9" xfId="7620" xr:uid="{00000000-0005-0000-0000-0000C71D0000}"/>
    <cellStyle name="Note 2 2 2 20" xfId="7621" xr:uid="{00000000-0005-0000-0000-0000C81D0000}"/>
    <cellStyle name="Note 2 2 2 21" xfId="7622" xr:uid="{00000000-0005-0000-0000-0000C91D0000}"/>
    <cellStyle name="Note 2 2 2 22" xfId="7623" xr:uid="{00000000-0005-0000-0000-0000CA1D0000}"/>
    <cellStyle name="Note 2 2 2 23" xfId="7624" xr:uid="{00000000-0005-0000-0000-0000CB1D0000}"/>
    <cellStyle name="Note 2 2 2 24" xfId="7625" xr:uid="{00000000-0005-0000-0000-0000CC1D0000}"/>
    <cellStyle name="Note 2 2 2 25" xfId="7626" xr:uid="{00000000-0005-0000-0000-0000CD1D0000}"/>
    <cellStyle name="Note 2 2 2 26" xfId="7627" xr:uid="{00000000-0005-0000-0000-0000CE1D0000}"/>
    <cellStyle name="Note 2 2 2 27" xfId="7628" xr:uid="{00000000-0005-0000-0000-0000CF1D0000}"/>
    <cellStyle name="Note 2 2 2 28" xfId="7629" xr:uid="{00000000-0005-0000-0000-0000D01D0000}"/>
    <cellStyle name="Note 2 2 2 29" xfId="7630" xr:uid="{00000000-0005-0000-0000-0000D11D0000}"/>
    <cellStyle name="Note 2 2 2 3" xfId="7631" xr:uid="{00000000-0005-0000-0000-0000D21D0000}"/>
    <cellStyle name="Note 2 2 2 30" xfId="7632" xr:uid="{00000000-0005-0000-0000-0000D31D0000}"/>
    <cellStyle name="Note 2 2 2 31" xfId="7633" xr:uid="{00000000-0005-0000-0000-0000D41D0000}"/>
    <cellStyle name="Note 2 2 2 32" xfId="7634" xr:uid="{00000000-0005-0000-0000-0000D51D0000}"/>
    <cellStyle name="Note 2 2 2 33" xfId="7635" xr:uid="{00000000-0005-0000-0000-0000D61D0000}"/>
    <cellStyle name="Note 2 2 2 34" xfId="7636" xr:uid="{00000000-0005-0000-0000-0000D71D0000}"/>
    <cellStyle name="Note 2 2 2 35" xfId="7637" xr:uid="{00000000-0005-0000-0000-0000D81D0000}"/>
    <cellStyle name="Note 2 2 2 36" xfId="7638" xr:uid="{00000000-0005-0000-0000-0000D91D0000}"/>
    <cellStyle name="Note 2 2 2 37" xfId="7639" xr:uid="{00000000-0005-0000-0000-0000DA1D0000}"/>
    <cellStyle name="Note 2 2 2 38" xfId="7640" xr:uid="{00000000-0005-0000-0000-0000DB1D0000}"/>
    <cellStyle name="Note 2 2 2 39" xfId="7641" xr:uid="{00000000-0005-0000-0000-0000DC1D0000}"/>
    <cellStyle name="Note 2 2 2 4" xfId="7642" xr:uid="{00000000-0005-0000-0000-0000DD1D0000}"/>
    <cellStyle name="Note 2 2 2 40" xfId="7643" xr:uid="{00000000-0005-0000-0000-0000DE1D0000}"/>
    <cellStyle name="Note 2 2 2 41" xfId="7644" xr:uid="{00000000-0005-0000-0000-0000DF1D0000}"/>
    <cellStyle name="Note 2 2 2 42" xfId="7645" xr:uid="{00000000-0005-0000-0000-0000E01D0000}"/>
    <cellStyle name="Note 2 2 2 43" xfId="7646" xr:uid="{00000000-0005-0000-0000-0000E11D0000}"/>
    <cellStyle name="Note 2 2 2 44" xfId="7647" xr:uid="{00000000-0005-0000-0000-0000E21D0000}"/>
    <cellStyle name="Note 2 2 2 45" xfId="7648" xr:uid="{00000000-0005-0000-0000-0000E31D0000}"/>
    <cellStyle name="Note 2 2 2 46" xfId="7649" xr:uid="{00000000-0005-0000-0000-0000E41D0000}"/>
    <cellStyle name="Note 2 2 2 47" xfId="7650" xr:uid="{00000000-0005-0000-0000-0000E51D0000}"/>
    <cellStyle name="Note 2 2 2 48" xfId="7651" xr:uid="{00000000-0005-0000-0000-0000E61D0000}"/>
    <cellStyle name="Note 2 2 2 49" xfId="7652" xr:uid="{00000000-0005-0000-0000-0000E71D0000}"/>
    <cellStyle name="Note 2 2 2 5" xfId="7653" xr:uid="{00000000-0005-0000-0000-0000E81D0000}"/>
    <cellStyle name="Note 2 2 2 50" xfId="7654" xr:uid="{00000000-0005-0000-0000-0000E91D0000}"/>
    <cellStyle name="Note 2 2 2 51" xfId="7655" xr:uid="{00000000-0005-0000-0000-0000EA1D0000}"/>
    <cellStyle name="Note 2 2 2 52" xfId="7656" xr:uid="{00000000-0005-0000-0000-0000EB1D0000}"/>
    <cellStyle name="Note 2 2 2 53" xfId="7657" xr:uid="{00000000-0005-0000-0000-0000EC1D0000}"/>
    <cellStyle name="Note 2 2 2 54" xfId="7658" xr:uid="{00000000-0005-0000-0000-0000ED1D0000}"/>
    <cellStyle name="Note 2 2 2 55" xfId="7659" xr:uid="{00000000-0005-0000-0000-0000EE1D0000}"/>
    <cellStyle name="Note 2 2 2 56" xfId="7660" xr:uid="{00000000-0005-0000-0000-0000EF1D0000}"/>
    <cellStyle name="Note 2 2 2 57" xfId="7661" xr:uid="{00000000-0005-0000-0000-0000F01D0000}"/>
    <cellStyle name="Note 2 2 2 58" xfId="7662" xr:uid="{00000000-0005-0000-0000-0000F11D0000}"/>
    <cellStyle name="Note 2 2 2 59" xfId="7663" xr:uid="{00000000-0005-0000-0000-0000F21D0000}"/>
    <cellStyle name="Note 2 2 2 6" xfId="7664" xr:uid="{00000000-0005-0000-0000-0000F31D0000}"/>
    <cellStyle name="Note 2 2 2 60" xfId="7665" xr:uid="{00000000-0005-0000-0000-0000F41D0000}"/>
    <cellStyle name="Note 2 2 2 61" xfId="7666" xr:uid="{00000000-0005-0000-0000-0000F51D0000}"/>
    <cellStyle name="Note 2 2 2 62" xfId="7667" xr:uid="{00000000-0005-0000-0000-0000F61D0000}"/>
    <cellStyle name="Note 2 2 2 63" xfId="7668" xr:uid="{00000000-0005-0000-0000-0000F71D0000}"/>
    <cellStyle name="Note 2 2 2 64" xfId="7669" xr:uid="{00000000-0005-0000-0000-0000F81D0000}"/>
    <cellStyle name="Note 2 2 2 65" xfId="7670" xr:uid="{00000000-0005-0000-0000-0000F91D0000}"/>
    <cellStyle name="Note 2 2 2 7" xfId="7671" xr:uid="{00000000-0005-0000-0000-0000FA1D0000}"/>
    <cellStyle name="Note 2 2 2 8" xfId="7672" xr:uid="{00000000-0005-0000-0000-0000FB1D0000}"/>
    <cellStyle name="Note 2 2 2 9" xfId="7673" xr:uid="{00000000-0005-0000-0000-0000FC1D0000}"/>
    <cellStyle name="Note 2 2 20" xfId="7674" xr:uid="{00000000-0005-0000-0000-0000FD1D0000}"/>
    <cellStyle name="Note 2 2 21" xfId="7675" xr:uid="{00000000-0005-0000-0000-0000FE1D0000}"/>
    <cellStyle name="Note 2 2 22" xfId="7676" xr:uid="{00000000-0005-0000-0000-0000FF1D0000}"/>
    <cellStyle name="Note 2 2 23" xfId="7677" xr:uid="{00000000-0005-0000-0000-0000001E0000}"/>
    <cellStyle name="Note 2 2 24" xfId="7678" xr:uid="{00000000-0005-0000-0000-0000011E0000}"/>
    <cellStyle name="Note 2 2 25" xfId="7679" xr:uid="{00000000-0005-0000-0000-0000021E0000}"/>
    <cellStyle name="Note 2 2 26" xfId="7680" xr:uid="{00000000-0005-0000-0000-0000031E0000}"/>
    <cellStyle name="Note 2 2 27" xfId="7681" xr:uid="{00000000-0005-0000-0000-0000041E0000}"/>
    <cellStyle name="Note 2 2 28" xfId="7682" xr:uid="{00000000-0005-0000-0000-0000051E0000}"/>
    <cellStyle name="Note 2 2 29" xfId="7683" xr:uid="{00000000-0005-0000-0000-0000061E0000}"/>
    <cellStyle name="Note 2 2 3" xfId="7684" xr:uid="{00000000-0005-0000-0000-0000071E0000}"/>
    <cellStyle name="Note 2 2 30" xfId="7685" xr:uid="{00000000-0005-0000-0000-0000081E0000}"/>
    <cellStyle name="Note 2 2 31" xfId="7686" xr:uid="{00000000-0005-0000-0000-0000091E0000}"/>
    <cellStyle name="Note 2 2 32" xfId="7687" xr:uid="{00000000-0005-0000-0000-00000A1E0000}"/>
    <cellStyle name="Note 2 2 33" xfId="7688" xr:uid="{00000000-0005-0000-0000-00000B1E0000}"/>
    <cellStyle name="Note 2 2 34" xfId="7689" xr:uid="{00000000-0005-0000-0000-00000C1E0000}"/>
    <cellStyle name="Note 2 2 35" xfId="7690" xr:uid="{00000000-0005-0000-0000-00000D1E0000}"/>
    <cellStyle name="Note 2 2 36" xfId="7691" xr:uid="{00000000-0005-0000-0000-00000E1E0000}"/>
    <cellStyle name="Note 2 2 37" xfId="7692" xr:uid="{00000000-0005-0000-0000-00000F1E0000}"/>
    <cellStyle name="Note 2 2 38" xfId="7693" xr:uid="{00000000-0005-0000-0000-0000101E0000}"/>
    <cellStyle name="Note 2 2 39" xfId="7694" xr:uid="{00000000-0005-0000-0000-0000111E0000}"/>
    <cellStyle name="Note 2 2 4" xfId="7695" xr:uid="{00000000-0005-0000-0000-0000121E0000}"/>
    <cellStyle name="Note 2 2 40" xfId="7696" xr:uid="{00000000-0005-0000-0000-0000131E0000}"/>
    <cellStyle name="Note 2 2 41" xfId="7697" xr:uid="{00000000-0005-0000-0000-0000141E0000}"/>
    <cellStyle name="Note 2 2 42" xfId="7698" xr:uid="{00000000-0005-0000-0000-0000151E0000}"/>
    <cellStyle name="Note 2 2 43" xfId="7699" xr:uid="{00000000-0005-0000-0000-0000161E0000}"/>
    <cellStyle name="Note 2 2 44" xfId="7700" xr:uid="{00000000-0005-0000-0000-0000171E0000}"/>
    <cellStyle name="Note 2 2 45" xfId="7701" xr:uid="{00000000-0005-0000-0000-0000181E0000}"/>
    <cellStyle name="Note 2 2 46" xfId="7702" xr:uid="{00000000-0005-0000-0000-0000191E0000}"/>
    <cellStyle name="Note 2 2 47" xfId="7703" xr:uid="{00000000-0005-0000-0000-00001A1E0000}"/>
    <cellStyle name="Note 2 2 48" xfId="7704" xr:uid="{00000000-0005-0000-0000-00001B1E0000}"/>
    <cellStyle name="Note 2 2 49" xfId="7705" xr:uid="{00000000-0005-0000-0000-00001C1E0000}"/>
    <cellStyle name="Note 2 2 5" xfId="7706" xr:uid="{00000000-0005-0000-0000-00001D1E0000}"/>
    <cellStyle name="Note 2 2 50" xfId="7707" xr:uid="{00000000-0005-0000-0000-00001E1E0000}"/>
    <cellStyle name="Note 2 2 51" xfId="7708" xr:uid="{00000000-0005-0000-0000-00001F1E0000}"/>
    <cellStyle name="Note 2 2 52" xfId="7709" xr:uid="{00000000-0005-0000-0000-0000201E0000}"/>
    <cellStyle name="Note 2 2 53" xfId="7710" xr:uid="{00000000-0005-0000-0000-0000211E0000}"/>
    <cellStyle name="Note 2 2 54" xfId="7711" xr:uid="{00000000-0005-0000-0000-0000221E0000}"/>
    <cellStyle name="Note 2 2 55" xfId="7712" xr:uid="{00000000-0005-0000-0000-0000231E0000}"/>
    <cellStyle name="Note 2 2 56" xfId="7713" xr:uid="{00000000-0005-0000-0000-0000241E0000}"/>
    <cellStyle name="Note 2 2 57" xfId="7714" xr:uid="{00000000-0005-0000-0000-0000251E0000}"/>
    <cellStyle name="Note 2 2 58" xfId="7715" xr:uid="{00000000-0005-0000-0000-0000261E0000}"/>
    <cellStyle name="Note 2 2 59" xfId="7716" xr:uid="{00000000-0005-0000-0000-0000271E0000}"/>
    <cellStyle name="Note 2 2 6" xfId="7717" xr:uid="{00000000-0005-0000-0000-0000281E0000}"/>
    <cellStyle name="Note 2 2 60" xfId="7718" xr:uid="{00000000-0005-0000-0000-0000291E0000}"/>
    <cellStyle name="Note 2 2 61" xfId="7719" xr:uid="{00000000-0005-0000-0000-00002A1E0000}"/>
    <cellStyle name="Note 2 2 62" xfId="7720" xr:uid="{00000000-0005-0000-0000-00002B1E0000}"/>
    <cellStyle name="Note 2 2 63" xfId="7721" xr:uid="{00000000-0005-0000-0000-00002C1E0000}"/>
    <cellStyle name="Note 2 2 64" xfId="7722" xr:uid="{00000000-0005-0000-0000-00002D1E0000}"/>
    <cellStyle name="Note 2 2 65" xfId="7723" xr:uid="{00000000-0005-0000-0000-00002E1E0000}"/>
    <cellStyle name="Note 2 2 7" xfId="7724" xr:uid="{00000000-0005-0000-0000-00002F1E0000}"/>
    <cellStyle name="Note 2 2 8" xfId="7725" xr:uid="{00000000-0005-0000-0000-0000301E0000}"/>
    <cellStyle name="Note 2 2 9" xfId="7726" xr:uid="{00000000-0005-0000-0000-0000311E0000}"/>
    <cellStyle name="Note 2 20" xfId="7727" xr:uid="{00000000-0005-0000-0000-0000321E0000}"/>
    <cellStyle name="Note 2 21" xfId="7728" xr:uid="{00000000-0005-0000-0000-0000331E0000}"/>
    <cellStyle name="Note 2 22" xfId="7729" xr:uid="{00000000-0005-0000-0000-0000341E0000}"/>
    <cellStyle name="Note 2 23" xfId="7730" xr:uid="{00000000-0005-0000-0000-0000351E0000}"/>
    <cellStyle name="Note 2 24" xfId="7731" xr:uid="{00000000-0005-0000-0000-0000361E0000}"/>
    <cellStyle name="Note 2 25" xfId="7732" xr:uid="{00000000-0005-0000-0000-0000371E0000}"/>
    <cellStyle name="Note 2 26" xfId="7733" xr:uid="{00000000-0005-0000-0000-0000381E0000}"/>
    <cellStyle name="Note 2 27" xfId="7734" xr:uid="{00000000-0005-0000-0000-0000391E0000}"/>
    <cellStyle name="Note 2 28" xfId="7735" xr:uid="{00000000-0005-0000-0000-00003A1E0000}"/>
    <cellStyle name="Note 2 29" xfId="7736" xr:uid="{00000000-0005-0000-0000-00003B1E0000}"/>
    <cellStyle name="Note 2 3" xfId="7737" xr:uid="{00000000-0005-0000-0000-00003C1E0000}"/>
    <cellStyle name="Note 2 3 2" xfId="7738" xr:uid="{00000000-0005-0000-0000-00003D1E0000}"/>
    <cellStyle name="Note 2 30" xfId="7739" xr:uid="{00000000-0005-0000-0000-00003E1E0000}"/>
    <cellStyle name="Note 2 31" xfId="7740" xr:uid="{00000000-0005-0000-0000-00003F1E0000}"/>
    <cellStyle name="Note 2 32" xfId="7741" xr:uid="{00000000-0005-0000-0000-0000401E0000}"/>
    <cellStyle name="Note 2 33" xfId="7742" xr:uid="{00000000-0005-0000-0000-0000411E0000}"/>
    <cellStyle name="Note 2 34" xfId="7743" xr:uid="{00000000-0005-0000-0000-0000421E0000}"/>
    <cellStyle name="Note 2 35" xfId="7744" xr:uid="{00000000-0005-0000-0000-0000431E0000}"/>
    <cellStyle name="Note 2 36" xfId="7745" xr:uid="{00000000-0005-0000-0000-0000441E0000}"/>
    <cellStyle name="Note 2 37" xfId="7746" xr:uid="{00000000-0005-0000-0000-0000451E0000}"/>
    <cellStyle name="Note 2 38" xfId="7747" xr:uid="{00000000-0005-0000-0000-0000461E0000}"/>
    <cellStyle name="Note 2 39" xfId="7748" xr:uid="{00000000-0005-0000-0000-0000471E0000}"/>
    <cellStyle name="Note 2 4" xfId="7749" xr:uid="{00000000-0005-0000-0000-0000481E0000}"/>
    <cellStyle name="Note 2 4 2" xfId="7750" xr:uid="{00000000-0005-0000-0000-0000491E0000}"/>
    <cellStyle name="Note 2 40" xfId="7751" xr:uid="{00000000-0005-0000-0000-00004A1E0000}"/>
    <cellStyle name="Note 2 41" xfId="7752" xr:uid="{00000000-0005-0000-0000-00004B1E0000}"/>
    <cellStyle name="Note 2 42" xfId="7753" xr:uid="{00000000-0005-0000-0000-00004C1E0000}"/>
    <cellStyle name="Note 2 43" xfId="7754" xr:uid="{00000000-0005-0000-0000-00004D1E0000}"/>
    <cellStyle name="Note 2 44" xfId="7755" xr:uid="{00000000-0005-0000-0000-00004E1E0000}"/>
    <cellStyle name="Note 2 45" xfId="7756" xr:uid="{00000000-0005-0000-0000-00004F1E0000}"/>
    <cellStyle name="Note 2 46" xfId="7757" xr:uid="{00000000-0005-0000-0000-0000501E0000}"/>
    <cellStyle name="Note 2 47" xfId="7758" xr:uid="{00000000-0005-0000-0000-0000511E0000}"/>
    <cellStyle name="Note 2 48" xfId="7759" xr:uid="{00000000-0005-0000-0000-0000521E0000}"/>
    <cellStyle name="Note 2 49" xfId="7760" xr:uid="{00000000-0005-0000-0000-0000531E0000}"/>
    <cellStyle name="Note 2 5" xfId="7761" xr:uid="{00000000-0005-0000-0000-0000541E0000}"/>
    <cellStyle name="Note 2 5 2" xfId="7762" xr:uid="{00000000-0005-0000-0000-0000551E0000}"/>
    <cellStyle name="Note 2 50" xfId="7763" xr:uid="{00000000-0005-0000-0000-0000561E0000}"/>
    <cellStyle name="Note 2 51" xfId="7764" xr:uid="{00000000-0005-0000-0000-0000571E0000}"/>
    <cellStyle name="Note 2 52" xfId="7765" xr:uid="{00000000-0005-0000-0000-0000581E0000}"/>
    <cellStyle name="Note 2 53" xfId="7766" xr:uid="{00000000-0005-0000-0000-0000591E0000}"/>
    <cellStyle name="Note 2 54" xfId="7767" xr:uid="{00000000-0005-0000-0000-00005A1E0000}"/>
    <cellStyle name="Note 2 55" xfId="7768" xr:uid="{00000000-0005-0000-0000-00005B1E0000}"/>
    <cellStyle name="Note 2 56" xfId="7769" xr:uid="{00000000-0005-0000-0000-00005C1E0000}"/>
    <cellStyle name="Note 2 57" xfId="7770" xr:uid="{00000000-0005-0000-0000-00005D1E0000}"/>
    <cellStyle name="Note 2 58" xfId="7771" xr:uid="{00000000-0005-0000-0000-00005E1E0000}"/>
    <cellStyle name="Note 2 59" xfId="7772" xr:uid="{00000000-0005-0000-0000-00005F1E0000}"/>
    <cellStyle name="Note 2 6" xfId="7773" xr:uid="{00000000-0005-0000-0000-0000601E0000}"/>
    <cellStyle name="Note 2 6 2" xfId="7774" xr:uid="{00000000-0005-0000-0000-0000611E0000}"/>
    <cellStyle name="Note 2 60" xfId="7775" xr:uid="{00000000-0005-0000-0000-0000621E0000}"/>
    <cellStyle name="Note 2 61" xfId="7776" xr:uid="{00000000-0005-0000-0000-0000631E0000}"/>
    <cellStyle name="Note 2 62" xfId="7777" xr:uid="{00000000-0005-0000-0000-0000641E0000}"/>
    <cellStyle name="Note 2 63" xfId="7778" xr:uid="{00000000-0005-0000-0000-0000651E0000}"/>
    <cellStyle name="Note 2 64" xfId="7779" xr:uid="{00000000-0005-0000-0000-0000661E0000}"/>
    <cellStyle name="Note 2 65" xfId="7780" xr:uid="{00000000-0005-0000-0000-0000671E0000}"/>
    <cellStyle name="Note 2 66" xfId="7781" xr:uid="{00000000-0005-0000-0000-0000681E0000}"/>
    <cellStyle name="Note 2 67" xfId="7782" xr:uid="{00000000-0005-0000-0000-0000691E0000}"/>
    <cellStyle name="Note 2 68" xfId="7783" xr:uid="{00000000-0005-0000-0000-00006A1E0000}"/>
    <cellStyle name="Note 2 69" xfId="7784" xr:uid="{00000000-0005-0000-0000-00006B1E0000}"/>
    <cellStyle name="Note 2 7" xfId="7785" xr:uid="{00000000-0005-0000-0000-00006C1E0000}"/>
    <cellStyle name="Note 2 7 2" xfId="7786" xr:uid="{00000000-0005-0000-0000-00006D1E0000}"/>
    <cellStyle name="Note 2 70" xfId="7787" xr:uid="{00000000-0005-0000-0000-00006E1E0000}"/>
    <cellStyle name="Note 2 71" xfId="7788" xr:uid="{00000000-0005-0000-0000-00006F1E0000}"/>
    <cellStyle name="Note 2 72" xfId="7789" xr:uid="{00000000-0005-0000-0000-0000701E0000}"/>
    <cellStyle name="Note 2 73" xfId="7790" xr:uid="{00000000-0005-0000-0000-0000711E0000}"/>
    <cellStyle name="Note 2 74" xfId="7791" xr:uid="{00000000-0005-0000-0000-0000721E0000}"/>
    <cellStyle name="Note 2 75" xfId="7792" xr:uid="{00000000-0005-0000-0000-0000731E0000}"/>
    <cellStyle name="Note 2 8" xfId="7793" xr:uid="{00000000-0005-0000-0000-0000741E0000}"/>
    <cellStyle name="Note 2 8 2" xfId="7794" xr:uid="{00000000-0005-0000-0000-0000751E0000}"/>
    <cellStyle name="Note 2 9" xfId="7795" xr:uid="{00000000-0005-0000-0000-0000761E0000}"/>
    <cellStyle name="Note 2 9 2" xfId="7796" xr:uid="{00000000-0005-0000-0000-0000771E0000}"/>
    <cellStyle name="Note 3" xfId="7797" xr:uid="{00000000-0005-0000-0000-0000781E0000}"/>
    <cellStyle name="Note 3 10" xfId="7798" xr:uid="{00000000-0005-0000-0000-0000791E0000}"/>
    <cellStyle name="Note 3 11" xfId="7799" xr:uid="{00000000-0005-0000-0000-00007A1E0000}"/>
    <cellStyle name="Note 3 12" xfId="7800" xr:uid="{00000000-0005-0000-0000-00007B1E0000}"/>
    <cellStyle name="Note 3 13" xfId="7801" xr:uid="{00000000-0005-0000-0000-00007C1E0000}"/>
    <cellStyle name="Note 3 14" xfId="7802" xr:uid="{00000000-0005-0000-0000-00007D1E0000}"/>
    <cellStyle name="Note 3 15" xfId="7803" xr:uid="{00000000-0005-0000-0000-00007E1E0000}"/>
    <cellStyle name="Note 3 16" xfId="7804" xr:uid="{00000000-0005-0000-0000-00007F1E0000}"/>
    <cellStyle name="Note 3 17" xfId="7805" xr:uid="{00000000-0005-0000-0000-0000801E0000}"/>
    <cellStyle name="Note 3 18" xfId="7806" xr:uid="{00000000-0005-0000-0000-0000811E0000}"/>
    <cellStyle name="Note 3 19" xfId="7807" xr:uid="{00000000-0005-0000-0000-0000821E0000}"/>
    <cellStyle name="Note 3 2" xfId="7808" xr:uid="{00000000-0005-0000-0000-0000831E0000}"/>
    <cellStyle name="Note 3 2 10" xfId="7809" xr:uid="{00000000-0005-0000-0000-0000841E0000}"/>
    <cellStyle name="Note 3 2 11" xfId="7810" xr:uid="{00000000-0005-0000-0000-0000851E0000}"/>
    <cellStyle name="Note 3 2 12" xfId="7811" xr:uid="{00000000-0005-0000-0000-0000861E0000}"/>
    <cellStyle name="Note 3 2 13" xfId="7812" xr:uid="{00000000-0005-0000-0000-0000871E0000}"/>
    <cellStyle name="Note 3 2 14" xfId="7813" xr:uid="{00000000-0005-0000-0000-0000881E0000}"/>
    <cellStyle name="Note 3 2 15" xfId="7814" xr:uid="{00000000-0005-0000-0000-0000891E0000}"/>
    <cellStyle name="Note 3 2 16" xfId="7815" xr:uid="{00000000-0005-0000-0000-00008A1E0000}"/>
    <cellStyle name="Note 3 2 17" xfId="7816" xr:uid="{00000000-0005-0000-0000-00008B1E0000}"/>
    <cellStyle name="Note 3 2 18" xfId="7817" xr:uid="{00000000-0005-0000-0000-00008C1E0000}"/>
    <cellStyle name="Note 3 2 19" xfId="7818" xr:uid="{00000000-0005-0000-0000-00008D1E0000}"/>
    <cellStyle name="Note 3 2 2" xfId="7819" xr:uid="{00000000-0005-0000-0000-00008E1E0000}"/>
    <cellStyle name="Note 3 2 2 10" xfId="7820" xr:uid="{00000000-0005-0000-0000-00008F1E0000}"/>
    <cellStyle name="Note 3 2 2 11" xfId="7821" xr:uid="{00000000-0005-0000-0000-0000901E0000}"/>
    <cellStyle name="Note 3 2 2 12" xfId="7822" xr:uid="{00000000-0005-0000-0000-0000911E0000}"/>
    <cellStyle name="Note 3 2 2 13" xfId="7823" xr:uid="{00000000-0005-0000-0000-0000921E0000}"/>
    <cellStyle name="Note 3 2 2 14" xfId="7824" xr:uid="{00000000-0005-0000-0000-0000931E0000}"/>
    <cellStyle name="Note 3 2 2 15" xfId="7825" xr:uid="{00000000-0005-0000-0000-0000941E0000}"/>
    <cellStyle name="Note 3 2 2 16" xfId="7826" xr:uid="{00000000-0005-0000-0000-0000951E0000}"/>
    <cellStyle name="Note 3 2 2 17" xfId="7827" xr:uid="{00000000-0005-0000-0000-0000961E0000}"/>
    <cellStyle name="Note 3 2 2 18" xfId="7828" xr:uid="{00000000-0005-0000-0000-0000971E0000}"/>
    <cellStyle name="Note 3 2 2 19" xfId="7829" xr:uid="{00000000-0005-0000-0000-0000981E0000}"/>
    <cellStyle name="Note 3 2 2 2" xfId="7830" xr:uid="{00000000-0005-0000-0000-0000991E0000}"/>
    <cellStyle name="Note 3 2 2 2 10" xfId="7831" xr:uid="{00000000-0005-0000-0000-00009A1E0000}"/>
    <cellStyle name="Note 3 2 2 2 11" xfId="7832" xr:uid="{00000000-0005-0000-0000-00009B1E0000}"/>
    <cellStyle name="Note 3 2 2 2 12" xfId="7833" xr:uid="{00000000-0005-0000-0000-00009C1E0000}"/>
    <cellStyle name="Note 3 2 2 2 13" xfId="7834" xr:uid="{00000000-0005-0000-0000-00009D1E0000}"/>
    <cellStyle name="Note 3 2 2 2 14" xfId="7835" xr:uid="{00000000-0005-0000-0000-00009E1E0000}"/>
    <cellStyle name="Note 3 2 2 2 15" xfId="7836" xr:uid="{00000000-0005-0000-0000-00009F1E0000}"/>
    <cellStyle name="Note 3 2 2 2 16" xfId="7837" xr:uid="{00000000-0005-0000-0000-0000A01E0000}"/>
    <cellStyle name="Note 3 2 2 2 17" xfId="7838" xr:uid="{00000000-0005-0000-0000-0000A11E0000}"/>
    <cellStyle name="Note 3 2 2 2 18" xfId="7839" xr:uid="{00000000-0005-0000-0000-0000A21E0000}"/>
    <cellStyle name="Note 3 2 2 2 19" xfId="7840" xr:uid="{00000000-0005-0000-0000-0000A31E0000}"/>
    <cellStyle name="Note 3 2 2 2 2" xfId="7841" xr:uid="{00000000-0005-0000-0000-0000A41E0000}"/>
    <cellStyle name="Note 3 2 2 2 20" xfId="7842" xr:uid="{00000000-0005-0000-0000-0000A51E0000}"/>
    <cellStyle name="Note 3 2 2 2 21" xfId="7843" xr:uid="{00000000-0005-0000-0000-0000A61E0000}"/>
    <cellStyle name="Note 3 2 2 2 22" xfId="7844" xr:uid="{00000000-0005-0000-0000-0000A71E0000}"/>
    <cellStyle name="Note 3 2 2 2 23" xfId="7845" xr:uid="{00000000-0005-0000-0000-0000A81E0000}"/>
    <cellStyle name="Note 3 2 2 2 24" xfId="7846" xr:uid="{00000000-0005-0000-0000-0000A91E0000}"/>
    <cellStyle name="Note 3 2 2 2 25" xfId="7847" xr:uid="{00000000-0005-0000-0000-0000AA1E0000}"/>
    <cellStyle name="Note 3 2 2 2 26" xfId="7848" xr:uid="{00000000-0005-0000-0000-0000AB1E0000}"/>
    <cellStyle name="Note 3 2 2 2 27" xfId="7849" xr:uid="{00000000-0005-0000-0000-0000AC1E0000}"/>
    <cellStyle name="Note 3 2 2 2 28" xfId="7850" xr:uid="{00000000-0005-0000-0000-0000AD1E0000}"/>
    <cellStyle name="Note 3 2 2 2 3" xfId="7851" xr:uid="{00000000-0005-0000-0000-0000AE1E0000}"/>
    <cellStyle name="Note 3 2 2 2 4" xfId="7852" xr:uid="{00000000-0005-0000-0000-0000AF1E0000}"/>
    <cellStyle name="Note 3 2 2 2 5" xfId="7853" xr:uid="{00000000-0005-0000-0000-0000B01E0000}"/>
    <cellStyle name="Note 3 2 2 2 6" xfId="7854" xr:uid="{00000000-0005-0000-0000-0000B11E0000}"/>
    <cellStyle name="Note 3 2 2 2 7" xfId="7855" xr:uid="{00000000-0005-0000-0000-0000B21E0000}"/>
    <cellStyle name="Note 3 2 2 2 8" xfId="7856" xr:uid="{00000000-0005-0000-0000-0000B31E0000}"/>
    <cellStyle name="Note 3 2 2 2 9" xfId="7857" xr:uid="{00000000-0005-0000-0000-0000B41E0000}"/>
    <cellStyle name="Note 3 2 2 20" xfId="7858" xr:uid="{00000000-0005-0000-0000-0000B51E0000}"/>
    <cellStyle name="Note 3 2 2 21" xfId="7859" xr:uid="{00000000-0005-0000-0000-0000B61E0000}"/>
    <cellStyle name="Note 3 2 2 22" xfId="7860" xr:uid="{00000000-0005-0000-0000-0000B71E0000}"/>
    <cellStyle name="Note 3 2 2 23" xfId="7861" xr:uid="{00000000-0005-0000-0000-0000B81E0000}"/>
    <cellStyle name="Note 3 2 2 24" xfId="7862" xr:uid="{00000000-0005-0000-0000-0000B91E0000}"/>
    <cellStyle name="Note 3 2 2 25" xfId="7863" xr:uid="{00000000-0005-0000-0000-0000BA1E0000}"/>
    <cellStyle name="Note 3 2 2 26" xfId="7864" xr:uid="{00000000-0005-0000-0000-0000BB1E0000}"/>
    <cellStyle name="Note 3 2 2 27" xfId="7865" xr:uid="{00000000-0005-0000-0000-0000BC1E0000}"/>
    <cellStyle name="Note 3 2 2 28" xfId="7866" xr:uid="{00000000-0005-0000-0000-0000BD1E0000}"/>
    <cellStyle name="Note 3 2 2 29" xfId="7867" xr:uid="{00000000-0005-0000-0000-0000BE1E0000}"/>
    <cellStyle name="Note 3 2 2 3" xfId="7868" xr:uid="{00000000-0005-0000-0000-0000BF1E0000}"/>
    <cellStyle name="Note 3 2 2 30" xfId="7869" xr:uid="{00000000-0005-0000-0000-0000C01E0000}"/>
    <cellStyle name="Note 3 2 2 31" xfId="7870" xr:uid="{00000000-0005-0000-0000-0000C11E0000}"/>
    <cellStyle name="Note 3 2 2 32" xfId="7871" xr:uid="{00000000-0005-0000-0000-0000C21E0000}"/>
    <cellStyle name="Note 3 2 2 33" xfId="7872" xr:uid="{00000000-0005-0000-0000-0000C31E0000}"/>
    <cellStyle name="Note 3 2 2 34" xfId="7873" xr:uid="{00000000-0005-0000-0000-0000C41E0000}"/>
    <cellStyle name="Note 3 2 2 35" xfId="7874" xr:uid="{00000000-0005-0000-0000-0000C51E0000}"/>
    <cellStyle name="Note 3 2 2 36" xfId="7875" xr:uid="{00000000-0005-0000-0000-0000C61E0000}"/>
    <cellStyle name="Note 3 2 2 37" xfId="7876" xr:uid="{00000000-0005-0000-0000-0000C71E0000}"/>
    <cellStyle name="Note 3 2 2 38" xfId="7877" xr:uid="{00000000-0005-0000-0000-0000C81E0000}"/>
    <cellStyle name="Note 3 2 2 39" xfId="7878" xr:uid="{00000000-0005-0000-0000-0000C91E0000}"/>
    <cellStyle name="Note 3 2 2 4" xfId="7879" xr:uid="{00000000-0005-0000-0000-0000CA1E0000}"/>
    <cellStyle name="Note 3 2 2 40" xfId="7880" xr:uid="{00000000-0005-0000-0000-0000CB1E0000}"/>
    <cellStyle name="Note 3 2 2 41" xfId="7881" xr:uid="{00000000-0005-0000-0000-0000CC1E0000}"/>
    <cellStyle name="Note 3 2 2 42" xfId="7882" xr:uid="{00000000-0005-0000-0000-0000CD1E0000}"/>
    <cellStyle name="Note 3 2 2 43" xfId="7883" xr:uid="{00000000-0005-0000-0000-0000CE1E0000}"/>
    <cellStyle name="Note 3 2 2 44" xfId="7884" xr:uid="{00000000-0005-0000-0000-0000CF1E0000}"/>
    <cellStyle name="Note 3 2 2 45" xfId="7885" xr:uid="{00000000-0005-0000-0000-0000D01E0000}"/>
    <cellStyle name="Note 3 2 2 46" xfId="7886" xr:uid="{00000000-0005-0000-0000-0000D11E0000}"/>
    <cellStyle name="Note 3 2 2 47" xfId="7887" xr:uid="{00000000-0005-0000-0000-0000D21E0000}"/>
    <cellStyle name="Note 3 2 2 48" xfId="7888" xr:uid="{00000000-0005-0000-0000-0000D31E0000}"/>
    <cellStyle name="Note 3 2 2 49" xfId="7889" xr:uid="{00000000-0005-0000-0000-0000D41E0000}"/>
    <cellStyle name="Note 3 2 2 5" xfId="7890" xr:uid="{00000000-0005-0000-0000-0000D51E0000}"/>
    <cellStyle name="Note 3 2 2 50" xfId="7891" xr:uid="{00000000-0005-0000-0000-0000D61E0000}"/>
    <cellStyle name="Note 3 2 2 51" xfId="7892" xr:uid="{00000000-0005-0000-0000-0000D71E0000}"/>
    <cellStyle name="Note 3 2 2 52" xfId="7893" xr:uid="{00000000-0005-0000-0000-0000D81E0000}"/>
    <cellStyle name="Note 3 2 2 53" xfId="7894" xr:uid="{00000000-0005-0000-0000-0000D91E0000}"/>
    <cellStyle name="Note 3 2 2 54" xfId="7895" xr:uid="{00000000-0005-0000-0000-0000DA1E0000}"/>
    <cellStyle name="Note 3 2 2 55" xfId="7896" xr:uid="{00000000-0005-0000-0000-0000DB1E0000}"/>
    <cellStyle name="Note 3 2 2 56" xfId="7897" xr:uid="{00000000-0005-0000-0000-0000DC1E0000}"/>
    <cellStyle name="Note 3 2 2 57" xfId="7898" xr:uid="{00000000-0005-0000-0000-0000DD1E0000}"/>
    <cellStyle name="Note 3 2 2 58" xfId="7899" xr:uid="{00000000-0005-0000-0000-0000DE1E0000}"/>
    <cellStyle name="Note 3 2 2 59" xfId="7900" xr:uid="{00000000-0005-0000-0000-0000DF1E0000}"/>
    <cellStyle name="Note 3 2 2 6" xfId="7901" xr:uid="{00000000-0005-0000-0000-0000E01E0000}"/>
    <cellStyle name="Note 3 2 2 60" xfId="7902" xr:uid="{00000000-0005-0000-0000-0000E11E0000}"/>
    <cellStyle name="Note 3 2 2 61" xfId="7903" xr:uid="{00000000-0005-0000-0000-0000E21E0000}"/>
    <cellStyle name="Note 3 2 2 62" xfId="7904" xr:uid="{00000000-0005-0000-0000-0000E31E0000}"/>
    <cellStyle name="Note 3 2 2 63" xfId="7905" xr:uid="{00000000-0005-0000-0000-0000E41E0000}"/>
    <cellStyle name="Note 3 2 2 64" xfId="7906" xr:uid="{00000000-0005-0000-0000-0000E51E0000}"/>
    <cellStyle name="Note 3 2 2 65" xfId="7907" xr:uid="{00000000-0005-0000-0000-0000E61E0000}"/>
    <cellStyle name="Note 3 2 2 7" xfId="7908" xr:uid="{00000000-0005-0000-0000-0000E71E0000}"/>
    <cellStyle name="Note 3 2 2 8" xfId="7909" xr:uid="{00000000-0005-0000-0000-0000E81E0000}"/>
    <cellStyle name="Note 3 2 2 9" xfId="7910" xr:uid="{00000000-0005-0000-0000-0000E91E0000}"/>
    <cellStyle name="Note 3 2 20" xfId="7911" xr:uid="{00000000-0005-0000-0000-0000EA1E0000}"/>
    <cellStyle name="Note 3 2 21" xfId="7912" xr:uid="{00000000-0005-0000-0000-0000EB1E0000}"/>
    <cellStyle name="Note 3 2 22" xfId="7913" xr:uid="{00000000-0005-0000-0000-0000EC1E0000}"/>
    <cellStyle name="Note 3 2 23" xfId="7914" xr:uid="{00000000-0005-0000-0000-0000ED1E0000}"/>
    <cellStyle name="Note 3 2 24" xfId="7915" xr:uid="{00000000-0005-0000-0000-0000EE1E0000}"/>
    <cellStyle name="Note 3 2 25" xfId="7916" xr:uid="{00000000-0005-0000-0000-0000EF1E0000}"/>
    <cellStyle name="Note 3 2 26" xfId="7917" xr:uid="{00000000-0005-0000-0000-0000F01E0000}"/>
    <cellStyle name="Note 3 2 27" xfId="7918" xr:uid="{00000000-0005-0000-0000-0000F11E0000}"/>
    <cellStyle name="Note 3 2 28" xfId="7919" xr:uid="{00000000-0005-0000-0000-0000F21E0000}"/>
    <cellStyle name="Note 3 2 29" xfId="7920" xr:uid="{00000000-0005-0000-0000-0000F31E0000}"/>
    <cellStyle name="Note 3 2 3" xfId="7921" xr:uid="{00000000-0005-0000-0000-0000F41E0000}"/>
    <cellStyle name="Note 3 2 30" xfId="7922" xr:uid="{00000000-0005-0000-0000-0000F51E0000}"/>
    <cellStyle name="Note 3 2 31" xfId="7923" xr:uid="{00000000-0005-0000-0000-0000F61E0000}"/>
    <cellStyle name="Note 3 2 32" xfId="7924" xr:uid="{00000000-0005-0000-0000-0000F71E0000}"/>
    <cellStyle name="Note 3 2 33" xfId="7925" xr:uid="{00000000-0005-0000-0000-0000F81E0000}"/>
    <cellStyle name="Note 3 2 34" xfId="7926" xr:uid="{00000000-0005-0000-0000-0000F91E0000}"/>
    <cellStyle name="Note 3 2 35" xfId="7927" xr:uid="{00000000-0005-0000-0000-0000FA1E0000}"/>
    <cellStyle name="Note 3 2 36" xfId="7928" xr:uid="{00000000-0005-0000-0000-0000FB1E0000}"/>
    <cellStyle name="Note 3 2 37" xfId="7929" xr:uid="{00000000-0005-0000-0000-0000FC1E0000}"/>
    <cellStyle name="Note 3 2 38" xfId="7930" xr:uid="{00000000-0005-0000-0000-0000FD1E0000}"/>
    <cellStyle name="Note 3 2 39" xfId="7931" xr:uid="{00000000-0005-0000-0000-0000FE1E0000}"/>
    <cellStyle name="Note 3 2 4" xfId="7932" xr:uid="{00000000-0005-0000-0000-0000FF1E0000}"/>
    <cellStyle name="Note 3 2 40" xfId="7933" xr:uid="{00000000-0005-0000-0000-0000001F0000}"/>
    <cellStyle name="Note 3 2 41" xfId="7934" xr:uid="{00000000-0005-0000-0000-0000011F0000}"/>
    <cellStyle name="Note 3 2 42" xfId="7935" xr:uid="{00000000-0005-0000-0000-0000021F0000}"/>
    <cellStyle name="Note 3 2 43" xfId="7936" xr:uid="{00000000-0005-0000-0000-0000031F0000}"/>
    <cellStyle name="Note 3 2 44" xfId="7937" xr:uid="{00000000-0005-0000-0000-0000041F0000}"/>
    <cellStyle name="Note 3 2 45" xfId="7938" xr:uid="{00000000-0005-0000-0000-0000051F0000}"/>
    <cellStyle name="Note 3 2 46" xfId="7939" xr:uid="{00000000-0005-0000-0000-0000061F0000}"/>
    <cellStyle name="Note 3 2 47" xfId="7940" xr:uid="{00000000-0005-0000-0000-0000071F0000}"/>
    <cellStyle name="Note 3 2 48" xfId="7941" xr:uid="{00000000-0005-0000-0000-0000081F0000}"/>
    <cellStyle name="Note 3 2 49" xfId="7942" xr:uid="{00000000-0005-0000-0000-0000091F0000}"/>
    <cellStyle name="Note 3 2 5" xfId="7943" xr:uid="{00000000-0005-0000-0000-00000A1F0000}"/>
    <cellStyle name="Note 3 2 50" xfId="7944" xr:uid="{00000000-0005-0000-0000-00000B1F0000}"/>
    <cellStyle name="Note 3 2 51" xfId="7945" xr:uid="{00000000-0005-0000-0000-00000C1F0000}"/>
    <cellStyle name="Note 3 2 52" xfId="7946" xr:uid="{00000000-0005-0000-0000-00000D1F0000}"/>
    <cellStyle name="Note 3 2 53" xfId="7947" xr:uid="{00000000-0005-0000-0000-00000E1F0000}"/>
    <cellStyle name="Note 3 2 54" xfId="7948" xr:uid="{00000000-0005-0000-0000-00000F1F0000}"/>
    <cellStyle name="Note 3 2 55" xfId="7949" xr:uid="{00000000-0005-0000-0000-0000101F0000}"/>
    <cellStyle name="Note 3 2 56" xfId="7950" xr:uid="{00000000-0005-0000-0000-0000111F0000}"/>
    <cellStyle name="Note 3 2 57" xfId="7951" xr:uid="{00000000-0005-0000-0000-0000121F0000}"/>
    <cellStyle name="Note 3 2 58" xfId="7952" xr:uid="{00000000-0005-0000-0000-0000131F0000}"/>
    <cellStyle name="Note 3 2 59" xfId="7953" xr:uid="{00000000-0005-0000-0000-0000141F0000}"/>
    <cellStyle name="Note 3 2 6" xfId="7954" xr:uid="{00000000-0005-0000-0000-0000151F0000}"/>
    <cellStyle name="Note 3 2 60" xfId="7955" xr:uid="{00000000-0005-0000-0000-0000161F0000}"/>
    <cellStyle name="Note 3 2 61" xfId="7956" xr:uid="{00000000-0005-0000-0000-0000171F0000}"/>
    <cellStyle name="Note 3 2 62" xfId="7957" xr:uid="{00000000-0005-0000-0000-0000181F0000}"/>
    <cellStyle name="Note 3 2 63" xfId="7958" xr:uid="{00000000-0005-0000-0000-0000191F0000}"/>
    <cellStyle name="Note 3 2 64" xfId="7959" xr:uid="{00000000-0005-0000-0000-00001A1F0000}"/>
    <cellStyle name="Note 3 2 65" xfId="7960" xr:uid="{00000000-0005-0000-0000-00001B1F0000}"/>
    <cellStyle name="Note 3 2 7" xfId="7961" xr:uid="{00000000-0005-0000-0000-00001C1F0000}"/>
    <cellStyle name="Note 3 2 8" xfId="7962" xr:uid="{00000000-0005-0000-0000-00001D1F0000}"/>
    <cellStyle name="Note 3 2 9" xfId="7963" xr:uid="{00000000-0005-0000-0000-00001E1F0000}"/>
    <cellStyle name="Note 3 20" xfId="7964" xr:uid="{00000000-0005-0000-0000-00001F1F0000}"/>
    <cellStyle name="Note 3 21" xfId="7965" xr:uid="{00000000-0005-0000-0000-0000201F0000}"/>
    <cellStyle name="Note 3 22" xfId="7966" xr:uid="{00000000-0005-0000-0000-0000211F0000}"/>
    <cellStyle name="Note 3 23" xfId="7967" xr:uid="{00000000-0005-0000-0000-0000221F0000}"/>
    <cellStyle name="Note 3 24" xfId="7968" xr:uid="{00000000-0005-0000-0000-0000231F0000}"/>
    <cellStyle name="Note 3 25" xfId="7969" xr:uid="{00000000-0005-0000-0000-0000241F0000}"/>
    <cellStyle name="Note 3 26" xfId="7970" xr:uid="{00000000-0005-0000-0000-0000251F0000}"/>
    <cellStyle name="Note 3 27" xfId="7971" xr:uid="{00000000-0005-0000-0000-0000261F0000}"/>
    <cellStyle name="Note 3 28" xfId="7972" xr:uid="{00000000-0005-0000-0000-0000271F0000}"/>
    <cellStyle name="Note 3 29" xfId="7973" xr:uid="{00000000-0005-0000-0000-0000281F0000}"/>
    <cellStyle name="Note 3 3" xfId="7974" xr:uid="{00000000-0005-0000-0000-0000291F0000}"/>
    <cellStyle name="Note 3 3 2" xfId="7975" xr:uid="{00000000-0005-0000-0000-00002A1F0000}"/>
    <cellStyle name="Note 3 30" xfId="7976" xr:uid="{00000000-0005-0000-0000-00002B1F0000}"/>
    <cellStyle name="Note 3 31" xfId="7977" xr:uid="{00000000-0005-0000-0000-00002C1F0000}"/>
    <cellStyle name="Note 3 32" xfId="7978" xr:uid="{00000000-0005-0000-0000-00002D1F0000}"/>
    <cellStyle name="Note 3 33" xfId="7979" xr:uid="{00000000-0005-0000-0000-00002E1F0000}"/>
    <cellStyle name="Note 3 34" xfId="7980" xr:uid="{00000000-0005-0000-0000-00002F1F0000}"/>
    <cellStyle name="Note 3 35" xfId="7981" xr:uid="{00000000-0005-0000-0000-0000301F0000}"/>
    <cellStyle name="Note 3 36" xfId="7982" xr:uid="{00000000-0005-0000-0000-0000311F0000}"/>
    <cellStyle name="Note 3 37" xfId="7983" xr:uid="{00000000-0005-0000-0000-0000321F0000}"/>
    <cellStyle name="Note 3 38" xfId="7984" xr:uid="{00000000-0005-0000-0000-0000331F0000}"/>
    <cellStyle name="Note 3 39" xfId="7985" xr:uid="{00000000-0005-0000-0000-0000341F0000}"/>
    <cellStyle name="Note 3 4" xfId="7986" xr:uid="{00000000-0005-0000-0000-0000351F0000}"/>
    <cellStyle name="Note 3 4 2" xfId="7987" xr:uid="{00000000-0005-0000-0000-0000361F0000}"/>
    <cellStyle name="Note 3 40" xfId="7988" xr:uid="{00000000-0005-0000-0000-0000371F0000}"/>
    <cellStyle name="Note 3 41" xfId="7989" xr:uid="{00000000-0005-0000-0000-0000381F0000}"/>
    <cellStyle name="Note 3 42" xfId="7990" xr:uid="{00000000-0005-0000-0000-0000391F0000}"/>
    <cellStyle name="Note 3 43" xfId="7991" xr:uid="{00000000-0005-0000-0000-00003A1F0000}"/>
    <cellStyle name="Note 3 44" xfId="7992" xr:uid="{00000000-0005-0000-0000-00003B1F0000}"/>
    <cellStyle name="Note 3 45" xfId="7993" xr:uid="{00000000-0005-0000-0000-00003C1F0000}"/>
    <cellStyle name="Note 3 46" xfId="7994" xr:uid="{00000000-0005-0000-0000-00003D1F0000}"/>
    <cellStyle name="Note 3 47" xfId="7995" xr:uid="{00000000-0005-0000-0000-00003E1F0000}"/>
    <cellStyle name="Note 3 48" xfId="7996" xr:uid="{00000000-0005-0000-0000-00003F1F0000}"/>
    <cellStyle name="Note 3 49" xfId="7997" xr:uid="{00000000-0005-0000-0000-0000401F0000}"/>
    <cellStyle name="Note 3 5" xfId="7998" xr:uid="{00000000-0005-0000-0000-0000411F0000}"/>
    <cellStyle name="Note 3 5 2" xfId="7999" xr:uid="{00000000-0005-0000-0000-0000421F0000}"/>
    <cellStyle name="Note 3 50" xfId="8000" xr:uid="{00000000-0005-0000-0000-0000431F0000}"/>
    <cellStyle name="Note 3 51" xfId="8001" xr:uid="{00000000-0005-0000-0000-0000441F0000}"/>
    <cellStyle name="Note 3 52" xfId="8002" xr:uid="{00000000-0005-0000-0000-0000451F0000}"/>
    <cellStyle name="Note 3 53" xfId="8003" xr:uid="{00000000-0005-0000-0000-0000461F0000}"/>
    <cellStyle name="Note 3 54" xfId="8004" xr:uid="{00000000-0005-0000-0000-0000471F0000}"/>
    <cellStyle name="Note 3 55" xfId="8005" xr:uid="{00000000-0005-0000-0000-0000481F0000}"/>
    <cellStyle name="Note 3 56" xfId="8006" xr:uid="{00000000-0005-0000-0000-0000491F0000}"/>
    <cellStyle name="Note 3 57" xfId="8007" xr:uid="{00000000-0005-0000-0000-00004A1F0000}"/>
    <cellStyle name="Note 3 58" xfId="8008" xr:uid="{00000000-0005-0000-0000-00004B1F0000}"/>
    <cellStyle name="Note 3 59" xfId="8009" xr:uid="{00000000-0005-0000-0000-00004C1F0000}"/>
    <cellStyle name="Note 3 6" xfId="8010" xr:uid="{00000000-0005-0000-0000-00004D1F0000}"/>
    <cellStyle name="Note 3 6 2" xfId="8011" xr:uid="{00000000-0005-0000-0000-00004E1F0000}"/>
    <cellStyle name="Note 3 60" xfId="8012" xr:uid="{00000000-0005-0000-0000-00004F1F0000}"/>
    <cellStyle name="Note 3 61" xfId="8013" xr:uid="{00000000-0005-0000-0000-0000501F0000}"/>
    <cellStyle name="Note 3 62" xfId="8014" xr:uid="{00000000-0005-0000-0000-0000511F0000}"/>
    <cellStyle name="Note 3 63" xfId="8015" xr:uid="{00000000-0005-0000-0000-0000521F0000}"/>
    <cellStyle name="Note 3 64" xfId="8016" xr:uid="{00000000-0005-0000-0000-0000531F0000}"/>
    <cellStyle name="Note 3 65" xfId="8017" xr:uid="{00000000-0005-0000-0000-0000541F0000}"/>
    <cellStyle name="Note 3 66" xfId="8018" xr:uid="{00000000-0005-0000-0000-0000551F0000}"/>
    <cellStyle name="Note 3 67" xfId="8019" xr:uid="{00000000-0005-0000-0000-0000561F0000}"/>
    <cellStyle name="Note 3 68" xfId="8020" xr:uid="{00000000-0005-0000-0000-0000571F0000}"/>
    <cellStyle name="Note 3 69" xfId="8021" xr:uid="{00000000-0005-0000-0000-0000581F0000}"/>
    <cellStyle name="Note 3 7" xfId="8022" xr:uid="{00000000-0005-0000-0000-0000591F0000}"/>
    <cellStyle name="Note 3 7 2" xfId="8023" xr:uid="{00000000-0005-0000-0000-00005A1F0000}"/>
    <cellStyle name="Note 3 70" xfId="8024" xr:uid="{00000000-0005-0000-0000-00005B1F0000}"/>
    <cellStyle name="Note 3 71" xfId="8025" xr:uid="{00000000-0005-0000-0000-00005C1F0000}"/>
    <cellStyle name="Note 3 72" xfId="8026" xr:uid="{00000000-0005-0000-0000-00005D1F0000}"/>
    <cellStyle name="Note 3 73" xfId="8027" xr:uid="{00000000-0005-0000-0000-00005E1F0000}"/>
    <cellStyle name="Note 3 74" xfId="8028" xr:uid="{00000000-0005-0000-0000-00005F1F0000}"/>
    <cellStyle name="Note 3 75" xfId="8029" xr:uid="{00000000-0005-0000-0000-0000601F0000}"/>
    <cellStyle name="Note 3 8" xfId="8030" xr:uid="{00000000-0005-0000-0000-0000611F0000}"/>
    <cellStyle name="Note 3 8 2" xfId="8031" xr:uid="{00000000-0005-0000-0000-0000621F0000}"/>
    <cellStyle name="Note 3 9" xfId="8032" xr:uid="{00000000-0005-0000-0000-0000631F0000}"/>
    <cellStyle name="Note 3 9 2" xfId="8033" xr:uid="{00000000-0005-0000-0000-0000641F0000}"/>
    <cellStyle name="Note 4" xfId="8034" xr:uid="{00000000-0005-0000-0000-0000651F0000}"/>
    <cellStyle name="Note 4 10" xfId="8035" xr:uid="{00000000-0005-0000-0000-0000661F0000}"/>
    <cellStyle name="Note 4 11" xfId="8036" xr:uid="{00000000-0005-0000-0000-0000671F0000}"/>
    <cellStyle name="Note 4 12" xfId="8037" xr:uid="{00000000-0005-0000-0000-0000681F0000}"/>
    <cellStyle name="Note 4 13" xfId="8038" xr:uid="{00000000-0005-0000-0000-0000691F0000}"/>
    <cellStyle name="Note 4 14" xfId="8039" xr:uid="{00000000-0005-0000-0000-00006A1F0000}"/>
    <cellStyle name="Note 4 15" xfId="8040" xr:uid="{00000000-0005-0000-0000-00006B1F0000}"/>
    <cellStyle name="Note 4 16" xfId="8041" xr:uid="{00000000-0005-0000-0000-00006C1F0000}"/>
    <cellStyle name="Note 4 17" xfId="8042" xr:uid="{00000000-0005-0000-0000-00006D1F0000}"/>
    <cellStyle name="Note 4 18" xfId="8043" xr:uid="{00000000-0005-0000-0000-00006E1F0000}"/>
    <cellStyle name="Note 4 19" xfId="8044" xr:uid="{00000000-0005-0000-0000-00006F1F0000}"/>
    <cellStyle name="Note 4 2" xfId="8045" xr:uid="{00000000-0005-0000-0000-0000701F0000}"/>
    <cellStyle name="Note 4 2 10" xfId="8046" xr:uid="{00000000-0005-0000-0000-0000711F0000}"/>
    <cellStyle name="Note 4 2 11" xfId="8047" xr:uid="{00000000-0005-0000-0000-0000721F0000}"/>
    <cellStyle name="Note 4 2 12" xfId="8048" xr:uid="{00000000-0005-0000-0000-0000731F0000}"/>
    <cellStyle name="Note 4 2 13" xfId="8049" xr:uid="{00000000-0005-0000-0000-0000741F0000}"/>
    <cellStyle name="Note 4 2 14" xfId="8050" xr:uid="{00000000-0005-0000-0000-0000751F0000}"/>
    <cellStyle name="Note 4 2 15" xfId="8051" xr:uid="{00000000-0005-0000-0000-0000761F0000}"/>
    <cellStyle name="Note 4 2 16" xfId="8052" xr:uid="{00000000-0005-0000-0000-0000771F0000}"/>
    <cellStyle name="Note 4 2 17" xfId="8053" xr:uid="{00000000-0005-0000-0000-0000781F0000}"/>
    <cellStyle name="Note 4 2 18" xfId="8054" xr:uid="{00000000-0005-0000-0000-0000791F0000}"/>
    <cellStyle name="Note 4 2 19" xfId="8055" xr:uid="{00000000-0005-0000-0000-00007A1F0000}"/>
    <cellStyle name="Note 4 2 2" xfId="8056" xr:uid="{00000000-0005-0000-0000-00007B1F0000}"/>
    <cellStyle name="Note 4 2 2 10" xfId="8057" xr:uid="{00000000-0005-0000-0000-00007C1F0000}"/>
    <cellStyle name="Note 4 2 2 11" xfId="8058" xr:uid="{00000000-0005-0000-0000-00007D1F0000}"/>
    <cellStyle name="Note 4 2 2 12" xfId="8059" xr:uid="{00000000-0005-0000-0000-00007E1F0000}"/>
    <cellStyle name="Note 4 2 2 13" xfId="8060" xr:uid="{00000000-0005-0000-0000-00007F1F0000}"/>
    <cellStyle name="Note 4 2 2 14" xfId="8061" xr:uid="{00000000-0005-0000-0000-0000801F0000}"/>
    <cellStyle name="Note 4 2 2 15" xfId="8062" xr:uid="{00000000-0005-0000-0000-0000811F0000}"/>
    <cellStyle name="Note 4 2 2 16" xfId="8063" xr:uid="{00000000-0005-0000-0000-0000821F0000}"/>
    <cellStyle name="Note 4 2 2 17" xfId="8064" xr:uid="{00000000-0005-0000-0000-0000831F0000}"/>
    <cellStyle name="Note 4 2 2 18" xfId="8065" xr:uid="{00000000-0005-0000-0000-0000841F0000}"/>
    <cellStyle name="Note 4 2 2 19" xfId="8066" xr:uid="{00000000-0005-0000-0000-0000851F0000}"/>
    <cellStyle name="Note 4 2 2 2" xfId="8067" xr:uid="{00000000-0005-0000-0000-0000861F0000}"/>
    <cellStyle name="Note 4 2 2 20" xfId="8068" xr:uid="{00000000-0005-0000-0000-0000871F0000}"/>
    <cellStyle name="Note 4 2 2 21" xfId="8069" xr:uid="{00000000-0005-0000-0000-0000881F0000}"/>
    <cellStyle name="Note 4 2 2 22" xfId="8070" xr:uid="{00000000-0005-0000-0000-0000891F0000}"/>
    <cellStyle name="Note 4 2 2 23" xfId="8071" xr:uid="{00000000-0005-0000-0000-00008A1F0000}"/>
    <cellStyle name="Note 4 2 2 24" xfId="8072" xr:uid="{00000000-0005-0000-0000-00008B1F0000}"/>
    <cellStyle name="Note 4 2 2 25" xfId="8073" xr:uid="{00000000-0005-0000-0000-00008C1F0000}"/>
    <cellStyle name="Note 4 2 2 26" xfId="8074" xr:uid="{00000000-0005-0000-0000-00008D1F0000}"/>
    <cellStyle name="Note 4 2 2 27" xfId="8075" xr:uid="{00000000-0005-0000-0000-00008E1F0000}"/>
    <cellStyle name="Note 4 2 2 28" xfId="8076" xr:uid="{00000000-0005-0000-0000-00008F1F0000}"/>
    <cellStyle name="Note 4 2 2 29" xfId="8077" xr:uid="{00000000-0005-0000-0000-0000901F0000}"/>
    <cellStyle name="Note 4 2 2 3" xfId="8078" xr:uid="{00000000-0005-0000-0000-0000911F0000}"/>
    <cellStyle name="Note 4 2 2 30" xfId="8079" xr:uid="{00000000-0005-0000-0000-0000921F0000}"/>
    <cellStyle name="Note 4 2 2 31" xfId="8080" xr:uid="{00000000-0005-0000-0000-0000931F0000}"/>
    <cellStyle name="Note 4 2 2 32" xfId="8081" xr:uid="{00000000-0005-0000-0000-0000941F0000}"/>
    <cellStyle name="Note 4 2 2 33" xfId="8082" xr:uid="{00000000-0005-0000-0000-0000951F0000}"/>
    <cellStyle name="Note 4 2 2 34" xfId="8083" xr:uid="{00000000-0005-0000-0000-0000961F0000}"/>
    <cellStyle name="Note 4 2 2 35" xfId="8084" xr:uid="{00000000-0005-0000-0000-0000971F0000}"/>
    <cellStyle name="Note 4 2 2 36" xfId="8085" xr:uid="{00000000-0005-0000-0000-0000981F0000}"/>
    <cellStyle name="Note 4 2 2 37" xfId="8086" xr:uid="{00000000-0005-0000-0000-0000991F0000}"/>
    <cellStyle name="Note 4 2 2 38" xfId="8087" xr:uid="{00000000-0005-0000-0000-00009A1F0000}"/>
    <cellStyle name="Note 4 2 2 39" xfId="8088" xr:uid="{00000000-0005-0000-0000-00009B1F0000}"/>
    <cellStyle name="Note 4 2 2 4" xfId="8089" xr:uid="{00000000-0005-0000-0000-00009C1F0000}"/>
    <cellStyle name="Note 4 2 2 40" xfId="8090" xr:uid="{00000000-0005-0000-0000-00009D1F0000}"/>
    <cellStyle name="Note 4 2 2 41" xfId="8091" xr:uid="{00000000-0005-0000-0000-00009E1F0000}"/>
    <cellStyle name="Note 4 2 2 5" xfId="8092" xr:uid="{00000000-0005-0000-0000-00009F1F0000}"/>
    <cellStyle name="Note 4 2 2 6" xfId="8093" xr:uid="{00000000-0005-0000-0000-0000A01F0000}"/>
    <cellStyle name="Note 4 2 2 7" xfId="8094" xr:uid="{00000000-0005-0000-0000-0000A11F0000}"/>
    <cellStyle name="Note 4 2 2 8" xfId="8095" xr:uid="{00000000-0005-0000-0000-0000A21F0000}"/>
    <cellStyle name="Note 4 2 2 9" xfId="8096" xr:uid="{00000000-0005-0000-0000-0000A31F0000}"/>
    <cellStyle name="Note 4 2 20" xfId="8097" xr:uid="{00000000-0005-0000-0000-0000A41F0000}"/>
    <cellStyle name="Note 4 2 21" xfId="8098" xr:uid="{00000000-0005-0000-0000-0000A51F0000}"/>
    <cellStyle name="Note 4 2 22" xfId="8099" xr:uid="{00000000-0005-0000-0000-0000A61F0000}"/>
    <cellStyle name="Note 4 2 23" xfId="8100" xr:uid="{00000000-0005-0000-0000-0000A71F0000}"/>
    <cellStyle name="Note 4 2 24" xfId="8101" xr:uid="{00000000-0005-0000-0000-0000A81F0000}"/>
    <cellStyle name="Note 4 2 25" xfId="8102" xr:uid="{00000000-0005-0000-0000-0000A91F0000}"/>
    <cellStyle name="Note 4 2 26" xfId="8103" xr:uid="{00000000-0005-0000-0000-0000AA1F0000}"/>
    <cellStyle name="Note 4 2 27" xfId="8104" xr:uid="{00000000-0005-0000-0000-0000AB1F0000}"/>
    <cellStyle name="Note 4 2 28" xfId="8105" xr:uid="{00000000-0005-0000-0000-0000AC1F0000}"/>
    <cellStyle name="Note 4 2 29" xfId="8106" xr:uid="{00000000-0005-0000-0000-0000AD1F0000}"/>
    <cellStyle name="Note 4 2 3" xfId="8107" xr:uid="{00000000-0005-0000-0000-0000AE1F0000}"/>
    <cellStyle name="Note 4 2 30" xfId="8108" xr:uid="{00000000-0005-0000-0000-0000AF1F0000}"/>
    <cellStyle name="Note 4 2 31" xfId="8109" xr:uid="{00000000-0005-0000-0000-0000B01F0000}"/>
    <cellStyle name="Note 4 2 32" xfId="8110" xr:uid="{00000000-0005-0000-0000-0000B11F0000}"/>
    <cellStyle name="Note 4 2 33" xfId="8111" xr:uid="{00000000-0005-0000-0000-0000B21F0000}"/>
    <cellStyle name="Note 4 2 34" xfId="8112" xr:uid="{00000000-0005-0000-0000-0000B31F0000}"/>
    <cellStyle name="Note 4 2 35" xfId="8113" xr:uid="{00000000-0005-0000-0000-0000B41F0000}"/>
    <cellStyle name="Note 4 2 36" xfId="8114" xr:uid="{00000000-0005-0000-0000-0000B51F0000}"/>
    <cellStyle name="Note 4 2 37" xfId="8115" xr:uid="{00000000-0005-0000-0000-0000B61F0000}"/>
    <cellStyle name="Note 4 2 38" xfId="8116" xr:uid="{00000000-0005-0000-0000-0000B71F0000}"/>
    <cellStyle name="Note 4 2 39" xfId="8117" xr:uid="{00000000-0005-0000-0000-0000B81F0000}"/>
    <cellStyle name="Note 4 2 4" xfId="8118" xr:uid="{00000000-0005-0000-0000-0000B91F0000}"/>
    <cellStyle name="Note 4 2 40" xfId="8119" xr:uid="{00000000-0005-0000-0000-0000BA1F0000}"/>
    <cellStyle name="Note 4 2 41" xfId="8120" xr:uid="{00000000-0005-0000-0000-0000BB1F0000}"/>
    <cellStyle name="Note 4 2 5" xfId="8121" xr:uid="{00000000-0005-0000-0000-0000BC1F0000}"/>
    <cellStyle name="Note 4 2 6" xfId="8122" xr:uid="{00000000-0005-0000-0000-0000BD1F0000}"/>
    <cellStyle name="Note 4 2 7" xfId="8123" xr:uid="{00000000-0005-0000-0000-0000BE1F0000}"/>
    <cellStyle name="Note 4 2 8" xfId="8124" xr:uid="{00000000-0005-0000-0000-0000BF1F0000}"/>
    <cellStyle name="Note 4 2 9" xfId="8125" xr:uid="{00000000-0005-0000-0000-0000C01F0000}"/>
    <cellStyle name="Note 4 20" xfId="8126" xr:uid="{00000000-0005-0000-0000-0000C11F0000}"/>
    <cellStyle name="Note 4 21" xfId="8127" xr:uid="{00000000-0005-0000-0000-0000C21F0000}"/>
    <cellStyle name="Note 4 22" xfId="8128" xr:uid="{00000000-0005-0000-0000-0000C31F0000}"/>
    <cellStyle name="Note 4 23" xfId="8129" xr:uid="{00000000-0005-0000-0000-0000C41F0000}"/>
    <cellStyle name="Note 4 24" xfId="8130" xr:uid="{00000000-0005-0000-0000-0000C51F0000}"/>
    <cellStyle name="Note 4 25" xfId="8131" xr:uid="{00000000-0005-0000-0000-0000C61F0000}"/>
    <cellStyle name="Note 4 26" xfId="8132" xr:uid="{00000000-0005-0000-0000-0000C71F0000}"/>
    <cellStyle name="Note 4 27" xfId="8133" xr:uid="{00000000-0005-0000-0000-0000C81F0000}"/>
    <cellStyle name="Note 4 28" xfId="8134" xr:uid="{00000000-0005-0000-0000-0000C91F0000}"/>
    <cellStyle name="Note 4 29" xfId="8135" xr:uid="{00000000-0005-0000-0000-0000CA1F0000}"/>
    <cellStyle name="Note 4 3" xfId="8136" xr:uid="{00000000-0005-0000-0000-0000CB1F0000}"/>
    <cellStyle name="Note 4 3 2" xfId="8137" xr:uid="{00000000-0005-0000-0000-0000CC1F0000}"/>
    <cellStyle name="Note 4 30" xfId="8138" xr:uid="{00000000-0005-0000-0000-0000CD1F0000}"/>
    <cellStyle name="Note 4 31" xfId="8139" xr:uid="{00000000-0005-0000-0000-0000CE1F0000}"/>
    <cellStyle name="Note 4 32" xfId="8140" xr:uid="{00000000-0005-0000-0000-0000CF1F0000}"/>
    <cellStyle name="Note 4 33" xfId="8141" xr:uid="{00000000-0005-0000-0000-0000D01F0000}"/>
    <cellStyle name="Note 4 34" xfId="8142" xr:uid="{00000000-0005-0000-0000-0000D11F0000}"/>
    <cellStyle name="Note 4 35" xfId="8143" xr:uid="{00000000-0005-0000-0000-0000D21F0000}"/>
    <cellStyle name="Note 4 36" xfId="8144" xr:uid="{00000000-0005-0000-0000-0000D31F0000}"/>
    <cellStyle name="Note 4 37" xfId="8145" xr:uid="{00000000-0005-0000-0000-0000D41F0000}"/>
    <cellStyle name="Note 4 38" xfId="8146" xr:uid="{00000000-0005-0000-0000-0000D51F0000}"/>
    <cellStyle name="Note 4 39" xfId="8147" xr:uid="{00000000-0005-0000-0000-0000D61F0000}"/>
    <cellStyle name="Note 4 4" xfId="8148" xr:uid="{00000000-0005-0000-0000-0000D71F0000}"/>
    <cellStyle name="Note 4 4 2" xfId="8149" xr:uid="{00000000-0005-0000-0000-0000D81F0000}"/>
    <cellStyle name="Note 4 40" xfId="8150" xr:uid="{00000000-0005-0000-0000-0000D91F0000}"/>
    <cellStyle name="Note 4 41" xfId="8151" xr:uid="{00000000-0005-0000-0000-0000DA1F0000}"/>
    <cellStyle name="Note 4 42" xfId="8152" xr:uid="{00000000-0005-0000-0000-0000DB1F0000}"/>
    <cellStyle name="Note 4 43" xfId="8153" xr:uid="{00000000-0005-0000-0000-0000DC1F0000}"/>
    <cellStyle name="Note 4 44" xfId="8154" xr:uid="{00000000-0005-0000-0000-0000DD1F0000}"/>
    <cellStyle name="Note 4 45" xfId="8155" xr:uid="{00000000-0005-0000-0000-0000DE1F0000}"/>
    <cellStyle name="Note 4 46" xfId="8156" xr:uid="{00000000-0005-0000-0000-0000DF1F0000}"/>
    <cellStyle name="Note 4 47" xfId="8157" xr:uid="{00000000-0005-0000-0000-0000E01F0000}"/>
    <cellStyle name="Note 4 48" xfId="8158" xr:uid="{00000000-0005-0000-0000-0000E11F0000}"/>
    <cellStyle name="Note 4 49" xfId="8159" xr:uid="{00000000-0005-0000-0000-0000E21F0000}"/>
    <cellStyle name="Note 4 5" xfId="8160" xr:uid="{00000000-0005-0000-0000-0000E31F0000}"/>
    <cellStyle name="Note 4 5 2" xfId="8161" xr:uid="{00000000-0005-0000-0000-0000E41F0000}"/>
    <cellStyle name="Note 4 6" xfId="8162" xr:uid="{00000000-0005-0000-0000-0000E51F0000}"/>
    <cellStyle name="Note 4 6 2" xfId="8163" xr:uid="{00000000-0005-0000-0000-0000E61F0000}"/>
    <cellStyle name="Note 4 7" xfId="8164" xr:uid="{00000000-0005-0000-0000-0000E71F0000}"/>
    <cellStyle name="Note 4 7 2" xfId="8165" xr:uid="{00000000-0005-0000-0000-0000E81F0000}"/>
    <cellStyle name="Note 4 8" xfId="8166" xr:uid="{00000000-0005-0000-0000-0000E91F0000}"/>
    <cellStyle name="Note 4 8 2" xfId="8167" xr:uid="{00000000-0005-0000-0000-0000EA1F0000}"/>
    <cellStyle name="Note 4 9" xfId="8168" xr:uid="{00000000-0005-0000-0000-0000EB1F0000}"/>
    <cellStyle name="Note 4 9 2" xfId="8169" xr:uid="{00000000-0005-0000-0000-0000EC1F0000}"/>
    <cellStyle name="Note 5" xfId="8170" xr:uid="{00000000-0005-0000-0000-0000ED1F0000}"/>
    <cellStyle name="Note 5 2" xfId="8171" xr:uid="{00000000-0005-0000-0000-0000EE1F0000}"/>
    <cellStyle name="Note 5 2 2" xfId="8172" xr:uid="{00000000-0005-0000-0000-0000EF1F0000}"/>
    <cellStyle name="Note 5 3" xfId="8173" xr:uid="{00000000-0005-0000-0000-0000F01F0000}"/>
    <cellStyle name="Note 6" xfId="8174" xr:uid="{00000000-0005-0000-0000-0000F11F0000}"/>
    <cellStyle name="Note 7" xfId="8175" xr:uid="{00000000-0005-0000-0000-0000F21F0000}"/>
    <cellStyle name="Output" xfId="11" builtinId="21" customBuiltin="1"/>
    <cellStyle name="Percent" xfId="8179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28</xdr:row>
      <xdr:rowOff>219075</xdr:rowOff>
    </xdr:from>
    <xdr:to>
      <xdr:col>10</xdr:col>
      <xdr:colOff>704850</xdr:colOff>
      <xdr:row>28</xdr:row>
      <xdr:rowOff>219075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A131703-C488-45FB-8752-3518AF8C3A82}"/>
            </a:ext>
          </a:extLst>
        </xdr:cNvPr>
        <xdr:cNvCxnSpPr/>
      </xdr:nvCxnSpPr>
      <xdr:spPr>
        <a:xfrm flipH="1">
          <a:off x="8591550" y="5581650"/>
          <a:ext cx="619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32</xdr:row>
      <xdr:rowOff>104775</xdr:rowOff>
    </xdr:from>
    <xdr:to>
      <xdr:col>10</xdr:col>
      <xdr:colOff>695325</xdr:colOff>
      <xdr:row>32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1FD041A-895D-4D0B-8BE4-F5F110D5BFC0}"/>
            </a:ext>
          </a:extLst>
        </xdr:cNvPr>
        <xdr:cNvCxnSpPr/>
      </xdr:nvCxnSpPr>
      <xdr:spPr>
        <a:xfrm flipH="1">
          <a:off x="8515350" y="6448425"/>
          <a:ext cx="6858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eidee/JOURNAL%20VOUCHERS/JV%20payroll/JV%20payroll%20PLANTILLA-%20aug%20200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SE/Desktop/ANNUAL%20AUDIT%20REPORT%202020/ANNUAL%20AUDIT%20REPORT%202020/Deferred%20Tax%20Recon%202020%20-%20VS%20IT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SE/Desktop/Copy%20of%20Accounts%20Mapping%20SBW-final%20version%20as%20of%20DECEMBER%20%202017%20DENI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ISE\Desktop\ANNUAL%20AUDIT%20REPORT%202022\ANNUAL%20AUDIT%20REPORT%202022\FS%20AS%20OF%20DECEMBER%2031,%202022%20-%205TH\FINANCIAL%20STATEMENTS%20-%20AS%20OF%20DECEMBER%2031,%202022%20-%205TH.xlsx" TargetMode="External"/><Relationship Id="rId1" Type="http://schemas.openxmlformats.org/officeDocument/2006/relationships/externalLinkPath" Target="/Users/DENISE/Desktop/ANNUAL%20AUDIT%20REPORT%202022/ANNUAL%20AUDIT%20REPORT%202022/FS%20AS%20OF%20DECEMBER%2031,%202022%20-%205TH/FINANCIAL%20STATEMENTS%20-%20AS%20OF%20DECEMBER%2031,%202022%20-%205T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SE/Desktop/Quartelry%20Financial%20Statements/CASH%20FLOW%202nd%20QUARTER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SE/Desktop/ANNUAL%20AUDIT%20REPORT%202019/ANNUAL%20AUDIT%20REPORT%202019/ANNUAL%20AUDIT%20REPORT%202019%20FROM%20COA/NDC%202019%20FS%20AND%20NOTES/FS%202019%20AND%20NOTES%20FOR%20COA/FINANCIAL%20STATEMENT%202019-%202nd%20draf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SE/Desktop/ANNUAL%20AUDIT%20REPORT%202020/ANNUAL%20AUDIT%20REPORT%202020/FS%202020%20-%20DRAFT/FINANCIAL%20STATEMENT%202020%20-%201ST%20DRAF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ISE\Desktop\ANNUAL%20AUDIT%20REPORT%202023\ANNUAL%20AUDIT%20REPORT%202023\WP_DEFERRED%20TAX%20RECON%202023.xlsx" TargetMode="External"/><Relationship Id="rId1" Type="http://schemas.openxmlformats.org/officeDocument/2006/relationships/externalLinkPath" Target="/Users/DENISE/Desktop/ANNUAL%20AUDIT%20REPORT%202023/ANNUAL%20AUDIT%20REPORT%202023/WP_DEFERRED%20TAX%20RECON%2020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SE/Desktop/ANNUAL%20AUDIT%20REPORT%202021/ANNUAL%20AUDIT%20REPORT%202021/FINANCIAL%20STATEMENT%202021%20-%203RD%20DRAF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ISE\Desktop\2022%20INCOME%20TAX%20RETURN\4th%20quarter%202022\4th%20Quarter%202022.xls" TargetMode="External"/><Relationship Id="rId1" Type="http://schemas.openxmlformats.org/officeDocument/2006/relationships/externalLinkPath" Target="/Users/DENISE/Desktop/2022%20INCOME%20TAX%20RETURN/4th%20quarter%202022/4th%20Quarter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"/>
      <sheetName val="aug"/>
      <sheetName val="sept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on 2020 per AAR"/>
      <sheetName val="Recon 2019"/>
      <sheetName val="Com"/>
      <sheetName val="SCHEDULE"/>
      <sheetName val="DEPRECIATION SCHEDULE"/>
      <sheetName val="BI"/>
      <sheetName val="IP"/>
      <sheetName val="deferred tax - gain on rev IP"/>
      <sheetName val="Recon (2)"/>
    </sheetNames>
    <sheetDataSet>
      <sheetData sheetId="0">
        <row r="3">
          <cell r="L3">
            <v>4858610962</v>
          </cell>
        </row>
        <row r="26">
          <cell r="Q26">
            <v>49028660.729999997</v>
          </cell>
        </row>
      </sheetData>
      <sheetData sheetId="1">
        <row r="3">
          <cell r="D3">
            <v>3232414531</v>
          </cell>
        </row>
      </sheetData>
      <sheetData sheetId="2"/>
      <sheetData sheetId="3">
        <row r="8">
          <cell r="D8">
            <v>886007013</v>
          </cell>
        </row>
      </sheetData>
      <sheetData sheetId="4">
        <row r="100">
          <cell r="FK100">
            <v>1370713520.6518521</v>
          </cell>
        </row>
      </sheetData>
      <sheetData sheetId="5"/>
      <sheetData sheetId="6"/>
      <sheetData sheetId="7">
        <row r="13">
          <cell r="F13">
            <v>14522860751.25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 MAP DEC. 2017"/>
      <sheetName val="Accounts Mapping November 2017"/>
      <sheetName val="Sep-upload"/>
      <sheetName val="Accounts Mapping AS OF JUNE2017"/>
      <sheetName val="Upload -additional"/>
      <sheetName val="Upload"/>
      <sheetName val="SL"/>
      <sheetName val=" ACCOUNTS MAPPING NOV.2017 (3)"/>
      <sheetName val="Accounts Mapping"/>
      <sheetName val="Old Accounts"/>
      <sheetName val="PER FMS"/>
      <sheetName val=" ACCOUNTS MAPPING NOV.2017 (2)"/>
      <sheetName val="RCA"/>
      <sheetName val="Sheet1"/>
    </sheetNames>
    <sheetDataSet>
      <sheetData sheetId="0">
        <row r="1745">
          <cell r="A1745" t="str">
            <v>5-020-4020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EDULE OF ACCOUNTS"/>
      <sheetName val="TRIAL BALANCE "/>
      <sheetName val="financial position"/>
      <sheetName val="Comprehensive Income"/>
      <sheetName val="Changes in Equity"/>
      <sheetName val="cash flow "/>
      <sheetName val="INVESTMENT PROPERTY 2022 (2)"/>
      <sheetName val="INVESTMENT PROPERTY 2022"/>
      <sheetName val="Cash Flows "/>
      <sheetName val="INVESTMENT PROPERTY 2021"/>
      <sheetName val="Sheet1"/>
    </sheetNames>
    <sheetDataSet>
      <sheetData sheetId="0"/>
      <sheetData sheetId="1">
        <row r="8">
          <cell r="I8">
            <v>110325.97</v>
          </cell>
        </row>
        <row r="15">
          <cell r="I15">
            <v>1877432907.47</v>
          </cell>
        </row>
        <row r="16">
          <cell r="I16">
            <v>228503580</v>
          </cell>
        </row>
        <row r="19">
          <cell r="I19">
            <v>790827691.75</v>
          </cell>
        </row>
        <row r="20">
          <cell r="J20">
            <v>586007691.75</v>
          </cell>
        </row>
        <row r="22">
          <cell r="I22">
            <v>2154099863.8200002</v>
          </cell>
        </row>
        <row r="23">
          <cell r="J23">
            <v>1957652972.76</v>
          </cell>
        </row>
        <row r="25">
          <cell r="I25">
            <v>1672147168.0899999</v>
          </cell>
        </row>
        <row r="26">
          <cell r="J26">
            <v>1269832038.5</v>
          </cell>
        </row>
        <row r="27">
          <cell r="I27">
            <v>1034269070.97</v>
          </cell>
        </row>
        <row r="29">
          <cell r="I29">
            <v>132689085</v>
          </cell>
        </row>
        <row r="32">
          <cell r="I32">
            <v>161861665.66999999</v>
          </cell>
        </row>
        <row r="33">
          <cell r="J33">
            <v>161861665.66999999</v>
          </cell>
        </row>
        <row r="39">
          <cell r="J39">
            <v>206313425.11000001</v>
          </cell>
        </row>
        <row r="42">
          <cell r="I42">
            <v>6938605.7300000004</v>
          </cell>
          <cell r="M42">
            <v>0</v>
          </cell>
        </row>
        <row r="43">
          <cell r="J43">
            <v>13170208.119999999</v>
          </cell>
        </row>
        <row r="44">
          <cell r="J44">
            <v>6938605.7300000023</v>
          </cell>
        </row>
        <row r="49">
          <cell r="J49">
            <v>7275609.4699999997</v>
          </cell>
        </row>
        <row r="50">
          <cell r="J50">
            <v>121943900.54000001</v>
          </cell>
        </row>
        <row r="52">
          <cell r="I52">
            <v>681897.97999999952</v>
          </cell>
        </row>
        <row r="53">
          <cell r="I53">
            <v>174208.90000000002</v>
          </cell>
        </row>
        <row r="54">
          <cell r="I54">
            <v>6618184.2400000002</v>
          </cell>
        </row>
        <row r="55">
          <cell r="I55">
            <v>1115003.98</v>
          </cell>
        </row>
        <row r="57">
          <cell r="J57">
            <v>1020331438.78</v>
          </cell>
        </row>
        <row r="58">
          <cell r="I58">
            <v>1115088321.3199999</v>
          </cell>
        </row>
        <row r="59">
          <cell r="J59">
            <v>1044927920.3200001</v>
          </cell>
        </row>
        <row r="61">
          <cell r="J61">
            <v>30823764.460000001</v>
          </cell>
        </row>
        <row r="64">
          <cell r="I64">
            <v>1143744205.77</v>
          </cell>
        </row>
        <row r="65">
          <cell r="I65">
            <v>3252877.38</v>
          </cell>
        </row>
        <row r="66">
          <cell r="J66">
            <v>3252877.38</v>
          </cell>
        </row>
        <row r="68">
          <cell r="I68">
            <v>10141.030000000001</v>
          </cell>
        </row>
        <row r="72">
          <cell r="I72">
            <v>1627648.16</v>
          </cell>
        </row>
        <row r="75">
          <cell r="I75">
            <v>327410502.49000001</v>
          </cell>
        </row>
        <row r="76">
          <cell r="I76">
            <v>26717650176.810001</v>
          </cell>
        </row>
        <row r="79">
          <cell r="I79">
            <v>70721642.950000003</v>
          </cell>
        </row>
        <row r="80">
          <cell r="J80">
            <v>69380877.760000005</v>
          </cell>
        </row>
        <row r="82">
          <cell r="I82">
            <v>1160068948.9100001</v>
          </cell>
        </row>
        <row r="83">
          <cell r="J83">
            <v>1159613370.24</v>
          </cell>
        </row>
        <row r="84">
          <cell r="I84">
            <v>4518600</v>
          </cell>
        </row>
        <row r="85">
          <cell r="J85">
            <v>4518600</v>
          </cell>
        </row>
        <row r="86">
          <cell r="I86">
            <v>922591.08</v>
          </cell>
        </row>
        <row r="87">
          <cell r="J87">
            <v>922590.08</v>
          </cell>
        </row>
        <row r="89">
          <cell r="I89">
            <v>9627172.4299999997</v>
          </cell>
        </row>
        <row r="90">
          <cell r="J90">
            <v>9175080.8100000005</v>
          </cell>
        </row>
        <row r="91">
          <cell r="I91">
            <v>12749713.289999999</v>
          </cell>
        </row>
        <row r="92">
          <cell r="J92">
            <v>11208413.210000001</v>
          </cell>
        </row>
        <row r="93">
          <cell r="I93">
            <v>341606.14</v>
          </cell>
        </row>
        <row r="94">
          <cell r="J94">
            <v>317149.65000000002</v>
          </cell>
        </row>
        <row r="96">
          <cell r="I96">
            <v>11919484.23</v>
          </cell>
        </row>
        <row r="97">
          <cell r="J97">
            <v>8069757.5300000003</v>
          </cell>
        </row>
        <row r="99">
          <cell r="I99">
            <v>1261063.95</v>
          </cell>
        </row>
        <row r="100">
          <cell r="J100">
            <v>997520.81</v>
          </cell>
        </row>
        <row r="107">
          <cell r="I107">
            <v>34621275.539999999</v>
          </cell>
        </row>
        <row r="108">
          <cell r="J108">
            <v>4475519.3899999997</v>
          </cell>
        </row>
        <row r="110">
          <cell r="I110">
            <v>33237390.620000001</v>
          </cell>
        </row>
        <row r="113">
          <cell r="I113">
            <v>631169.64</v>
          </cell>
        </row>
        <row r="116">
          <cell r="I116">
            <v>33577.79</v>
          </cell>
        </row>
        <row r="119">
          <cell r="I119">
            <v>1256363.05</v>
          </cell>
        </row>
        <row r="120">
          <cell r="I120">
            <v>1859510.47</v>
          </cell>
        </row>
        <row r="121">
          <cell r="I121">
            <v>498635.55</v>
          </cell>
        </row>
        <row r="122">
          <cell r="I122">
            <v>1375885.03</v>
          </cell>
        </row>
        <row r="123">
          <cell r="I123">
            <v>147178.32</v>
          </cell>
        </row>
        <row r="124">
          <cell r="I124">
            <v>11693745.460000001</v>
          </cell>
        </row>
        <row r="125">
          <cell r="I125">
            <v>8957334.7799999993</v>
          </cell>
        </row>
        <row r="127">
          <cell r="I127">
            <v>220000</v>
          </cell>
        </row>
        <row r="128">
          <cell r="I128">
            <v>17700</v>
          </cell>
        </row>
        <row r="130">
          <cell r="I130">
            <v>8181646.1299999999</v>
          </cell>
        </row>
        <row r="131">
          <cell r="I131">
            <v>105302.79</v>
          </cell>
        </row>
        <row r="132">
          <cell r="I132">
            <v>15238134.050000001</v>
          </cell>
        </row>
        <row r="135">
          <cell r="I135">
            <v>42828304.920000002</v>
          </cell>
        </row>
        <row r="136">
          <cell r="I136">
            <v>992765229.57000005</v>
          </cell>
        </row>
        <row r="137">
          <cell r="J137">
            <v>1010478762.1</v>
          </cell>
        </row>
        <row r="141">
          <cell r="J141">
            <v>19113774.329999998</v>
          </cell>
        </row>
        <row r="142">
          <cell r="J142">
            <v>80963.41</v>
          </cell>
        </row>
        <row r="148">
          <cell r="J148">
            <v>540831.03</v>
          </cell>
        </row>
        <row r="149">
          <cell r="J149">
            <v>408922.91</v>
          </cell>
        </row>
        <row r="150">
          <cell r="J150">
            <v>131480.68</v>
          </cell>
        </row>
        <row r="151">
          <cell r="J151">
            <v>4968.34</v>
          </cell>
        </row>
        <row r="152">
          <cell r="J152">
            <v>628409.52</v>
          </cell>
        </row>
        <row r="153">
          <cell r="J153">
            <v>28818.01</v>
          </cell>
        </row>
        <row r="154">
          <cell r="J154">
            <v>66774.64</v>
          </cell>
        </row>
        <row r="155">
          <cell r="J155">
            <v>7213717.6900000004</v>
          </cell>
        </row>
        <row r="156">
          <cell r="I156">
            <v>52750403.920000002</v>
          </cell>
        </row>
        <row r="157">
          <cell r="J157">
            <v>54991974.210000001</v>
          </cell>
        </row>
        <row r="158">
          <cell r="J158">
            <v>5582909</v>
          </cell>
        </row>
        <row r="161">
          <cell r="J161">
            <v>31020301.329999998</v>
          </cell>
        </row>
        <row r="162">
          <cell r="J162">
            <v>99239.58</v>
          </cell>
        </row>
        <row r="163">
          <cell r="J163">
            <v>35901191.460000001</v>
          </cell>
        </row>
        <row r="164">
          <cell r="J164">
            <v>1172504.2</v>
          </cell>
        </row>
        <row r="166">
          <cell r="J166">
            <v>9880920.9800000004</v>
          </cell>
        </row>
        <row r="168">
          <cell r="J168">
            <v>6410961.9299999997</v>
          </cell>
        </row>
        <row r="169">
          <cell r="J169">
            <v>310052055.29000002</v>
          </cell>
        </row>
        <row r="171">
          <cell r="J171">
            <v>5948430091.7000008</v>
          </cell>
        </row>
        <row r="174">
          <cell r="J174">
            <v>8493703483.0699997</v>
          </cell>
        </row>
        <row r="175">
          <cell r="J175">
            <v>11936011815.980001</v>
          </cell>
        </row>
        <row r="176">
          <cell r="J176">
            <v>28883100.600000001</v>
          </cell>
        </row>
        <row r="182">
          <cell r="J182">
            <v>16642940</v>
          </cell>
        </row>
        <row r="183">
          <cell r="J183">
            <v>7977.82</v>
          </cell>
        </row>
        <row r="184">
          <cell r="J184">
            <v>2169588.34</v>
          </cell>
        </row>
        <row r="185">
          <cell r="J185">
            <v>77933431.120000005</v>
          </cell>
        </row>
        <row r="186">
          <cell r="J186">
            <v>156292.44</v>
          </cell>
        </row>
        <row r="189">
          <cell r="J189">
            <v>140000</v>
          </cell>
        </row>
        <row r="191">
          <cell r="J191">
            <v>23487524.18</v>
          </cell>
        </row>
        <row r="192">
          <cell r="J192">
            <v>5870873.0800000001</v>
          </cell>
        </row>
        <row r="193">
          <cell r="J193">
            <v>1383718.23</v>
          </cell>
        </row>
        <row r="194">
          <cell r="J194">
            <v>5300964870</v>
          </cell>
        </row>
        <row r="195">
          <cell r="J195">
            <v>21580025</v>
          </cell>
        </row>
        <row r="198">
          <cell r="J198">
            <v>6787368.75</v>
          </cell>
        </row>
        <row r="201">
          <cell r="I201">
            <v>25545103.379999999</v>
          </cell>
        </row>
        <row r="203">
          <cell r="I203">
            <v>649090.91</v>
          </cell>
        </row>
        <row r="204">
          <cell r="I204">
            <v>1047409.09</v>
          </cell>
        </row>
        <row r="205">
          <cell r="I205">
            <v>594159.07999999996</v>
          </cell>
        </row>
        <row r="206">
          <cell r="I206">
            <v>180000</v>
          </cell>
        </row>
        <row r="207">
          <cell r="I207">
            <v>127000</v>
          </cell>
        </row>
        <row r="209">
          <cell r="I209">
            <v>131696.44</v>
          </cell>
        </row>
        <row r="210">
          <cell r="I210">
            <v>267678.40000000002</v>
          </cell>
        </row>
        <row r="211">
          <cell r="I211">
            <v>4188303.4</v>
          </cell>
        </row>
        <row r="212">
          <cell r="I212">
            <v>126000</v>
          </cell>
        </row>
        <row r="213">
          <cell r="I213">
            <v>1011028.52</v>
          </cell>
        </row>
        <row r="215">
          <cell r="I215">
            <v>3066911.66</v>
          </cell>
        </row>
        <row r="216">
          <cell r="I216">
            <v>32600</v>
          </cell>
        </row>
        <row r="217">
          <cell r="I217">
            <v>402964.47</v>
          </cell>
        </row>
        <row r="218">
          <cell r="I218">
            <v>32800</v>
          </cell>
        </row>
        <row r="220">
          <cell r="I220">
            <v>2256844.31</v>
          </cell>
        </row>
        <row r="221">
          <cell r="I221">
            <v>2500</v>
          </cell>
        </row>
        <row r="223">
          <cell r="I223">
            <v>744993.63</v>
          </cell>
        </row>
        <row r="226">
          <cell r="I226">
            <v>352083.84</v>
          </cell>
        </row>
        <row r="228">
          <cell r="I228">
            <v>1153277.01</v>
          </cell>
        </row>
        <row r="229">
          <cell r="I229">
            <v>35294.5</v>
          </cell>
        </row>
        <row r="230">
          <cell r="I230">
            <v>1288711.69</v>
          </cell>
        </row>
        <row r="231">
          <cell r="I231">
            <v>1145944.33</v>
          </cell>
        </row>
        <row r="233">
          <cell r="I233">
            <v>225062.9</v>
          </cell>
        </row>
        <row r="234">
          <cell r="I234">
            <v>3173618.12</v>
          </cell>
        </row>
        <row r="236">
          <cell r="I236">
            <v>38699.5</v>
          </cell>
        </row>
        <row r="237">
          <cell r="I237">
            <v>731582.64</v>
          </cell>
        </row>
        <row r="238">
          <cell r="I238">
            <v>451536.24</v>
          </cell>
        </row>
        <row r="240">
          <cell r="I240">
            <v>13858.93</v>
          </cell>
        </row>
        <row r="241">
          <cell r="I241">
            <v>1438507.28</v>
          </cell>
        </row>
        <row r="242">
          <cell r="I242">
            <v>574340.31000000006</v>
          </cell>
        </row>
        <row r="243">
          <cell r="I243">
            <v>582824.56000000006</v>
          </cell>
        </row>
        <row r="245">
          <cell r="I245">
            <v>540000</v>
          </cell>
        </row>
        <row r="246">
          <cell r="I246">
            <v>8679591.7699999996</v>
          </cell>
        </row>
        <row r="247">
          <cell r="I247">
            <v>5106614.72</v>
          </cell>
        </row>
        <row r="248">
          <cell r="I248">
            <v>3404.08</v>
          </cell>
        </row>
        <row r="250">
          <cell r="I250">
            <v>556831.28</v>
          </cell>
        </row>
        <row r="251">
          <cell r="I251">
            <v>20379085.32</v>
          </cell>
        </row>
        <row r="252">
          <cell r="I252">
            <v>2915408.17</v>
          </cell>
        </row>
        <row r="253">
          <cell r="I253">
            <v>803934.94</v>
          </cell>
        </row>
        <row r="254">
          <cell r="I254">
            <v>9256664.1099999994</v>
          </cell>
        </row>
        <row r="256">
          <cell r="I256">
            <v>2950156.87</v>
          </cell>
        </row>
        <row r="257">
          <cell r="I257">
            <v>77339.02</v>
          </cell>
        </row>
        <row r="258">
          <cell r="I258">
            <v>28285.71</v>
          </cell>
        </row>
        <row r="259">
          <cell r="I259">
            <v>183601.81</v>
          </cell>
        </row>
        <row r="260">
          <cell r="I260">
            <v>549680.32999999996</v>
          </cell>
        </row>
        <row r="261">
          <cell r="I261">
            <v>28600</v>
          </cell>
        </row>
        <row r="262">
          <cell r="I262">
            <v>765614.68</v>
          </cell>
        </row>
        <row r="264">
          <cell r="I264">
            <v>1045.6600000000001</v>
          </cell>
        </row>
        <row r="266">
          <cell r="I266">
            <v>27906950.359999999</v>
          </cell>
        </row>
        <row r="267">
          <cell r="I267">
            <v>1570.75</v>
          </cell>
        </row>
        <row r="268">
          <cell r="I268">
            <v>14236590.359999999</v>
          </cell>
        </row>
        <row r="269">
          <cell r="I269">
            <v>34614107</v>
          </cell>
        </row>
        <row r="270">
          <cell r="I270">
            <v>27575.96</v>
          </cell>
        </row>
        <row r="271">
          <cell r="I271">
            <v>1528743.41</v>
          </cell>
        </row>
        <row r="272">
          <cell r="I272">
            <v>448887.5</v>
          </cell>
        </row>
        <row r="273">
          <cell r="I273">
            <v>898043.07</v>
          </cell>
        </row>
        <row r="277">
          <cell r="I277">
            <v>27932.39</v>
          </cell>
        </row>
        <row r="278">
          <cell r="I278">
            <v>0</v>
          </cell>
        </row>
        <row r="279">
          <cell r="I279">
            <v>3869.93</v>
          </cell>
        </row>
        <row r="280">
          <cell r="I280">
            <v>350458.53</v>
          </cell>
        </row>
        <row r="281">
          <cell r="I281">
            <v>1132513.02</v>
          </cell>
        </row>
        <row r="282">
          <cell r="I282">
            <v>707040.07</v>
          </cell>
        </row>
        <row r="283">
          <cell r="I283">
            <v>41886</v>
          </cell>
        </row>
        <row r="284">
          <cell r="I284">
            <v>0</v>
          </cell>
        </row>
        <row r="285">
          <cell r="I285">
            <v>198919</v>
          </cell>
        </row>
        <row r="286">
          <cell r="I286">
            <v>0</v>
          </cell>
        </row>
        <row r="287">
          <cell r="I287">
            <v>897271.26</v>
          </cell>
        </row>
        <row r="289">
          <cell r="I289">
            <v>3754705.8</v>
          </cell>
        </row>
        <row r="290">
          <cell r="I290">
            <v>177063.1</v>
          </cell>
        </row>
        <row r="293">
          <cell r="I293">
            <v>291154.8</v>
          </cell>
        </row>
        <row r="294">
          <cell r="I294">
            <v>62214.84</v>
          </cell>
        </row>
        <row r="295">
          <cell r="I295">
            <v>1276981.0799999998</v>
          </cell>
        </row>
        <row r="296">
          <cell r="I296">
            <v>784490.65</v>
          </cell>
        </row>
        <row r="297">
          <cell r="I297">
            <v>102040.09</v>
          </cell>
        </row>
        <row r="298">
          <cell r="I298">
            <v>1517583.37</v>
          </cell>
        </row>
        <row r="304">
          <cell r="I304">
            <v>1065.74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"/>
      <sheetName val="DEC2015"/>
      <sheetName val="JUNE 2022A"/>
      <sheetName val="JUNE 2022"/>
      <sheetName val="TRANSACTION LIST - 063020 (2)"/>
      <sheetName val="TRANSACTION LIST - 072121"/>
      <sheetName val="TRANSACTION LIST - 050321"/>
      <sheetName val="TRANSACTION LIST - 102621"/>
      <sheetName val="TRANSACTION LIST - 013122 (2)"/>
      <sheetName val="TRANSACTION LIST - 071322"/>
      <sheetName val="TRANSACTION LIST - 041822"/>
      <sheetName val="1-1010-10 APRIL 22"/>
      <sheetName val="1-1010-10 MAY 22"/>
      <sheetName val="1-1010-10 JUNE 22"/>
      <sheetName val="1-1010-10 -  JANUARY 22"/>
      <sheetName val="1-1010-10 -  FEB 22 "/>
      <sheetName val="1-1010-10 -  MARCH 22  "/>
      <sheetName val="1-1010-20- APRIL 2022 NONE"/>
      <sheetName val="1-1010-20- MAY 2022 NONE"/>
      <sheetName val="1-1010-20- JUNE 2022 NONE "/>
      <sheetName val="1-1010-20 - JAN 22 -NONE"/>
      <sheetName val="1-1010-20 - FEB 22 -NONE "/>
      <sheetName val="1-1010-20 - MARC 22 -NONE "/>
      <sheetName val="1-1010-10 OCTO 21"/>
      <sheetName val="1-1010-10 NOV 21"/>
      <sheetName val="1-1010-10 DEC 21"/>
      <sheetName val="1-1010-20 OCT 21 - NONE"/>
      <sheetName val="1-1010-10 JULY 2021"/>
      <sheetName val="1-1010-10 AUGUST 2021"/>
      <sheetName val="1-1010-10 APRIL 2021"/>
      <sheetName val="1-1010-10 MAY 2021 "/>
      <sheetName val="1-1010-10 SEPT 2021"/>
      <sheetName val="1-1010-20 NOV 21 - NONE"/>
      <sheetName val="1-1010-20 JULY 2021- NONE"/>
      <sheetName val="1-1010-20 AUGUST 2021-NONE"/>
      <sheetName val="1-1010-20 SEPT 2021-NONE"/>
      <sheetName val="1-1010-10 JUNE 2021 "/>
      <sheetName val="1-1010-20 APRIL 2021 -NONE"/>
      <sheetName val="1-1010-20 MAY 2021 -NONE"/>
      <sheetName val="1-1010-20 JUNE 2021 - NONE"/>
      <sheetName val="1-1010-10 JAN 2021"/>
      <sheetName val="1-1010-10 FEB 2021 "/>
      <sheetName val="1-1010-10 MAR 2021 "/>
      <sheetName val="DECEMBER 2020"/>
      <sheetName val="1-1010-10 OCT 2020"/>
      <sheetName val="1-1010-10 NOV 2020"/>
      <sheetName val="1-1010-10 DEC 2020"/>
      <sheetName val="TRANSACTION LIST - 100720"/>
      <sheetName val="1-1010-10 JULY 2020"/>
      <sheetName val="1-1010-10 AUGUST 2020"/>
      <sheetName val="1-1010-10 SEPT 2020"/>
      <sheetName val="1-1010-10 APR 2020  - none"/>
      <sheetName val="1-1010-10 MAY 2020 "/>
      <sheetName val="1-1010-10 JUNE 2020 "/>
      <sheetName val="1-1010-10 JAN 2020"/>
      <sheetName val="MMP 2018"/>
      <sheetName val="MMP JAN 2017"/>
      <sheetName val="MMP FEB 2017"/>
      <sheetName val="MMP MARCH 2017"/>
      <sheetName val="NDCSL (13)"/>
      <sheetName val="ndcsl 2nd qtr (3)"/>
      <sheetName val="TRANSACTION LIST - 051018 (6)"/>
      <sheetName val="TRANSACTION LIST - 102318 (2)"/>
      <sheetName val="TRANSACTION LIST - 012419 (7)"/>
      <sheetName val="1-1010-10 FEB 2020"/>
      <sheetName val="1-1010-10 MAR 2020"/>
      <sheetName val="1-1010-10 OCTOBER - 2019"/>
      <sheetName val="1-1010-10 NOVEMBER 2019"/>
      <sheetName val="1-1010-10 DECEMBER 2019"/>
      <sheetName val="1-1010-10 JULY 2019"/>
      <sheetName val="1-1010-10 AUGUST 2019"/>
      <sheetName val="1-1010-10 SEPTEMBER 2019 "/>
      <sheetName val="1-1010-10 - APRIL 2019"/>
      <sheetName val="1-1010-10 JANUARY 2019"/>
      <sheetName val="1-1010-10 - MAY 2019 "/>
      <sheetName val="1-1010-20 JAN 2021  - NONE"/>
      <sheetName val="1-1010-20 FEB 2021  - NONE "/>
      <sheetName val="1-1010-20 MAR 2021  - NONE "/>
      <sheetName val="1-1010-20 OCT 2020 NONE"/>
      <sheetName val="1-1010-20 NOV 2020 - NONE"/>
      <sheetName val="1-1010-20 DEC 2020 - NONE "/>
      <sheetName val="1-1010-20 DEC 2020 - NONE"/>
      <sheetName val="1-1010-20 SEPT 2020 - NONE"/>
      <sheetName val="1-1010-20 APRIL - NONE"/>
      <sheetName val="1-1010-20 MAY - NONE "/>
      <sheetName val="1-1010-20 JUNE - NONE "/>
      <sheetName val="1-1010-20 JAN 2020-NONE"/>
      <sheetName val="1-1010-20 FEB 2020-NONE"/>
      <sheetName val="1-1010-20 MAR 2020-NONE"/>
      <sheetName val="1-1010-10 - JUNE 2019 "/>
      <sheetName val="1-1010-10 FEB 2019"/>
      <sheetName val="1-1010-10 MAR 2019"/>
      <sheetName val="TRANSACTION LIST - 100419 (7)"/>
      <sheetName val="1-1010-20 -OCTOBER - NONE"/>
      <sheetName val="1-1010-20 -NOVEMBER -NONE "/>
      <sheetName val="1-1010-20 -DECEMBER -NONE "/>
      <sheetName val="1-1010-20 - JULY NONE"/>
      <sheetName val="1-1010-20- APRIL 2019  - NONE"/>
      <sheetName val="1-1010-20- AUGUST NONE"/>
      <sheetName val="1-1010-20- MAY 2019  - NONE"/>
      <sheetName val="1-1010-20 - SEPT-NONE"/>
      <sheetName val="1-1010-20- JUNE 2019  - NONE "/>
      <sheetName val="1-1010-20 JANUARY-NONE (2)"/>
      <sheetName val="1-1010-20 FEBRUARY-NONE"/>
      <sheetName val="1-1010-20 MARCH-NONE "/>
      <sheetName val="TRANSACTION LIST - 100419 (5)"/>
      <sheetName val="1-1010-20 DEC 21 - NONE"/>
      <sheetName val="1-1020-20- APRIL 2022"/>
      <sheetName val="1-1020-20- MAY 2022"/>
      <sheetName val="1-1020-20- JUNE 2022 "/>
      <sheetName val="1-1030-30- APRIL 2022"/>
      <sheetName val="1-1030-30- MAY 2022 "/>
      <sheetName val="1-1030-30- JUNE 2022  "/>
      <sheetName val="1-1020-20 - JAN 22"/>
      <sheetName val="1-1020-20 - FEB 22 "/>
      <sheetName val="1-1020-20 - MAR 22 "/>
      <sheetName val="1-1020-20 OCT 21"/>
      <sheetName val="1-1020-20 NOV 21"/>
      <sheetName val="1-1020-20 DEC 21"/>
      <sheetName val="1-1020-20 JULY 2021"/>
      <sheetName val="1-1020-20 AUGUST 2021 "/>
      <sheetName val="1-1020-20 SEPT 2021 "/>
      <sheetName val="1-1020-20 APR 2021 "/>
      <sheetName val="1-1020-20 MAY 2021"/>
      <sheetName val="1-1020-20 JUNE 2021"/>
      <sheetName val="1-1020-20 JAN 2021 "/>
      <sheetName val="1-1020-20 FEB 2021"/>
      <sheetName val="1-1020-20 MARCH 2021"/>
      <sheetName val="1-1020-20 OCT 2020"/>
      <sheetName val="1-1020-20 NOV 2020"/>
      <sheetName val="1-1020-20 DEC 2020 "/>
      <sheetName val="1-1020-20 JULY 2020"/>
      <sheetName val="1-1020-20 AUGUST 2020"/>
      <sheetName val="1-1020-20 SEPTEMBER 2020 "/>
      <sheetName val="1-1020-20 APRIL 2020"/>
      <sheetName val="1-1020-20 MAY 2020"/>
      <sheetName val="1-1020-20 JUNE 2020"/>
      <sheetName val="1-1020-20 JAN 2020"/>
      <sheetName val="1-1020-20 FEB 2020"/>
      <sheetName val="1-1020-20 MARCH 2020"/>
      <sheetName val="1-1020-20 OCTOBER 2019"/>
      <sheetName val="1-1020-20 NOVEMBER 2019"/>
      <sheetName val="1-1020-20 DECEMBER 2019"/>
      <sheetName val="1-1020-20 --JULY 2019"/>
      <sheetName val="1-1020-20- APRIL 2019 "/>
      <sheetName val="1-102020- AUG 2019"/>
      <sheetName val="1-1020-20- MAY 2019 "/>
      <sheetName val="1-1020-20- JUNE 2019 "/>
      <sheetName val="1-1020-20 SEPT 2021  (4)"/>
      <sheetName val="1-1030-30 - JAN 22"/>
      <sheetName val="1-1030-30 - FEB 22"/>
      <sheetName val="1-1030-30 - MAR 22 "/>
      <sheetName val="1-1030-30 OCT 21"/>
      <sheetName val="1-1030-30 NOV 21"/>
      <sheetName val="1-1030-30 DEC 21"/>
      <sheetName val="1-1030-30 JULY 2021 "/>
      <sheetName val="1-1030-30 AUG 2021"/>
      <sheetName val="1-1030-30 SEP 2021"/>
      <sheetName val="1-1030-30 SEPT 2021"/>
      <sheetName val="1-1030-30 MAY 2021"/>
      <sheetName val="1-1030-30 JUNE 2021"/>
      <sheetName val="1-1030-30 JAN 2021"/>
      <sheetName val="1-1030-30 FEB 2021"/>
      <sheetName val="1-1030-30 MAR 2021 "/>
      <sheetName val="1-1030-30 OCT 2020"/>
      <sheetName val="1-1030-30 NOV 2020 "/>
      <sheetName val="1-1030-30 DEC 2020 "/>
      <sheetName val="1-1030-30 JULY 2020 "/>
      <sheetName val="1-1030-30 AUGUST 2020"/>
      <sheetName val="1-1030-30 SEPTEMBER 2020"/>
      <sheetName val="1-1030-30 APRIL 2020 "/>
      <sheetName val="1-1030-30 MAY 2020 "/>
      <sheetName val="1-1030-30 JUNE 2020 "/>
      <sheetName val="1-103030 JUNE 2020A"/>
      <sheetName val="1-1030-30 JAN 2020 "/>
      <sheetName val="1-1030-30 FEB 2020"/>
      <sheetName val="1-1030-30 MAR 2020 "/>
      <sheetName val="1-1020-20 JANUARY 2019"/>
      <sheetName val="1-1020-20 FEB 2019 "/>
      <sheetName val="1-1020-20 MAR 2019 "/>
      <sheetName val="1-1020-20-SEPT 2019"/>
      <sheetName val="1-1030-30 OCTOBER 2019"/>
      <sheetName val="1-1030-30 NOVEMNER 2019"/>
      <sheetName val="1-1030-30 DECEMBER 2019 "/>
      <sheetName val="1-1030-30-JULY 2019"/>
      <sheetName val="1-1030-30-AUGUST 2019"/>
      <sheetName val="1-1030-30-SEPTEMBER 2019"/>
      <sheetName val="1-1030-30- APRIL 2019"/>
      <sheetName val="1-1030-30- MAY 2019 "/>
      <sheetName val="1-1030-30-JUNE 2019 "/>
      <sheetName val="1-1030-30 JAN 2019"/>
      <sheetName val="1-1030-30 FEB 2019 "/>
      <sheetName val="1-1030-30 MAR 2019 "/>
      <sheetName val="1-1010-10 OCTOBER"/>
      <sheetName val="1-1010-10 JULY"/>
      <sheetName val="1-1010-10 AUGUST"/>
      <sheetName val="1-1010-10 SEPTEMBER"/>
      <sheetName val="1-1010-10 NOVEMBER"/>
      <sheetName val="1-1010-10 DECEMBER"/>
      <sheetName val="1-1010-20 OCTOBER -NONE"/>
      <sheetName val="1-1010-20 JULY-none"/>
      <sheetName val="1-1010-20 AUGUST"/>
      <sheetName val="1-1010-20 SEPTEMBER-none"/>
      <sheetName val="1-1010-20 NOVEMBER-NONE"/>
      <sheetName val="1-1020-20 JULY"/>
      <sheetName val="1-1010-20 DECEMBER-NONE"/>
      <sheetName val="1-1020-20 NOVEMBER"/>
      <sheetName val="1-1020-20 OCTOBER"/>
      <sheetName val="1-1020-20 AUGUST"/>
      <sheetName val="1-1020-20 SEPTEMBER"/>
      <sheetName val="1-1020-20 DECEMBER"/>
      <sheetName val="1-1030-30-OCTOBER"/>
      <sheetName val="1-1030-30 NOVEMBER"/>
      <sheetName val="1-1030-30 DECEMBER"/>
      <sheetName val="1-1030-30 JULY"/>
      <sheetName val="1-1030-30 AUGUST"/>
      <sheetName val="1-1030-30 SEPT"/>
      <sheetName val="1-1010-10 APRIL"/>
      <sheetName val="1-1010-10 MAY"/>
      <sheetName val="1-1010-10 JUNE"/>
      <sheetName val="1-1010-10 JANUARY"/>
      <sheetName val="1-1010-20 APRIL NONE"/>
      <sheetName val="1-1010-20 MAY-NONE"/>
      <sheetName val="1-1010-20 JUNE-NONE"/>
      <sheetName val="1-1010-10 FEBRUARY"/>
      <sheetName val="1-1010-10 MARCH"/>
      <sheetName val="ndsl -sept"/>
      <sheetName val="1-11-2020 july "/>
      <sheetName val="1-11-2020 august"/>
      <sheetName val="1-11-2020 sept"/>
      <sheetName val="1-1010-20 JAN18"/>
      <sheetName val=" NA"/>
      <sheetName val="NA"/>
      <sheetName val="1-1020-20 JAN18"/>
      <sheetName val="1-1020-20 APRIL"/>
      <sheetName val="1-1020-20 MAY"/>
      <sheetName val="1-1020-20 JUNE "/>
      <sheetName val="1-1030-30 APRIL"/>
      <sheetName val="1-1030-30 MAY"/>
      <sheetName val="1-1030-30 JUNE"/>
      <sheetName val="1-1020-20 FEB18"/>
      <sheetName val="1-1020-20 MAR18"/>
      <sheetName val="1-1020-20 JAN"/>
      <sheetName val="1-1030-30 JAN18"/>
      <sheetName val="1-1030-30 FEB18"/>
      <sheetName val="1-1030-30 MAR"/>
      <sheetName val="1-11-2030 july"/>
      <sheetName val="1-11-2030 aug"/>
      <sheetName val="1-11-2030 sept"/>
      <sheetName val="1-11-2050 july"/>
      <sheetName val="1-11-2050 aug"/>
      <sheetName val="1-11-2050 sept"/>
      <sheetName val="1-1030-30 JAN"/>
      <sheetName val="1-12-1000 july"/>
      <sheetName val="1-12-1000 aug"/>
      <sheetName val="1-12-1000 sept"/>
      <sheetName val="1-13-0000 july"/>
      <sheetName val="1-13-0000 aug"/>
      <sheetName val="1-13-0000 sept "/>
      <sheetName val="1-11-2020 JUNE"/>
      <sheetName val="1-11-2020 MAY"/>
      <sheetName val="1-11-2020 APRIL"/>
      <sheetName val="1-11-2030 JUNE"/>
      <sheetName val="1-11-2030 MAY"/>
      <sheetName val="1-11-2030 APRIL"/>
      <sheetName val="1-2050 JUNE"/>
      <sheetName val="1-2050 MAY"/>
      <sheetName val="1-2050 APRIL"/>
      <sheetName val="1-12-1000 JUNE"/>
      <sheetName val="1-12-1000 MAY"/>
      <sheetName val="1-12-1000 APRIL"/>
      <sheetName val="1-13-0000 JUNE"/>
      <sheetName val="1-13-0000 MAY"/>
      <sheetName val="1-13-0000 APRIL"/>
      <sheetName val="NDCSL"/>
      <sheetName val="1-11-2020 JAN"/>
      <sheetName val="1-11-2020 FEB"/>
      <sheetName val="1-11-2020 MAR"/>
      <sheetName val="1-11-2030 JAN"/>
      <sheetName val="1-11-2030 FEB"/>
      <sheetName val="1-11-2030 MAR"/>
      <sheetName val="1-11-2020"/>
      <sheetName val="1-11-2030"/>
      <sheetName val="1-11-2050 JAN"/>
      <sheetName val="1-11-2050 FEB"/>
      <sheetName val="1-11-2050 MAR"/>
      <sheetName val="1-12-1000 JAN"/>
      <sheetName val="1-12-1000 FEB"/>
      <sheetName val="1-12-1000 MAR"/>
      <sheetName val="1-11-2050"/>
      <sheetName val="1-13-0000 JAN"/>
      <sheetName val="1-13-0000 FEB"/>
      <sheetName val="1-13-0000 MAR"/>
      <sheetName val="1-11-4030"/>
      <sheetName val="1-12-1000"/>
      <sheetName val="1-13-0000"/>
    </sheetNames>
    <sheetDataSet>
      <sheetData sheetId="0"/>
      <sheetData sheetId="1"/>
      <sheetData sheetId="2">
        <row r="13">
          <cell r="R13">
            <v>0</v>
          </cell>
        </row>
        <row r="20">
          <cell r="R2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 - 2018 (3)"/>
      <sheetName val="Trial Balance - 2019"/>
      <sheetName val="financial position"/>
      <sheetName val="Comprehensive Income"/>
      <sheetName val="Changes in Equity"/>
      <sheetName val="Cash Flows "/>
      <sheetName val="PPA 2018 BREAKDOWN"/>
      <sheetName val="MMP 2018"/>
      <sheetName val="TB - 2018 (2)"/>
      <sheetName val="TB - 2018  checking"/>
      <sheetName val="PPE"/>
      <sheetName val="PPA 2019"/>
      <sheetName val="INVESTMENT PROPERTY 2019"/>
      <sheetName val="DETAILS OF GAIN LOSS REVA OF IP"/>
      <sheetName val="investment account break down"/>
      <sheetName val="2018 ppe"/>
      <sheetName val="supporting for JV  for IP"/>
      <sheetName val="INVESTMENT PROPERTY 2018"/>
      <sheetName val="JV INVESTMENT PROPERTY 2019A"/>
      <sheetName val="JV INCOME TAX ACCRUAL 4TH"/>
      <sheetName val="JV DEFERRED TAX 2019"/>
      <sheetName val="appraisal for cdo and zamboanga"/>
      <sheetName val="INVESTMENT PROPERTY 2018a"/>
      <sheetName val="Sheet2"/>
    </sheetNames>
    <sheetDataSet>
      <sheetData sheetId="0"/>
      <sheetData sheetId="1">
        <row r="326">
          <cell r="I326">
            <v>1333958698.02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 - 2018 (3)"/>
      <sheetName val="Trial Balance - 2020 (2)"/>
      <sheetName val="2 column Trial Balance - 2020"/>
      <sheetName val="Trial Balance - 2020"/>
      <sheetName val="financial position"/>
      <sheetName val="Comprehensive Income"/>
      <sheetName val="Changes in Equity"/>
      <sheetName val="Cash Flows "/>
      <sheetName val="PPA 2020a"/>
      <sheetName val="PPA 2018 BREAKDOWN"/>
      <sheetName val="MMP 2018"/>
      <sheetName val="TB - 2018 (2)"/>
      <sheetName val="TB - 2018  checking"/>
      <sheetName val="PPE"/>
      <sheetName val="TRANSACTION LIST - 030221"/>
      <sheetName val="PPA 2020"/>
      <sheetName val="INVESTMENT PROPERTY 2020"/>
      <sheetName val="DETAILS OF GAIN LOSS REVA OF IP"/>
      <sheetName val="investment account break down"/>
      <sheetName val="2018 ppe"/>
      <sheetName val="supporting for JV  for IP"/>
      <sheetName val="INVESTMENT PROPERTY 2018"/>
      <sheetName val="JV INVESTMENT PROPERTY 2019A"/>
      <sheetName val="JV INCOME TAX ACCRUAL 4TH"/>
      <sheetName val="JV DEFERRED TAX 2019"/>
      <sheetName val="JV RECLASS COA MISC PAYABLE"/>
      <sheetName val="JV RECLASS BTR PAYMENT"/>
      <sheetName val="investment prop expenses  20"/>
      <sheetName val="investment prop expenses  2019"/>
      <sheetName val="INVESTMENT PROPERTY 2018a"/>
      <sheetName val="Sheet2"/>
    </sheetNames>
    <sheetDataSet>
      <sheetData sheetId="0"/>
      <sheetData sheetId="1"/>
      <sheetData sheetId="2"/>
      <sheetData sheetId="3">
        <row r="22">
          <cell r="L22">
            <v>121621669.63</v>
          </cell>
        </row>
      </sheetData>
      <sheetData sheetId="4"/>
      <sheetData sheetId="5">
        <row r="33">
          <cell r="H33">
            <v>14667535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37">
          <cell r="H137">
            <v>2247870014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R 2022"/>
      <sheetName val="ITR 2021"/>
      <sheetName val="Recon 2020"/>
      <sheetName val="RECON ITR 2022"/>
      <sheetName val="Recon  2021"/>
      <sheetName val="Recon 2020 per AAR"/>
      <sheetName val="Recon 2019"/>
      <sheetName val="Com"/>
      <sheetName val="SCHEDULE"/>
      <sheetName val="DEPRECIATION SCHEDULE"/>
      <sheetName val="BI"/>
      <sheetName val="IP"/>
      <sheetName val="deferred tax - gain on rev IP"/>
      <sheetName val="Recon (2)"/>
      <sheetName val="RECON ITR 2023"/>
    </sheetNames>
    <sheetDataSet>
      <sheetData sheetId="0" refreshError="1"/>
      <sheetData sheetId="1" refreshError="1"/>
      <sheetData sheetId="2">
        <row r="34">
          <cell r="Q34">
            <v>2847410</v>
          </cell>
        </row>
        <row r="37">
          <cell r="Q37">
            <v>110217535.72</v>
          </cell>
        </row>
      </sheetData>
      <sheetData sheetId="3" refreshError="1"/>
      <sheetData sheetId="4">
        <row r="2">
          <cell r="D2">
            <v>2732307163</v>
          </cell>
        </row>
        <row r="11">
          <cell r="D11">
            <v>587102.5</v>
          </cell>
        </row>
        <row r="23">
          <cell r="D23">
            <v>12519350.5</v>
          </cell>
        </row>
        <row r="24">
          <cell r="D24">
            <v>71285867.969999999</v>
          </cell>
        </row>
      </sheetData>
      <sheetData sheetId="5">
        <row r="3">
          <cell r="L3">
            <v>4858610962</v>
          </cell>
        </row>
      </sheetData>
      <sheetData sheetId="6">
        <row r="3">
          <cell r="D3">
            <v>3232414531</v>
          </cell>
          <cell r="H3">
            <v>3320729497</v>
          </cell>
        </row>
        <row r="6">
          <cell r="C6">
            <v>18662091</v>
          </cell>
          <cell r="G6">
            <v>26636637.399999999</v>
          </cell>
        </row>
        <row r="33">
          <cell r="B33">
            <v>56551791.649999999</v>
          </cell>
          <cell r="F33">
            <v>80717083.039999992</v>
          </cell>
        </row>
        <row r="34">
          <cell r="B34">
            <v>40209755.850000001</v>
          </cell>
          <cell r="F34">
            <v>9568289</v>
          </cell>
          <cell r="J34">
            <v>17343533.5</v>
          </cell>
        </row>
        <row r="35">
          <cell r="B35">
            <v>25047617.859999999</v>
          </cell>
          <cell r="F35">
            <v>35964596</v>
          </cell>
          <cell r="J35">
            <v>48336550.409999996</v>
          </cell>
        </row>
        <row r="36">
          <cell r="B36">
            <v>98877859.810000002</v>
          </cell>
          <cell r="F36">
            <v>144235</v>
          </cell>
          <cell r="J36">
            <v>67401057.640000001</v>
          </cell>
        </row>
        <row r="37">
          <cell r="J37">
            <v>117444306.92</v>
          </cell>
        </row>
        <row r="40">
          <cell r="D40">
            <v>907727355.41113329</v>
          </cell>
          <cell r="L40">
            <v>119472259.50000046</v>
          </cell>
          <cell r="R40">
            <v>116011110.42779985</v>
          </cell>
        </row>
      </sheetData>
      <sheetData sheetId="7" refreshError="1"/>
      <sheetData sheetId="8" refreshError="1"/>
      <sheetData sheetId="9">
        <row r="100">
          <cell r="FK100">
            <v>1370713520.6518521</v>
          </cell>
        </row>
        <row r="102">
          <cell r="GP102">
            <v>5316134.6995555544</v>
          </cell>
          <cell r="HF102">
            <v>9432506.7165111117</v>
          </cell>
          <cell r="HV102">
            <v>11684444.216866665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 - 2018 (3)"/>
      <sheetName val="Trial Balance - 2020 (2)"/>
      <sheetName val="2 column Trial Balance - 2020"/>
      <sheetName val="Trial Balance - 2021 (2)"/>
      <sheetName val="Trial Balance - 2021"/>
      <sheetName val="financial position"/>
      <sheetName val="Comprehensive Income"/>
      <sheetName val="Changes in Equity"/>
      <sheetName val="Cash Flows "/>
      <sheetName val="PPA 2021"/>
      <sheetName val="PPA 2020a"/>
      <sheetName val="PPA 2018 BREAKDOWN"/>
      <sheetName val="MMP 2018"/>
      <sheetName val="TB - 2018 (2)"/>
      <sheetName val="TB - 2018  checking"/>
      <sheetName val="PPE"/>
      <sheetName val="TRANSACTION LIST - 030221"/>
      <sheetName val="PPA 2020"/>
      <sheetName val="INVESTMENT PROPERTY 2021"/>
      <sheetName val="notes - link with IP"/>
      <sheetName val="DETAILS OF GAIN LOSS REVA OF IP"/>
      <sheetName val="investment account break down"/>
      <sheetName val="2018 ppe"/>
      <sheetName val="supporting for JV  for IP"/>
      <sheetName val="INVESTMENT PROPERTY 2018"/>
      <sheetName val="JV INVESTMENT PROPERTY 2021"/>
      <sheetName val="JV INCOME TAX ACCRUAL 4TH"/>
      <sheetName val="JV DEFERRED TAX 2019"/>
      <sheetName val="JV RECLASS COA MISC PAYABLE"/>
      <sheetName val="JV RECLASS BTR PAYMENT"/>
      <sheetName val="investment prop expenses  20"/>
      <sheetName val="investment prop expenses  2019"/>
      <sheetName val="INVESTMENT PROPERTY 2018a"/>
      <sheetName val="Sheet2"/>
    </sheetNames>
    <sheetDataSet>
      <sheetData sheetId="0"/>
      <sheetData sheetId="1"/>
      <sheetData sheetId="2"/>
      <sheetData sheetId="3"/>
      <sheetData sheetId="4">
        <row r="139">
          <cell r="M139">
            <v>62214.840000152588</v>
          </cell>
        </row>
      </sheetData>
      <sheetData sheetId="5">
        <row r="30">
          <cell r="C30">
            <v>53439947.330000311</v>
          </cell>
        </row>
      </sheetData>
      <sheetData sheetId="6">
        <row r="27">
          <cell r="E27">
            <v>2732977392.2599998</v>
          </cell>
          <cell r="J27">
            <v>2307711250.4500003</v>
          </cell>
        </row>
        <row r="30">
          <cell r="E30">
            <v>26194991.029999997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702Q"/>
      <sheetName val="Income Tax Return"/>
      <sheetName val="SUMMARY  FOR ITR"/>
      <sheetName val="COMPUTATION OF TAX DUE"/>
      <sheetName val="TOTAL REVENUES"/>
      <sheetName val="SCHEDULE OF TAXABLE INCOME"/>
      <sheetName val="COST OF SERVICES"/>
      <sheetName val="sched of misc income"/>
      <sheetName val="ITEMIZED DEDUCTIONS"/>
      <sheetName val="INCOME STATEMENT"/>
      <sheetName val="RECON ITR vs IS (2)"/>
      <sheetName val="RECON ITR vs IS"/>
      <sheetName val="ITR -OSD vs itemized (2)"/>
      <sheetName val="Recon"/>
      <sheetName val="ITR -OSD vs itemized"/>
      <sheetName val="prepayments"/>
      <sheetName val="Schedule of ITR"/>
      <sheetName val="Interest Payment loans"/>
      <sheetName val="Comp of Taxable Inc_Detailed"/>
      <sheetName val="Comp of Taxable Inc"/>
      <sheetName val="Recon of NI_BIR&amp;NDC"/>
      <sheetName val="MCIT &amp; NOLCO 1ST QTR 2018"/>
      <sheetName val="MCIT &amp; NOLCO"/>
    </sheetNames>
    <sheetDataSet>
      <sheetData sheetId="0"/>
      <sheetData sheetId="1"/>
      <sheetData sheetId="2">
        <row r="3">
          <cell r="A3" t="str">
            <v>For the year 2022</v>
          </cell>
        </row>
      </sheetData>
      <sheetData sheetId="3">
        <row r="30">
          <cell r="F30">
            <v>111627801.88000001</v>
          </cell>
        </row>
      </sheetData>
      <sheetData sheetId="4">
        <row r="17">
          <cell r="E17">
            <v>47253602.520000003</v>
          </cell>
        </row>
      </sheetData>
      <sheetData sheetId="5"/>
      <sheetData sheetId="6">
        <row r="9">
          <cell r="H9">
            <v>1713038</v>
          </cell>
        </row>
      </sheetData>
      <sheetData sheetId="7"/>
      <sheetData sheetId="8">
        <row r="12">
          <cell r="G12">
            <v>29219356.439999998</v>
          </cell>
        </row>
      </sheetData>
      <sheetData sheetId="9">
        <row r="9">
          <cell r="K9">
            <v>23487524.18</v>
          </cell>
        </row>
      </sheetData>
      <sheetData sheetId="10"/>
      <sheetData sheetId="11">
        <row r="5">
          <cell r="D5">
            <v>5461674486.5599995</v>
          </cell>
        </row>
        <row r="18">
          <cell r="D18">
            <v>77941408.939999998</v>
          </cell>
        </row>
        <row r="19">
          <cell r="D19">
            <v>16642940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dcuser26@hotmail.com" id="{71AEEFFB-B52E-4A3C-94C6-09EB4A6924B5}" userId="c04b9e6efb3d9383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6" dT="2024-10-04T07:13:52.31" personId="{71AEEFFB-B52E-4A3C-94C6-09EB4A6924B5}" id="{3A780B21-EA76-4132-B8CD-C2BDE3C081B3}">
    <text>ALLOWANCE IS RECORDED UNDER SAN CARLOS ENERGY ACCOUNT</text>
  </threadedComment>
  <threadedComment ref="C111" dT="2024-10-04T07:15:01.49" personId="{71AEEFFB-B52E-4A3C-94C6-09EB4A6924B5}" id="{9A6F497E-3E18-4CA4-8F6E-3473A74EDD63}">
    <text>NO ALLOWANCE YET - HIGH CHANCE OF COLLECTION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03" dT="2024-10-07T01:18:57.12" personId="{71AEEFFB-B52E-4A3C-94C6-09EB4A6924B5}" id="{ECCAE771-B2D1-437C-9E99-615E09AF0E49}">
    <text>10301011A - ALLOWANCE-OTHER NON-INCOME</text>
  </threadedComment>
  <threadedComment ref="E104" dT="2024-10-07T01:19:22.26" personId="{71AEEFFB-B52E-4A3C-94C6-09EB4A6924B5}" id="{BA33E7F6-F02F-4BCE-88A5-03266F59D0BB}">
    <text>10301011A - ALLOWANCE - OTHER NON INCOME</text>
  </threadedComment>
  <threadedComment ref="E105" dT="2024-10-07T01:23:42.75" personId="{71AEEFFB-B52E-4A3C-94C6-09EB4A6924B5}" id="{9D755BC9-26DA-4626-80EE-71E53A9E6AB5}">
    <text>10301011A - ALLOWANCE OTHER NON INCOME</text>
  </threadedComment>
  <threadedComment ref="E106" dT="2024-10-07T01:24:06.26" personId="{71AEEFFB-B52E-4A3C-94C6-09EB4A6924B5}" id="{3E8858A0-3DCF-4F21-97D0-53177011D183}">
    <text>10301011A - ALLOWANCE - OTHER NON INCOME</text>
  </threadedComment>
  <threadedComment ref="E107" dT="2024-10-07T01:17:32.15" personId="{71AEEFFB-B52E-4A3C-94C6-09EB4A6924B5}" id="{F642B97E-4587-48A5-8B70-0AD5ABC37AC2}">
    <text xml:space="preserve">10301011A - ALLOWANCE - OTHER NON INCOME
</text>
  </threadedComment>
  <threadedComment ref="E108" dT="2024-10-07T01:18:33.55" personId="{71AEEFFB-B52E-4A3C-94C6-09EB4A6924B5}" id="{AFF2286B-269E-4F64-8241-9F20F3BD60E0}">
    <text>10301011A - ALLOWANCE OTHER NON-INCOME
10301011A - ALLOWANCE - OTHER NON-INCOME</text>
  </threadedComment>
  <threadedComment ref="E109" dT="2024-10-07T01:21:29.37" personId="{71AEEFFB-B52E-4A3C-94C6-09EB4A6924B5}" id="{ABC04AFA-FF40-4A83-ADF7-288F2C2884AD}">
    <text>10301011A - ALLOWANCE - OTHER NON-INCOME</text>
  </threadedComment>
  <threadedComment ref="E112" dT="2024-10-07T01:22:25.60" personId="{71AEEFFB-B52E-4A3C-94C6-09EB4A6924B5}" id="{2169AFD3-386F-4C00-9B7F-96E445038D35}">
    <text>10301011A - ALLOWANCE - OTHER NON-INCOME</text>
  </threadedComment>
  <threadedComment ref="E113" dT="2024-10-07T01:22:51.92" personId="{71AEEFFB-B52E-4A3C-94C6-09EB4A6924B5}" id="{95D37773-31CF-4E8D-BA3D-01422A5C54EA}">
    <text>10301011A - ALLOWANCE -OTHER NON INCOME</text>
  </threadedComment>
  <threadedComment ref="E347" dT="2024-10-07T05:36:45.92" personId="{71AEEFFB-B52E-4A3C-94C6-09EB4A6924B5}" id="{C35BAF00-C9FC-46E7-94B0-BA9D4C0DF529}">
    <text xml:space="preserve">ALLOWANCE FOR BAD DEBTS - CURRENT -10303060 P1,248,360
</text>
  </threadedComment>
  <threadedComment ref="E348" dT="2024-10-07T05:37:15.54" personId="{71AEEFFB-B52E-4A3C-94C6-09EB4A6924B5}" id="{9CB614DB-2476-46F3-A919-1E9B6F0F2529}">
    <text xml:space="preserve">ALLOWANCE FOR BAD DEBTS - CURRENT 10303060C
</text>
  </threadedComment>
  <threadedComment ref="E349" dT="2024-10-07T05:38:01.66" personId="{71AEEFFB-B52E-4A3C-94C6-09EB4A6924B5}" id="{2D385DC7-1AE4-43F1-AE75-02D27151750A}">
    <text xml:space="preserve">ALLOWANCE FOR BAD DEBTS 10303060C - P2,313,030.59
</text>
  </threadedComment>
  <threadedComment ref="E360" dT="2024-10-07T05:40:23.14" personId="{71AEEFFB-B52E-4A3C-94C6-09EB4A6924B5}" id="{94D79A64-A322-47BD-8032-654DB96528AD}">
    <text xml:space="preserve">ALLOWANCE FOR BAD DEBTS -10303060C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4C76-B985-4CA6-A3FF-7910AE676F38}">
  <sheetPr codeName="Sheet1">
    <tabColor rgb="FF00B0F0"/>
  </sheetPr>
  <dimension ref="A1:R406"/>
  <sheetViews>
    <sheetView tabSelected="1" zoomScale="70" zoomScaleNormal="70" workbookViewId="0">
      <pane xSplit="5" ySplit="10" topLeftCell="J178" activePane="bottomRight" state="frozen"/>
      <selection activeCell="D1" sqref="D1"/>
      <selection pane="topRight" activeCell="F1" sqref="F1"/>
      <selection pane="bottomLeft" activeCell="D11" sqref="D11"/>
      <selection pane="bottomRight" activeCell="E142" sqref="E142"/>
    </sheetView>
  </sheetViews>
  <sheetFormatPr defaultColWidth="19" defaultRowHeight="15" x14ac:dyDescent="0.25"/>
  <cols>
    <col min="1" max="1" width="34.7109375" hidden="1" customWidth="1"/>
    <col min="2" max="2" width="49.140625" hidden="1" customWidth="1"/>
    <col min="3" max="3" width="16.7109375" style="65" hidden="1" customWidth="1"/>
    <col min="4" max="4" width="34.140625" style="65" customWidth="1"/>
    <col min="5" max="5" width="55.140625" style="66" customWidth="1"/>
    <col min="6" max="6" width="33.28515625" style="66" customWidth="1"/>
    <col min="7" max="7" width="55.28515625" style="66" customWidth="1"/>
    <col min="8" max="8" width="69" style="66" customWidth="1"/>
    <col min="9" max="9" width="28" customWidth="1"/>
    <col min="10" max="10" width="20.85546875" customWidth="1"/>
    <col min="11" max="13" width="0" hidden="1" customWidth="1"/>
    <col min="15" max="15" width="25.5703125" customWidth="1"/>
  </cols>
  <sheetData>
    <row r="1" spans="2:11" x14ac:dyDescent="0.25">
      <c r="D1" s="175" t="s">
        <v>22</v>
      </c>
      <c r="E1" s="175"/>
    </row>
    <row r="2" spans="2:11" x14ac:dyDescent="0.25">
      <c r="D2" s="175" t="s">
        <v>1078</v>
      </c>
      <c r="E2" s="175"/>
      <c r="F2" s="175"/>
      <c r="G2" s="175"/>
    </row>
    <row r="3" spans="2:11" x14ac:dyDescent="0.25">
      <c r="D3" s="175" t="s">
        <v>2744</v>
      </c>
      <c r="E3" s="175"/>
    </row>
    <row r="4" spans="2:11" x14ac:dyDescent="0.25">
      <c r="B4" s="176" t="s">
        <v>925</v>
      </c>
      <c r="C4" s="176"/>
      <c r="D4" s="176"/>
      <c r="H4" s="176"/>
    </row>
    <row r="5" spans="2:11" x14ac:dyDescent="0.25">
      <c r="B5" s="176"/>
      <c r="C5" s="176"/>
      <c r="D5" s="176"/>
      <c r="E5" s="176"/>
      <c r="F5" s="176"/>
      <c r="G5" s="176"/>
      <c r="H5" s="176"/>
    </row>
    <row r="6" spans="2:11" x14ac:dyDescent="0.25">
      <c r="B6" s="960"/>
      <c r="C6" s="960"/>
      <c r="D6" s="960"/>
      <c r="E6" s="960"/>
      <c r="F6" s="960"/>
      <c r="G6" s="960"/>
      <c r="H6" s="960"/>
    </row>
    <row r="7" spans="2:11" x14ac:dyDescent="0.25">
      <c r="B7" s="64"/>
      <c r="D7" s="85"/>
      <c r="E7" s="928"/>
      <c r="F7" s="928"/>
      <c r="G7" s="928"/>
      <c r="H7" s="929"/>
      <c r="I7" s="70"/>
      <c r="J7" s="70"/>
    </row>
    <row r="8" spans="2:11" ht="37.5" customHeight="1" x14ac:dyDescent="0.25">
      <c r="B8" s="924" t="s">
        <v>53</v>
      </c>
      <c r="C8" s="924" t="s">
        <v>54</v>
      </c>
      <c r="D8" s="924" t="s">
        <v>54</v>
      </c>
      <c r="E8" s="924" t="s">
        <v>1084</v>
      </c>
      <c r="F8" s="924" t="s">
        <v>54</v>
      </c>
      <c r="G8" s="924" t="s">
        <v>1119</v>
      </c>
      <c r="H8" s="925" t="s">
        <v>1035</v>
      </c>
      <c r="I8" s="926" t="s">
        <v>55</v>
      </c>
      <c r="J8" s="926" t="s">
        <v>56</v>
      </c>
    </row>
    <row r="9" spans="2:11" ht="37.5" customHeight="1" x14ac:dyDescent="0.25">
      <c r="B9" s="924"/>
      <c r="C9" s="924"/>
      <c r="D9" s="924"/>
      <c r="E9" s="924"/>
      <c r="F9" s="930" t="s">
        <v>926</v>
      </c>
      <c r="G9" s="924"/>
      <c r="H9" s="925"/>
      <c r="I9" s="70"/>
      <c r="J9" s="70"/>
    </row>
    <row r="10" spans="2:11" ht="16.5" customHeight="1" x14ac:dyDescent="0.25">
      <c r="B10" s="924"/>
      <c r="C10" s="924"/>
      <c r="D10" s="68" t="s">
        <v>68</v>
      </c>
      <c r="E10" s="69" t="s">
        <v>69</v>
      </c>
      <c r="F10" s="69" t="s">
        <v>1158</v>
      </c>
      <c r="G10" s="69" t="s">
        <v>927</v>
      </c>
      <c r="H10" s="192" t="s">
        <v>69</v>
      </c>
      <c r="I10" s="427">
        <v>0</v>
      </c>
      <c r="J10" s="427"/>
      <c r="K10" s="378"/>
    </row>
    <row r="11" spans="2:11" ht="16.5" customHeight="1" x14ac:dyDescent="0.25">
      <c r="B11" s="924"/>
      <c r="C11" s="924"/>
      <c r="D11" s="68" t="s">
        <v>70</v>
      </c>
      <c r="E11" s="69" t="s">
        <v>71</v>
      </c>
      <c r="F11" s="69" t="s">
        <v>1159</v>
      </c>
      <c r="G11" s="69" t="s">
        <v>927</v>
      </c>
      <c r="H11" s="192" t="s">
        <v>71</v>
      </c>
      <c r="I11" s="427">
        <v>225000</v>
      </c>
      <c r="J11" s="427"/>
      <c r="K11" s="378"/>
    </row>
    <row r="12" spans="2:11" ht="16.5" customHeight="1" x14ac:dyDescent="0.25">
      <c r="B12" s="924"/>
      <c r="C12" s="924"/>
      <c r="D12" s="68"/>
      <c r="E12" s="69"/>
      <c r="F12" s="69"/>
      <c r="G12" s="69"/>
      <c r="H12" s="192"/>
      <c r="I12" s="427"/>
      <c r="J12" s="427"/>
    </row>
    <row r="13" spans="2:11" ht="18" customHeight="1" x14ac:dyDescent="0.25">
      <c r="B13" s="924"/>
      <c r="C13" s="924"/>
      <c r="D13" s="931" t="s">
        <v>64</v>
      </c>
      <c r="E13" s="69" t="s">
        <v>1036</v>
      </c>
      <c r="F13" s="69" t="s">
        <v>1160</v>
      </c>
      <c r="G13" s="69" t="s">
        <v>1036</v>
      </c>
      <c r="H13" s="192" t="s">
        <v>59</v>
      </c>
      <c r="I13" s="427">
        <v>12938831.24</v>
      </c>
      <c r="J13" s="427"/>
      <c r="K13" s="378"/>
    </row>
    <row r="14" spans="2:11" ht="18" customHeight="1" x14ac:dyDescent="0.25">
      <c r="B14" s="924"/>
      <c r="C14" s="924"/>
      <c r="D14" s="931"/>
      <c r="E14" s="69"/>
      <c r="F14" s="69"/>
      <c r="G14" s="69"/>
      <c r="H14" s="192"/>
      <c r="I14" s="427"/>
      <c r="J14" s="427"/>
    </row>
    <row r="15" spans="2:11" ht="18.75" customHeight="1" x14ac:dyDescent="0.25">
      <c r="B15" s="924"/>
      <c r="C15" s="924"/>
      <c r="D15" s="931" t="s">
        <v>689</v>
      </c>
      <c r="E15" s="69" t="s">
        <v>62</v>
      </c>
      <c r="F15" s="69" t="s">
        <v>1161</v>
      </c>
      <c r="G15" s="69" t="s">
        <v>1037</v>
      </c>
      <c r="H15" s="192" t="s">
        <v>62</v>
      </c>
      <c r="I15" s="427">
        <v>67597.38</v>
      </c>
      <c r="J15" s="427"/>
      <c r="K15" s="378"/>
    </row>
    <row r="16" spans="2:11" ht="18.75" customHeight="1" x14ac:dyDescent="0.25">
      <c r="B16" s="924"/>
      <c r="C16" s="924"/>
      <c r="D16" s="931"/>
      <c r="E16" s="69"/>
      <c r="F16" s="69"/>
      <c r="G16" s="69"/>
      <c r="H16" s="192"/>
      <c r="I16" s="427"/>
      <c r="J16" s="427"/>
    </row>
    <row r="17" spans="2:11" ht="18.75" customHeight="1" x14ac:dyDescent="0.25">
      <c r="B17" s="924"/>
      <c r="C17" s="924"/>
      <c r="D17" s="931" t="s">
        <v>691</v>
      </c>
      <c r="E17" s="69" t="s">
        <v>63</v>
      </c>
      <c r="F17" s="69" t="s">
        <v>1162</v>
      </c>
      <c r="G17" s="69" t="s">
        <v>1038</v>
      </c>
      <c r="H17" s="192" t="s">
        <v>63</v>
      </c>
      <c r="I17" s="427">
        <v>1471655778.6500001</v>
      </c>
      <c r="J17" s="427"/>
      <c r="K17" s="378"/>
    </row>
    <row r="18" spans="2:11" ht="18.75" customHeight="1" x14ac:dyDescent="0.25">
      <c r="B18" s="924"/>
      <c r="C18" s="924"/>
      <c r="D18" s="931" t="s">
        <v>690</v>
      </c>
      <c r="E18" s="69" t="s">
        <v>67</v>
      </c>
      <c r="F18" s="69" t="s">
        <v>1163</v>
      </c>
      <c r="G18" s="69" t="s">
        <v>1038</v>
      </c>
      <c r="H18" s="192" t="s">
        <v>67</v>
      </c>
      <c r="I18" s="427">
        <v>246772129.63</v>
      </c>
      <c r="J18" s="427"/>
      <c r="K18" s="378"/>
    </row>
    <row r="19" spans="2:11" ht="18.75" customHeight="1" x14ac:dyDescent="0.25">
      <c r="B19" s="924"/>
      <c r="C19" s="924"/>
      <c r="D19" s="931"/>
      <c r="E19" s="69"/>
      <c r="F19" s="69"/>
      <c r="G19" s="69"/>
      <c r="H19" s="192"/>
      <c r="I19" s="427"/>
      <c r="J19" s="427"/>
    </row>
    <row r="20" spans="2:11" ht="18.75" customHeight="1" x14ac:dyDescent="0.25">
      <c r="B20" s="924"/>
      <c r="C20" s="924"/>
      <c r="D20" s="931"/>
      <c r="E20" s="69"/>
      <c r="F20" s="932" t="s">
        <v>1082</v>
      </c>
      <c r="G20" s="69"/>
      <c r="H20" s="192"/>
      <c r="I20" s="427"/>
      <c r="J20" s="427"/>
    </row>
    <row r="21" spans="2:11" ht="18.75" customHeight="1" x14ac:dyDescent="0.25">
      <c r="B21" s="924"/>
      <c r="C21" s="924"/>
      <c r="D21" s="68" t="s">
        <v>769</v>
      </c>
      <c r="E21" s="69" t="s">
        <v>771</v>
      </c>
      <c r="F21" s="69" t="s">
        <v>1164</v>
      </c>
      <c r="G21" s="69" t="s">
        <v>771</v>
      </c>
      <c r="H21" s="192" t="s">
        <v>771</v>
      </c>
      <c r="I21" s="427">
        <v>790827691.75</v>
      </c>
      <c r="J21" s="427"/>
      <c r="K21" s="378"/>
    </row>
    <row r="22" spans="2:11" ht="18.75" customHeight="1" x14ac:dyDescent="0.25">
      <c r="B22" s="924"/>
      <c r="C22" s="924"/>
      <c r="D22" s="68" t="s">
        <v>762</v>
      </c>
      <c r="E22" s="69" t="s">
        <v>763</v>
      </c>
      <c r="F22" s="69" t="s">
        <v>1165</v>
      </c>
      <c r="G22" s="69" t="s">
        <v>771</v>
      </c>
      <c r="H22" s="192" t="s">
        <v>763</v>
      </c>
      <c r="I22" s="427"/>
      <c r="J22" s="427">
        <v>586007691.75</v>
      </c>
      <c r="K22" s="378"/>
    </row>
    <row r="23" spans="2:11" ht="18.75" customHeight="1" x14ac:dyDescent="0.25">
      <c r="B23" s="924"/>
      <c r="C23" s="924"/>
      <c r="D23" s="68"/>
      <c r="E23" s="69"/>
      <c r="F23" s="69"/>
      <c r="G23" s="69"/>
      <c r="H23" s="192"/>
      <c r="I23" s="427"/>
      <c r="J23" s="427"/>
    </row>
    <row r="24" spans="2:11" ht="18.75" customHeight="1" x14ac:dyDescent="0.25">
      <c r="B24" s="924"/>
      <c r="C24" s="924"/>
      <c r="D24" s="68" t="s">
        <v>766</v>
      </c>
      <c r="E24" s="69" t="s">
        <v>767</v>
      </c>
      <c r="F24" s="69" t="s">
        <v>1166</v>
      </c>
      <c r="G24" s="69" t="s">
        <v>1047</v>
      </c>
      <c r="H24" s="192" t="s">
        <v>767</v>
      </c>
      <c r="I24" s="427">
        <v>2154099863.8200002</v>
      </c>
      <c r="J24" s="427"/>
      <c r="K24" s="378"/>
    </row>
    <row r="25" spans="2:11" ht="18.75" customHeight="1" x14ac:dyDescent="0.25">
      <c r="B25" s="924"/>
      <c r="C25" s="924"/>
      <c r="D25" s="68" t="s">
        <v>764</v>
      </c>
      <c r="E25" s="69" t="s">
        <v>765</v>
      </c>
      <c r="F25" s="69" t="s">
        <v>1167</v>
      </c>
      <c r="G25" s="69" t="s">
        <v>1047</v>
      </c>
      <c r="H25" s="192" t="s">
        <v>765</v>
      </c>
      <c r="I25" s="427"/>
      <c r="J25" s="427">
        <v>1957652972.76</v>
      </c>
      <c r="K25" s="378"/>
    </row>
    <row r="26" spans="2:11" ht="18.75" customHeight="1" x14ac:dyDescent="0.25">
      <c r="B26" s="924"/>
      <c r="C26" s="924"/>
      <c r="D26" s="68"/>
      <c r="E26" s="69"/>
      <c r="F26" s="69"/>
      <c r="G26" s="69"/>
      <c r="H26" s="192"/>
      <c r="I26" s="427"/>
      <c r="J26" s="427"/>
    </row>
    <row r="27" spans="2:11" ht="18.75" customHeight="1" x14ac:dyDescent="0.25">
      <c r="B27" s="924"/>
      <c r="C27" s="924"/>
      <c r="D27" s="68" t="s">
        <v>162</v>
      </c>
      <c r="E27" s="69" t="s">
        <v>163</v>
      </c>
      <c r="F27" s="69" t="s">
        <v>1168</v>
      </c>
      <c r="G27" s="69" t="s">
        <v>50</v>
      </c>
      <c r="H27" s="192" t="s">
        <v>163</v>
      </c>
      <c r="I27" s="427">
        <v>1672147168.0899999</v>
      </c>
      <c r="J27" s="427"/>
      <c r="K27" s="378"/>
    </row>
    <row r="28" spans="2:11" ht="18.75" customHeight="1" x14ac:dyDescent="0.25">
      <c r="B28" s="924"/>
      <c r="C28" s="924"/>
      <c r="D28" s="68" t="s">
        <v>760</v>
      </c>
      <c r="E28" s="69" t="s">
        <v>761</v>
      </c>
      <c r="F28" s="69" t="s">
        <v>1372</v>
      </c>
      <c r="G28" s="69" t="s">
        <v>50</v>
      </c>
      <c r="H28" s="192" t="s">
        <v>761</v>
      </c>
      <c r="I28" s="427"/>
      <c r="J28" s="427">
        <v>1269832038.5</v>
      </c>
      <c r="K28" s="378"/>
    </row>
    <row r="29" spans="2:11" ht="20.25" customHeight="1" x14ac:dyDescent="0.25">
      <c r="B29" s="924"/>
      <c r="C29" s="924"/>
      <c r="D29" s="68" t="s">
        <v>770</v>
      </c>
      <c r="E29" s="69" t="s">
        <v>768</v>
      </c>
      <c r="F29" s="69" t="s">
        <v>1170</v>
      </c>
      <c r="G29" s="69" t="s">
        <v>1048</v>
      </c>
      <c r="H29" s="192" t="s">
        <v>997</v>
      </c>
      <c r="I29" s="427">
        <v>936507205.01999998</v>
      </c>
      <c r="J29" s="427"/>
      <c r="K29" s="378"/>
    </row>
    <row r="30" spans="2:11" ht="20.25" customHeight="1" x14ac:dyDescent="0.25">
      <c r="B30" s="924"/>
      <c r="C30" s="924"/>
      <c r="D30" s="68"/>
      <c r="E30" s="69"/>
      <c r="F30" s="69"/>
      <c r="G30" s="69"/>
      <c r="H30" s="192"/>
      <c r="I30" s="427"/>
      <c r="J30" s="427"/>
    </row>
    <row r="31" spans="2:11" ht="20.25" customHeight="1" x14ac:dyDescent="0.25">
      <c r="B31" s="924"/>
      <c r="C31" s="924"/>
      <c r="D31" s="68" t="s">
        <v>776</v>
      </c>
      <c r="E31" s="69" t="s">
        <v>777</v>
      </c>
      <c r="F31" s="69" t="s">
        <v>1171</v>
      </c>
      <c r="G31" s="69" t="s">
        <v>992</v>
      </c>
      <c r="H31" s="192" t="s">
        <v>992</v>
      </c>
      <c r="I31" s="427">
        <v>247493895</v>
      </c>
      <c r="J31" s="427"/>
      <c r="K31" s="378"/>
    </row>
    <row r="32" spans="2:11" ht="20.25" customHeight="1" x14ac:dyDescent="0.25">
      <c r="B32" s="924"/>
      <c r="C32" s="924"/>
      <c r="D32" s="68" t="s">
        <v>165</v>
      </c>
      <c r="E32" s="69" t="s">
        <v>166</v>
      </c>
      <c r="F32" s="69"/>
      <c r="G32" s="69" t="s">
        <v>1154</v>
      </c>
      <c r="H32" s="69" t="s">
        <v>1154</v>
      </c>
      <c r="I32" s="427">
        <v>70489869.599999994</v>
      </c>
      <c r="J32" s="427">
        <v>0</v>
      </c>
      <c r="K32" s="378"/>
    </row>
    <row r="33" spans="2:11" ht="20.25" customHeight="1" x14ac:dyDescent="0.25">
      <c r="B33" s="924"/>
      <c r="C33" s="924"/>
      <c r="D33" s="68"/>
      <c r="E33" s="69"/>
      <c r="F33" s="69"/>
      <c r="G33" s="69"/>
      <c r="H33" s="192"/>
      <c r="I33" s="427"/>
      <c r="J33" s="427"/>
    </row>
    <row r="34" spans="2:11" ht="20.25" customHeight="1" x14ac:dyDescent="0.25">
      <c r="B34" s="924"/>
      <c r="C34" s="924"/>
      <c r="D34" s="68" t="s">
        <v>169</v>
      </c>
      <c r="E34" s="69" t="s">
        <v>51</v>
      </c>
      <c r="F34" s="69" t="s">
        <v>1173</v>
      </c>
      <c r="G34" s="69" t="s">
        <v>262</v>
      </c>
      <c r="H34" s="192" t="s">
        <v>262</v>
      </c>
      <c r="I34" s="427">
        <v>161861665.66999999</v>
      </c>
      <c r="J34" s="427"/>
      <c r="K34" s="378"/>
    </row>
    <row r="35" spans="2:11" ht="20.25" customHeight="1" x14ac:dyDescent="0.25">
      <c r="B35" s="924"/>
      <c r="C35" s="924"/>
      <c r="D35" s="68" t="s">
        <v>170</v>
      </c>
      <c r="E35" s="69" t="s">
        <v>171</v>
      </c>
      <c r="F35" s="69" t="s">
        <v>1174</v>
      </c>
      <c r="G35" s="69" t="s">
        <v>262</v>
      </c>
      <c r="H35" s="192" t="s">
        <v>171</v>
      </c>
      <c r="I35" s="427"/>
      <c r="J35" s="427">
        <v>161861665.66999999</v>
      </c>
      <c r="K35" s="378"/>
    </row>
    <row r="36" spans="2:11" ht="20.25" customHeight="1" x14ac:dyDescent="0.25">
      <c r="B36" s="924"/>
      <c r="C36" s="924"/>
      <c r="D36" s="188"/>
      <c r="E36" s="83"/>
      <c r="F36" s="83"/>
      <c r="G36" s="83"/>
      <c r="H36" s="83"/>
      <c r="I36" s="427"/>
      <c r="J36" s="427"/>
    </row>
    <row r="37" spans="2:11" ht="20.25" customHeight="1" x14ac:dyDescent="0.25">
      <c r="B37" s="924"/>
      <c r="C37" s="924"/>
      <c r="D37" s="188"/>
      <c r="E37" s="83"/>
      <c r="F37" s="933" t="s">
        <v>1033</v>
      </c>
      <c r="G37" s="83"/>
      <c r="H37" s="83"/>
      <c r="I37" s="427"/>
      <c r="J37" s="427"/>
    </row>
    <row r="38" spans="2:11" ht="20.25" customHeight="1" x14ac:dyDescent="0.25">
      <c r="B38" s="924"/>
      <c r="C38" s="924"/>
      <c r="D38" s="68" t="s">
        <v>101</v>
      </c>
      <c r="E38" s="69" t="s">
        <v>102</v>
      </c>
      <c r="F38" s="69" t="s">
        <v>1175</v>
      </c>
      <c r="G38" s="69" t="s">
        <v>1039</v>
      </c>
      <c r="H38" s="192" t="s">
        <v>1041</v>
      </c>
      <c r="I38" s="427">
        <v>11667</v>
      </c>
      <c r="J38" s="427"/>
      <c r="K38" s="378"/>
    </row>
    <row r="39" spans="2:11" ht="20.25" customHeight="1" x14ac:dyDescent="0.25">
      <c r="B39" s="924"/>
      <c r="C39" s="924"/>
      <c r="D39" s="68" t="s">
        <v>105</v>
      </c>
      <c r="E39" s="69" t="s">
        <v>103</v>
      </c>
      <c r="F39" s="69" t="s">
        <v>1176</v>
      </c>
      <c r="G39" s="69" t="s">
        <v>1039</v>
      </c>
      <c r="H39" s="192" t="s">
        <v>1042</v>
      </c>
      <c r="I39" s="427">
        <v>241761653.08000001</v>
      </c>
      <c r="J39" s="427"/>
      <c r="K39" s="378"/>
    </row>
    <row r="40" spans="2:11" ht="20.25" customHeight="1" x14ac:dyDescent="0.25">
      <c r="B40" s="924"/>
      <c r="C40" s="924"/>
      <c r="D40" s="68" t="s">
        <v>108</v>
      </c>
      <c r="E40" s="69" t="s">
        <v>109</v>
      </c>
      <c r="F40" s="69" t="s">
        <v>1177</v>
      </c>
      <c r="G40" s="69" t="s">
        <v>1039</v>
      </c>
      <c r="H40" s="192" t="s">
        <v>1043</v>
      </c>
      <c r="I40" s="427">
        <v>520709182.06</v>
      </c>
      <c r="J40" s="427"/>
      <c r="K40" s="378"/>
    </row>
    <row r="41" spans="2:11" ht="20.25" customHeight="1" x14ac:dyDescent="0.25">
      <c r="B41" s="924"/>
      <c r="C41" s="924"/>
      <c r="D41" s="68" t="s">
        <v>113</v>
      </c>
      <c r="E41" s="69" t="s">
        <v>114</v>
      </c>
      <c r="F41" s="69" t="s">
        <v>1178</v>
      </c>
      <c r="G41" s="69" t="s">
        <v>1039</v>
      </c>
      <c r="H41" s="192" t="s">
        <v>1044</v>
      </c>
      <c r="I41" s="427"/>
      <c r="J41" s="427">
        <v>206677722.28999999</v>
      </c>
      <c r="K41" s="378"/>
    </row>
    <row r="42" spans="2:11" ht="20.25" customHeight="1" x14ac:dyDescent="0.25">
      <c r="B42" s="924"/>
      <c r="C42" s="924"/>
      <c r="D42" s="68" t="s">
        <v>88</v>
      </c>
      <c r="E42" s="69" t="s">
        <v>89</v>
      </c>
      <c r="F42" s="69" t="s">
        <v>1179</v>
      </c>
      <c r="G42" s="69" t="s">
        <v>1039</v>
      </c>
      <c r="H42" s="192" t="s">
        <v>993</v>
      </c>
      <c r="I42" s="427">
        <v>28931900.030000001</v>
      </c>
      <c r="J42" s="427"/>
      <c r="K42" s="378"/>
    </row>
    <row r="43" spans="2:11" ht="20.25" customHeight="1" x14ac:dyDescent="0.25">
      <c r="B43" s="924"/>
      <c r="C43" s="924"/>
      <c r="D43" s="68" t="s">
        <v>91</v>
      </c>
      <c r="E43" s="69" t="s">
        <v>92</v>
      </c>
      <c r="F43" s="69" t="s">
        <v>1180</v>
      </c>
      <c r="G43" s="69" t="s">
        <v>1039</v>
      </c>
      <c r="H43" s="192" t="s">
        <v>994</v>
      </c>
      <c r="I43" s="427">
        <v>29449515.690000001</v>
      </c>
      <c r="J43" s="427"/>
      <c r="K43" s="378"/>
    </row>
    <row r="44" spans="2:11" ht="20.25" customHeight="1" x14ac:dyDescent="0.25">
      <c r="B44" s="924"/>
      <c r="C44" s="924"/>
      <c r="D44" s="68" t="s">
        <v>91</v>
      </c>
      <c r="E44" s="69" t="s">
        <v>1087</v>
      </c>
      <c r="F44" s="69" t="s">
        <v>1181</v>
      </c>
      <c r="G44" s="69" t="s">
        <v>1039</v>
      </c>
      <c r="H44" s="192" t="s">
        <v>994</v>
      </c>
      <c r="I44" s="427">
        <v>6938605.7300000004</v>
      </c>
      <c r="J44" s="427"/>
    </row>
    <row r="45" spans="2:11" ht="20.25" customHeight="1" x14ac:dyDescent="0.25">
      <c r="B45" s="924"/>
      <c r="C45" s="924"/>
      <c r="D45" s="68" t="s">
        <v>93</v>
      </c>
      <c r="E45" s="69" t="s">
        <v>1088</v>
      </c>
      <c r="F45" s="69" t="s">
        <v>1182</v>
      </c>
      <c r="G45" s="69" t="s">
        <v>1039</v>
      </c>
      <c r="H45" s="192" t="s">
        <v>1088</v>
      </c>
      <c r="I45" s="427"/>
      <c r="J45" s="427">
        <v>13170208.119999999</v>
      </c>
      <c r="K45" s="378"/>
    </row>
    <row r="46" spans="2:11" ht="20.25" customHeight="1" x14ac:dyDescent="0.25">
      <c r="B46" s="924"/>
      <c r="C46" s="924"/>
      <c r="D46" s="68" t="s">
        <v>93</v>
      </c>
      <c r="E46" s="69" t="s">
        <v>1405</v>
      </c>
      <c r="F46" s="69" t="s">
        <v>1183</v>
      </c>
      <c r="G46" s="69" t="s">
        <v>1039</v>
      </c>
      <c r="H46" s="192" t="s">
        <v>1089</v>
      </c>
      <c r="I46" s="427"/>
      <c r="J46" s="427">
        <v>6938605.7300000004</v>
      </c>
    </row>
    <row r="47" spans="2:11" ht="20.25" customHeight="1" x14ac:dyDescent="0.25">
      <c r="B47" s="924"/>
      <c r="C47" s="924"/>
      <c r="D47" s="68" t="s">
        <v>73</v>
      </c>
      <c r="E47" s="69" t="s">
        <v>74</v>
      </c>
      <c r="F47" s="69" t="s">
        <v>1184</v>
      </c>
      <c r="G47" s="69" t="s">
        <v>1039</v>
      </c>
      <c r="H47" s="192" t="s">
        <v>74</v>
      </c>
      <c r="I47" s="427">
        <v>13500000</v>
      </c>
      <c r="J47" s="427"/>
      <c r="K47" s="378"/>
    </row>
    <row r="48" spans="2:11" x14ac:dyDescent="0.25">
      <c r="B48" s="67" t="s">
        <v>57</v>
      </c>
      <c r="C48" s="68" t="s">
        <v>58</v>
      </c>
      <c r="D48" s="68" t="s">
        <v>75</v>
      </c>
      <c r="E48" s="69" t="s">
        <v>76</v>
      </c>
      <c r="F48" s="69" t="s">
        <v>1185</v>
      </c>
      <c r="G48" s="69" t="s">
        <v>1039</v>
      </c>
      <c r="H48" s="192" t="s">
        <v>76</v>
      </c>
      <c r="I48" s="427"/>
      <c r="J48" s="427"/>
    </row>
    <row r="49" spans="1:18" x14ac:dyDescent="0.25">
      <c r="B49" s="67" t="s">
        <v>60</v>
      </c>
      <c r="C49" s="68" t="s">
        <v>61</v>
      </c>
      <c r="D49" s="68" t="s">
        <v>77</v>
      </c>
      <c r="E49" s="69" t="s">
        <v>749</v>
      </c>
      <c r="F49" s="69" t="s">
        <v>1186</v>
      </c>
      <c r="G49" s="69" t="s">
        <v>1039</v>
      </c>
      <c r="H49" s="192" t="s">
        <v>749</v>
      </c>
      <c r="I49" s="427">
        <v>11014863.02</v>
      </c>
      <c r="J49" s="427"/>
      <c r="K49" s="378"/>
    </row>
    <row r="50" spans="1:18" x14ac:dyDescent="0.25">
      <c r="B50" s="67"/>
      <c r="C50" s="68"/>
      <c r="D50" s="68" t="s">
        <v>750</v>
      </c>
      <c r="E50" s="69" t="s">
        <v>115</v>
      </c>
      <c r="F50" s="69" t="s">
        <v>1187</v>
      </c>
      <c r="G50" s="69" t="s">
        <v>1039</v>
      </c>
      <c r="H50" s="192" t="s">
        <v>1090</v>
      </c>
      <c r="I50" s="427"/>
      <c r="J50" s="427">
        <v>7039999.29</v>
      </c>
      <c r="K50" s="378"/>
    </row>
    <row r="51" spans="1:18" x14ac:dyDescent="0.25">
      <c r="B51" s="67"/>
      <c r="C51" s="68"/>
      <c r="D51" s="68" t="s">
        <v>750</v>
      </c>
      <c r="E51" s="69" t="s">
        <v>115</v>
      </c>
      <c r="F51" s="69" t="s">
        <v>1188</v>
      </c>
      <c r="G51" s="69" t="s">
        <v>1039</v>
      </c>
      <c r="H51" s="192" t="s">
        <v>1091</v>
      </c>
      <c r="I51" s="427"/>
      <c r="J51" s="427">
        <v>121943900.54000001</v>
      </c>
    </row>
    <row r="52" spans="1:18" x14ac:dyDescent="0.25">
      <c r="B52" s="67"/>
      <c r="C52" s="68"/>
      <c r="D52" s="68" t="s">
        <v>118</v>
      </c>
      <c r="E52" s="69" t="s">
        <v>119</v>
      </c>
      <c r="F52" s="69" t="s">
        <v>1189</v>
      </c>
      <c r="G52" s="69" t="s">
        <v>1039</v>
      </c>
      <c r="H52" s="192" t="s">
        <v>1026</v>
      </c>
      <c r="I52" s="427">
        <v>623351.12</v>
      </c>
      <c r="J52" s="427"/>
      <c r="K52" s="378"/>
    </row>
    <row r="53" spans="1:18" x14ac:dyDescent="0.25">
      <c r="B53" s="67"/>
      <c r="C53" s="68"/>
      <c r="D53" s="68" t="s">
        <v>122</v>
      </c>
      <c r="E53" s="69" t="s">
        <v>123</v>
      </c>
      <c r="F53" s="69" t="s">
        <v>1190</v>
      </c>
      <c r="G53" s="69" t="s">
        <v>1039</v>
      </c>
      <c r="H53" s="192" t="s">
        <v>1027</v>
      </c>
      <c r="I53" s="427">
        <v>24389.88</v>
      </c>
      <c r="J53" s="427"/>
      <c r="K53" s="378"/>
    </row>
    <row r="54" spans="1:18" x14ac:dyDescent="0.25">
      <c r="B54" s="67"/>
      <c r="C54" s="68"/>
      <c r="D54" s="68" t="s">
        <v>128</v>
      </c>
      <c r="E54" s="69" t="s">
        <v>129</v>
      </c>
      <c r="F54" s="69" t="s">
        <v>1191</v>
      </c>
      <c r="G54" s="69" t="s">
        <v>1039</v>
      </c>
      <c r="H54" s="192" t="s">
        <v>1028</v>
      </c>
      <c r="I54" s="427">
        <v>6456172.5099999998</v>
      </c>
      <c r="J54" s="427"/>
      <c r="K54" s="378"/>
    </row>
    <row r="55" spans="1:18" x14ac:dyDescent="0.25">
      <c r="B55" s="67"/>
      <c r="C55" s="68"/>
      <c r="D55" s="68" t="s">
        <v>132</v>
      </c>
      <c r="E55" s="69" t="s">
        <v>133</v>
      </c>
      <c r="F55" s="69" t="s">
        <v>1192</v>
      </c>
      <c r="G55" s="69" t="s">
        <v>1039</v>
      </c>
      <c r="H55" s="192" t="s">
        <v>1029</v>
      </c>
      <c r="I55" s="427">
        <v>968664.7</v>
      </c>
      <c r="J55" s="427"/>
      <c r="K55" s="378"/>
    </row>
    <row r="56" spans="1:18" x14ac:dyDescent="0.25">
      <c r="B56" s="67"/>
      <c r="C56" s="68"/>
      <c r="D56" s="68" t="s">
        <v>136</v>
      </c>
      <c r="E56" s="69" t="s">
        <v>137</v>
      </c>
      <c r="F56" s="69" t="s">
        <v>1193</v>
      </c>
      <c r="G56" s="69" t="s">
        <v>1039</v>
      </c>
      <c r="H56" s="192" t="s">
        <v>137</v>
      </c>
      <c r="I56" s="427">
        <v>0</v>
      </c>
      <c r="J56" s="427"/>
      <c r="K56" s="378"/>
    </row>
    <row r="57" spans="1:18" s="63" customFormat="1" x14ac:dyDescent="0.25">
      <c r="A57"/>
      <c r="B57" s="67" t="s">
        <v>65</v>
      </c>
      <c r="C57" s="68" t="s">
        <v>66</v>
      </c>
      <c r="D57" s="68" t="s">
        <v>151</v>
      </c>
      <c r="E57" s="69" t="s">
        <v>152</v>
      </c>
      <c r="F57" s="69" t="s">
        <v>1188</v>
      </c>
      <c r="G57" s="69" t="s">
        <v>1039</v>
      </c>
      <c r="H57" s="192" t="s">
        <v>152</v>
      </c>
      <c r="I57" s="427"/>
      <c r="J57" s="427">
        <v>1020331438.78</v>
      </c>
      <c r="K57" s="379"/>
      <c r="N57" s="377"/>
      <c r="O57" s="377"/>
      <c r="P57" s="377"/>
      <c r="Q57" s="377"/>
      <c r="R57" s="377"/>
    </row>
    <row r="58" spans="1:18" s="63" customFormat="1" x14ac:dyDescent="0.25">
      <c r="A58"/>
      <c r="B58" s="67" t="s">
        <v>81</v>
      </c>
      <c r="C58" s="68" t="s">
        <v>82</v>
      </c>
      <c r="D58" s="68" t="s">
        <v>83</v>
      </c>
      <c r="E58" s="69" t="s">
        <v>84</v>
      </c>
      <c r="F58" s="69" t="s">
        <v>1194</v>
      </c>
      <c r="G58" s="69" t="s">
        <v>1039</v>
      </c>
      <c r="H58" s="192" t="s">
        <v>84</v>
      </c>
      <c r="I58" s="427">
        <v>1101588321.3199999</v>
      </c>
      <c r="J58" s="427"/>
      <c r="K58" s="379"/>
      <c r="N58" s="377"/>
      <c r="O58" s="377"/>
      <c r="P58" s="377"/>
      <c r="Q58" s="377"/>
      <c r="R58" s="377"/>
    </row>
    <row r="59" spans="1:18" s="63" customFormat="1" x14ac:dyDescent="0.25">
      <c r="A59"/>
      <c r="B59" s="67" t="s">
        <v>86</v>
      </c>
      <c r="C59" s="68" t="s">
        <v>87</v>
      </c>
      <c r="D59" s="68" t="s">
        <v>85</v>
      </c>
      <c r="E59" s="69" t="s">
        <v>76</v>
      </c>
      <c r="F59" s="69" t="s">
        <v>1185</v>
      </c>
      <c r="G59" s="69" t="s">
        <v>1039</v>
      </c>
      <c r="H59" s="192" t="s">
        <v>1086</v>
      </c>
      <c r="I59" s="427"/>
      <c r="J59" s="427">
        <v>1044927920.3200001</v>
      </c>
      <c r="K59" s="379"/>
      <c r="N59" s="377"/>
      <c r="O59" s="377"/>
      <c r="P59" s="377"/>
      <c r="Q59" s="377"/>
      <c r="R59" s="377"/>
    </row>
    <row r="60" spans="1:18" s="63" customFormat="1" x14ac:dyDescent="0.25">
      <c r="A60"/>
      <c r="B60" s="67" t="s">
        <v>96</v>
      </c>
      <c r="C60" s="68" t="s">
        <v>97</v>
      </c>
      <c r="D60" s="68" t="s">
        <v>98</v>
      </c>
      <c r="E60" s="69" t="s">
        <v>96</v>
      </c>
      <c r="F60" s="69" t="s">
        <v>1195</v>
      </c>
      <c r="G60" s="69" t="s">
        <v>1040</v>
      </c>
      <c r="H60" s="192" t="s">
        <v>995</v>
      </c>
      <c r="I60" s="427">
        <v>64158614.710000001</v>
      </c>
      <c r="J60" s="427"/>
      <c r="K60" s="379"/>
      <c r="N60" s="377"/>
      <c r="O60" s="377"/>
      <c r="P60" s="377"/>
      <c r="Q60" s="377"/>
      <c r="R60" s="377"/>
    </row>
    <row r="61" spans="1:18" s="63" customFormat="1" x14ac:dyDescent="0.25">
      <c r="A61"/>
      <c r="B61" s="67"/>
      <c r="C61" s="68"/>
      <c r="D61" s="68" t="s">
        <v>79</v>
      </c>
      <c r="E61" s="69" t="s">
        <v>80</v>
      </c>
      <c r="F61" s="69" t="s">
        <v>1195</v>
      </c>
      <c r="G61" s="69" t="s">
        <v>1040</v>
      </c>
      <c r="H61" s="192" t="s">
        <v>996</v>
      </c>
      <c r="I61" s="427"/>
      <c r="J61" s="427">
        <v>31871912.260000002</v>
      </c>
      <c r="K61" s="379"/>
      <c r="N61" s="377"/>
      <c r="O61" s="377"/>
      <c r="P61" s="377"/>
      <c r="Q61" s="377"/>
      <c r="R61" s="377"/>
    </row>
    <row r="62" spans="1:18" s="63" customFormat="1" x14ac:dyDescent="0.25">
      <c r="A62"/>
      <c r="B62" s="67" t="s">
        <v>99</v>
      </c>
      <c r="C62" s="68" t="s">
        <v>100</v>
      </c>
      <c r="D62" s="108"/>
      <c r="E62" s="108"/>
      <c r="F62" s="108"/>
      <c r="G62" s="108"/>
      <c r="H62" s="108"/>
      <c r="I62" s="427"/>
      <c r="J62" s="427"/>
      <c r="N62" s="377"/>
      <c r="O62" s="377"/>
      <c r="P62" s="377"/>
      <c r="Q62" s="377"/>
      <c r="R62" s="377"/>
    </row>
    <row r="63" spans="1:18" s="63" customFormat="1" x14ac:dyDescent="0.25">
      <c r="A63"/>
      <c r="B63" s="67" t="s">
        <v>103</v>
      </c>
      <c r="C63" s="68" t="s">
        <v>104</v>
      </c>
      <c r="D63" s="68" t="s">
        <v>140</v>
      </c>
      <c r="E63" s="69" t="s">
        <v>141</v>
      </c>
      <c r="F63" s="69" t="s">
        <v>1196</v>
      </c>
      <c r="G63" s="69" t="s">
        <v>1045</v>
      </c>
      <c r="H63" s="192" t="s">
        <v>141</v>
      </c>
      <c r="I63" s="427"/>
      <c r="J63" s="427"/>
      <c r="N63" s="377"/>
      <c r="O63" s="377"/>
      <c r="P63" s="377"/>
      <c r="Q63" s="377"/>
      <c r="R63" s="377"/>
    </row>
    <row r="64" spans="1:18" s="63" customFormat="1" x14ac:dyDescent="0.25">
      <c r="A64"/>
      <c r="B64" s="67" t="s">
        <v>106</v>
      </c>
      <c r="C64" s="68" t="s">
        <v>107</v>
      </c>
      <c r="D64" s="68" t="s">
        <v>146</v>
      </c>
      <c r="E64" s="69" t="s">
        <v>147</v>
      </c>
      <c r="F64" s="69" t="s">
        <v>1196</v>
      </c>
      <c r="G64" s="69" t="s">
        <v>1045</v>
      </c>
      <c r="H64" s="192" t="s">
        <v>147</v>
      </c>
      <c r="I64" s="427">
        <v>1143744205.77</v>
      </c>
      <c r="J64" s="427"/>
      <c r="K64" s="379"/>
      <c r="N64" s="377"/>
      <c r="O64" s="377"/>
      <c r="P64" s="377"/>
      <c r="Q64" s="377"/>
      <c r="R64" s="377"/>
    </row>
    <row r="65" spans="1:18" s="63" customFormat="1" x14ac:dyDescent="0.25">
      <c r="A65"/>
      <c r="B65" s="67" t="s">
        <v>111</v>
      </c>
      <c r="C65" s="68" t="s">
        <v>112</v>
      </c>
      <c r="D65" s="68" t="s">
        <v>751</v>
      </c>
      <c r="E65" s="69" t="s">
        <v>150</v>
      </c>
      <c r="F65" s="69" t="s">
        <v>1197</v>
      </c>
      <c r="G65" s="69" t="s">
        <v>1045</v>
      </c>
      <c r="H65" s="192" t="s">
        <v>150</v>
      </c>
      <c r="I65" s="427">
        <v>3252877.38</v>
      </c>
      <c r="J65" s="427"/>
      <c r="K65" s="379"/>
      <c r="N65" s="377"/>
      <c r="O65" s="377"/>
      <c r="P65" s="377"/>
      <c r="Q65" s="377"/>
      <c r="R65" s="377"/>
    </row>
    <row r="66" spans="1:18" s="63" customFormat="1" x14ac:dyDescent="0.25">
      <c r="A66"/>
      <c r="B66" s="67" t="s">
        <v>116</v>
      </c>
      <c r="C66" s="68" t="s">
        <v>117</v>
      </c>
      <c r="D66" s="68" t="s">
        <v>752</v>
      </c>
      <c r="E66" s="69" t="s">
        <v>753</v>
      </c>
      <c r="F66" s="69" t="s">
        <v>1198</v>
      </c>
      <c r="G66" s="69" t="s">
        <v>1045</v>
      </c>
      <c r="H66" s="192" t="s">
        <v>1092</v>
      </c>
      <c r="I66" s="427"/>
      <c r="J66" s="427">
        <v>3252877.38</v>
      </c>
      <c r="K66" s="379"/>
      <c r="N66" s="377"/>
      <c r="O66" s="377"/>
      <c r="P66" s="377"/>
      <c r="Q66" s="377"/>
      <c r="R66" s="377"/>
    </row>
    <row r="67" spans="1:18" s="63" customFormat="1" x14ac:dyDescent="0.25">
      <c r="A67"/>
      <c r="B67" s="67" t="s">
        <v>120</v>
      </c>
      <c r="C67" s="68" t="s">
        <v>121</v>
      </c>
      <c r="D67" s="108"/>
      <c r="E67" s="108"/>
      <c r="F67" s="108"/>
      <c r="G67" s="108"/>
      <c r="H67" s="108"/>
      <c r="I67" s="427"/>
      <c r="J67" s="427"/>
      <c r="N67" s="377"/>
      <c r="O67" s="377"/>
      <c r="P67" s="377"/>
      <c r="Q67" s="377"/>
      <c r="R67" s="377"/>
    </row>
    <row r="68" spans="1:18" s="63" customFormat="1" x14ac:dyDescent="0.25">
      <c r="A68"/>
      <c r="B68" s="67" t="s">
        <v>126</v>
      </c>
      <c r="C68" s="68" t="s">
        <v>127</v>
      </c>
      <c r="D68" s="931" t="s">
        <v>692</v>
      </c>
      <c r="E68" s="69" t="s">
        <v>149</v>
      </c>
      <c r="F68" s="69" t="s">
        <v>1199</v>
      </c>
      <c r="G68" s="69" t="s">
        <v>928</v>
      </c>
      <c r="H68" s="192" t="s">
        <v>149</v>
      </c>
      <c r="I68" s="427">
        <v>11385.65</v>
      </c>
      <c r="J68" s="427"/>
      <c r="K68" s="379"/>
      <c r="N68" s="377"/>
      <c r="O68" s="377"/>
      <c r="P68" s="377"/>
      <c r="Q68" s="377"/>
      <c r="R68" s="377"/>
    </row>
    <row r="69" spans="1:18" s="63" customFormat="1" x14ac:dyDescent="0.25">
      <c r="A69"/>
      <c r="B69" s="67"/>
      <c r="C69" s="68"/>
      <c r="D69" s="934"/>
      <c r="E69" s="83"/>
      <c r="F69" s="83"/>
      <c r="G69" s="83"/>
      <c r="H69" s="83"/>
      <c r="I69" s="427"/>
      <c r="J69" s="427"/>
      <c r="N69" s="377"/>
      <c r="O69" s="377"/>
      <c r="P69" s="377"/>
      <c r="Q69" s="377"/>
      <c r="R69" s="377"/>
    </row>
    <row r="70" spans="1:18" s="63" customFormat="1" x14ac:dyDescent="0.25">
      <c r="A70"/>
      <c r="B70" s="67" t="s">
        <v>130</v>
      </c>
      <c r="C70" s="68" t="s">
        <v>131</v>
      </c>
      <c r="D70" s="108"/>
      <c r="E70" s="108"/>
      <c r="F70" s="933" t="s">
        <v>950</v>
      </c>
      <c r="G70" s="108"/>
      <c r="H70" s="108"/>
      <c r="I70" s="427"/>
      <c r="J70" s="427"/>
      <c r="N70" s="377"/>
      <c r="O70" s="377"/>
      <c r="P70" s="377"/>
      <c r="Q70" s="377"/>
      <c r="R70" s="377"/>
    </row>
    <row r="71" spans="1:18" s="63" customFormat="1" x14ac:dyDescent="0.25">
      <c r="A71"/>
      <c r="B71" s="67" t="s">
        <v>134</v>
      </c>
      <c r="C71" s="68" t="s">
        <v>135</v>
      </c>
      <c r="D71" s="68" t="s">
        <v>781</v>
      </c>
      <c r="E71" s="69" t="s">
        <v>782</v>
      </c>
      <c r="F71" s="69" t="s">
        <v>1200</v>
      </c>
      <c r="G71" s="69" t="s">
        <v>1046</v>
      </c>
      <c r="H71" s="192" t="s">
        <v>782</v>
      </c>
      <c r="I71" s="427">
        <v>0</v>
      </c>
      <c r="J71" s="427"/>
      <c r="N71" s="377"/>
      <c r="O71" s="377"/>
      <c r="P71" s="377"/>
      <c r="Q71" s="377"/>
      <c r="R71" s="377"/>
    </row>
    <row r="72" spans="1:18" s="63" customFormat="1" x14ac:dyDescent="0.25">
      <c r="A72"/>
      <c r="B72" s="67" t="s">
        <v>138</v>
      </c>
      <c r="C72" s="68" t="s">
        <v>139</v>
      </c>
      <c r="D72" s="68" t="s">
        <v>155</v>
      </c>
      <c r="E72" s="69" t="s">
        <v>156</v>
      </c>
      <c r="F72" s="69" t="s">
        <v>1201</v>
      </c>
      <c r="G72" s="69" t="s">
        <v>1046</v>
      </c>
      <c r="H72" s="192" t="s">
        <v>156</v>
      </c>
      <c r="I72" s="427">
        <v>1558990.67</v>
      </c>
      <c r="J72" s="427"/>
      <c r="K72" s="379"/>
      <c r="N72" s="377"/>
      <c r="O72" s="377"/>
      <c r="P72" s="377"/>
      <c r="Q72" s="377"/>
      <c r="R72" s="377"/>
    </row>
    <row r="73" spans="1:18" s="63" customFormat="1" x14ac:dyDescent="0.25">
      <c r="A73"/>
      <c r="B73" s="67" t="s">
        <v>142</v>
      </c>
      <c r="C73" s="68" t="s">
        <v>143</v>
      </c>
      <c r="D73" s="108"/>
      <c r="E73" s="108"/>
      <c r="F73" s="108"/>
      <c r="G73" s="108"/>
      <c r="H73" s="108"/>
      <c r="I73" s="427"/>
      <c r="J73" s="427"/>
      <c r="N73" s="377"/>
      <c r="O73" s="377"/>
      <c r="P73" s="377"/>
      <c r="Q73" s="377"/>
      <c r="R73" s="377"/>
    </row>
    <row r="74" spans="1:18" s="63" customFormat="1" ht="19.5" customHeight="1" x14ac:dyDescent="0.25">
      <c r="A74"/>
      <c r="B74" s="67"/>
      <c r="C74" s="68"/>
      <c r="D74" s="108"/>
      <c r="E74" s="108"/>
      <c r="F74" s="933" t="s">
        <v>711</v>
      </c>
      <c r="G74" s="108"/>
      <c r="H74" s="108"/>
      <c r="I74" s="427"/>
      <c r="J74" s="427"/>
      <c r="N74" s="377"/>
      <c r="O74" s="377"/>
      <c r="P74" s="377"/>
      <c r="Q74" s="377"/>
      <c r="R74" s="377"/>
    </row>
    <row r="75" spans="1:18" s="63" customFormat="1" x14ac:dyDescent="0.25">
      <c r="A75"/>
      <c r="B75" s="67" t="s">
        <v>144</v>
      </c>
      <c r="C75" s="68" t="s">
        <v>145</v>
      </c>
      <c r="D75" s="68" t="s">
        <v>174</v>
      </c>
      <c r="E75" s="69" t="s">
        <v>175</v>
      </c>
      <c r="F75" s="69" t="s">
        <v>1202</v>
      </c>
      <c r="G75" s="69" t="s">
        <v>1049</v>
      </c>
      <c r="H75" s="192" t="s">
        <v>175</v>
      </c>
      <c r="I75" s="427">
        <v>349338581.29000002</v>
      </c>
      <c r="J75" s="427"/>
      <c r="K75" s="379">
        <v>283091102.49000001</v>
      </c>
      <c r="L75" s="63">
        <f>I75-K75</f>
        <v>66247478.800000012</v>
      </c>
      <c r="N75" s="377"/>
      <c r="O75" s="377"/>
      <c r="P75" s="377"/>
      <c r="Q75" s="377"/>
      <c r="R75" s="377"/>
    </row>
    <row r="76" spans="1:18" s="63" customFormat="1" x14ac:dyDescent="0.25">
      <c r="A76"/>
      <c r="B76" s="67"/>
      <c r="C76" s="68"/>
      <c r="D76" s="68" t="s">
        <v>181</v>
      </c>
      <c r="E76" s="69" t="s">
        <v>182</v>
      </c>
      <c r="F76" s="69" t="s">
        <v>1203</v>
      </c>
      <c r="G76" s="69" t="s">
        <v>1049</v>
      </c>
      <c r="H76" s="192" t="s">
        <v>182</v>
      </c>
      <c r="I76" s="427">
        <v>30411002829.810001</v>
      </c>
      <c r="J76" s="427"/>
      <c r="K76" s="379">
        <v>21155772706.810001</v>
      </c>
      <c r="L76" s="63">
        <f>I76-K76</f>
        <v>9255230123</v>
      </c>
      <c r="N76" s="377"/>
      <c r="O76" s="377"/>
      <c r="P76" s="377"/>
      <c r="Q76" s="377"/>
      <c r="R76" s="377"/>
    </row>
    <row r="77" spans="1:18" s="63" customFormat="1" x14ac:dyDescent="0.25">
      <c r="A77"/>
      <c r="B77" s="67"/>
      <c r="C77" s="68"/>
      <c r="D77" s="108"/>
      <c r="E77" s="108"/>
      <c r="F77" s="108"/>
      <c r="G77" s="108"/>
      <c r="H77" s="108"/>
      <c r="I77" s="427"/>
      <c r="J77" s="427"/>
      <c r="L77" s="63">
        <f>L75+L76</f>
        <v>9321477601.7999992</v>
      </c>
      <c r="N77" s="377"/>
      <c r="O77" s="377"/>
      <c r="P77" s="377"/>
      <c r="Q77" s="377"/>
      <c r="R77" s="377"/>
    </row>
    <row r="78" spans="1:18" s="63" customFormat="1" ht="25.5" customHeight="1" x14ac:dyDescent="0.25">
      <c r="A78"/>
      <c r="B78" s="67" t="s">
        <v>142</v>
      </c>
      <c r="C78" s="68" t="s">
        <v>148</v>
      </c>
      <c r="D78" s="108"/>
      <c r="E78" s="108"/>
      <c r="F78" s="935" t="s">
        <v>1056</v>
      </c>
      <c r="G78" s="108"/>
      <c r="H78" s="108"/>
      <c r="I78" s="427"/>
      <c r="J78" s="427"/>
      <c r="N78" s="377"/>
      <c r="O78" s="377"/>
      <c r="P78" s="377"/>
      <c r="Q78" s="377"/>
      <c r="R78" s="377"/>
    </row>
    <row r="79" spans="1:18" s="63" customFormat="1" x14ac:dyDescent="0.25">
      <c r="A79"/>
      <c r="B79" s="67"/>
      <c r="C79" s="68"/>
      <c r="D79" s="68" t="s">
        <v>185</v>
      </c>
      <c r="E79" s="69" t="s">
        <v>186</v>
      </c>
      <c r="F79" s="69" t="s">
        <v>1204</v>
      </c>
      <c r="G79" s="69" t="s">
        <v>183</v>
      </c>
      <c r="H79" s="192" t="s">
        <v>186</v>
      </c>
      <c r="I79" s="427">
        <v>70721642.950000003</v>
      </c>
      <c r="J79" s="427"/>
      <c r="K79" s="379"/>
      <c r="N79" s="377"/>
      <c r="O79" s="377"/>
      <c r="P79" s="377"/>
      <c r="Q79" s="377"/>
      <c r="R79" s="377"/>
    </row>
    <row r="80" spans="1:18" s="63" customFormat="1" x14ac:dyDescent="0.25">
      <c r="A80"/>
      <c r="B80" s="67" t="s">
        <v>153</v>
      </c>
      <c r="C80" s="68" t="s">
        <v>154</v>
      </c>
      <c r="D80" s="68" t="s">
        <v>189</v>
      </c>
      <c r="E80" s="69" t="s">
        <v>190</v>
      </c>
      <c r="F80" s="69" t="s">
        <v>1205</v>
      </c>
      <c r="G80" s="69" t="s">
        <v>183</v>
      </c>
      <c r="H80" s="192" t="s">
        <v>190</v>
      </c>
      <c r="I80" s="427"/>
      <c r="J80" s="427">
        <v>69907828.680000007</v>
      </c>
      <c r="K80" s="379"/>
      <c r="N80" s="377"/>
      <c r="O80" s="377"/>
      <c r="P80" s="377"/>
      <c r="Q80" s="377"/>
      <c r="R80" s="377"/>
    </row>
    <row r="81" spans="1:18" s="63" customFormat="1" x14ac:dyDescent="0.25">
      <c r="A81"/>
      <c r="B81" s="67" t="s">
        <v>157</v>
      </c>
      <c r="C81" s="68" t="s">
        <v>158</v>
      </c>
      <c r="D81" s="108"/>
      <c r="E81" s="108"/>
      <c r="F81" s="108"/>
      <c r="G81" s="108"/>
      <c r="H81" s="108"/>
      <c r="I81" s="427"/>
      <c r="J81" s="427"/>
      <c r="N81" s="377"/>
      <c r="O81" s="377"/>
      <c r="P81" s="377"/>
      <c r="Q81" s="377"/>
      <c r="R81" s="377"/>
    </row>
    <row r="82" spans="1:18" s="63" customFormat="1" x14ac:dyDescent="0.25">
      <c r="A82"/>
      <c r="B82" s="67" t="s">
        <v>160</v>
      </c>
      <c r="C82" s="68" t="s">
        <v>161</v>
      </c>
      <c r="D82" s="68" t="s">
        <v>215</v>
      </c>
      <c r="E82" s="69" t="s">
        <v>216</v>
      </c>
      <c r="F82" s="69" t="s">
        <v>1206</v>
      </c>
      <c r="G82" s="69" t="s">
        <v>1050</v>
      </c>
      <c r="H82" s="192" t="s">
        <v>216</v>
      </c>
      <c r="I82" s="427">
        <v>1160068948.9100001</v>
      </c>
      <c r="J82" s="427"/>
      <c r="K82" s="379"/>
      <c r="N82" s="377"/>
      <c r="O82" s="377"/>
      <c r="P82" s="377"/>
      <c r="Q82" s="377"/>
      <c r="R82" s="377"/>
    </row>
    <row r="83" spans="1:18" s="63" customFormat="1" x14ac:dyDescent="0.25">
      <c r="A83"/>
      <c r="B83" s="67"/>
      <c r="C83" s="68"/>
      <c r="D83" s="68" t="s">
        <v>178</v>
      </c>
      <c r="E83" s="69" t="s">
        <v>179</v>
      </c>
      <c r="F83" s="69" t="s">
        <v>1207</v>
      </c>
      <c r="G83" s="69" t="s">
        <v>1050</v>
      </c>
      <c r="H83" s="192" t="s">
        <v>179</v>
      </c>
      <c r="I83" s="427"/>
      <c r="J83" s="427">
        <v>1159727430.78</v>
      </c>
      <c r="K83" s="379"/>
      <c r="N83" s="377"/>
      <c r="O83" s="377"/>
      <c r="P83" s="377"/>
      <c r="Q83" s="377"/>
      <c r="R83" s="377"/>
    </row>
    <row r="84" spans="1:18" s="63" customFormat="1" x14ac:dyDescent="0.25">
      <c r="A84"/>
      <c r="B84" s="67"/>
      <c r="C84" s="68"/>
      <c r="D84" s="68" t="s">
        <v>206</v>
      </c>
      <c r="E84" s="69" t="s">
        <v>207</v>
      </c>
      <c r="F84" s="69" t="s">
        <v>1208</v>
      </c>
      <c r="G84" s="69" t="s">
        <v>1050</v>
      </c>
      <c r="H84" s="192" t="s">
        <v>207</v>
      </c>
      <c r="I84" s="427">
        <v>4518600</v>
      </c>
      <c r="J84" s="427"/>
      <c r="K84" s="379"/>
      <c r="N84" s="377"/>
      <c r="O84" s="377"/>
      <c r="P84" s="377"/>
      <c r="Q84" s="377"/>
      <c r="R84" s="377"/>
    </row>
    <row r="85" spans="1:18" s="63" customFormat="1" x14ac:dyDescent="0.25">
      <c r="A85"/>
      <c r="B85" s="67"/>
      <c r="C85" s="68"/>
      <c r="D85" s="68" t="s">
        <v>208</v>
      </c>
      <c r="E85" s="69" t="s">
        <v>209</v>
      </c>
      <c r="F85" s="69" t="s">
        <v>1209</v>
      </c>
      <c r="G85" s="69" t="s">
        <v>1050</v>
      </c>
      <c r="H85" s="192" t="s">
        <v>209</v>
      </c>
      <c r="I85" s="427"/>
      <c r="J85" s="427">
        <v>4518600</v>
      </c>
      <c r="K85" s="379"/>
      <c r="N85" s="377"/>
      <c r="O85" s="377"/>
      <c r="P85" s="377"/>
      <c r="Q85" s="377"/>
      <c r="R85" s="377"/>
    </row>
    <row r="86" spans="1:18" s="63" customFormat="1" x14ac:dyDescent="0.25">
      <c r="A86"/>
      <c r="B86" s="67"/>
      <c r="C86" s="68"/>
      <c r="D86" s="68" t="s">
        <v>193</v>
      </c>
      <c r="E86" s="69" t="s">
        <v>194</v>
      </c>
      <c r="F86" s="69" t="s">
        <v>1210</v>
      </c>
      <c r="G86" s="69" t="s">
        <v>1050</v>
      </c>
      <c r="H86" s="192" t="s">
        <v>998</v>
      </c>
      <c r="I86" s="427">
        <v>922591.08</v>
      </c>
      <c r="J86" s="427"/>
      <c r="K86" s="379"/>
      <c r="N86" s="377"/>
      <c r="O86" s="377"/>
      <c r="P86" s="377"/>
      <c r="Q86" s="377"/>
      <c r="R86" s="377"/>
    </row>
    <row r="87" spans="1:18" s="63" customFormat="1" x14ac:dyDescent="0.25">
      <c r="A87"/>
      <c r="B87" s="67"/>
      <c r="C87" s="68"/>
      <c r="D87" s="68" t="s">
        <v>197</v>
      </c>
      <c r="E87" s="69" t="s">
        <v>198</v>
      </c>
      <c r="F87" s="69" t="s">
        <v>1211</v>
      </c>
      <c r="G87" s="69" t="s">
        <v>1050</v>
      </c>
      <c r="H87" s="192" t="s">
        <v>1051</v>
      </c>
      <c r="I87" s="427"/>
      <c r="J87" s="427">
        <v>922590.08</v>
      </c>
      <c r="K87" s="379"/>
      <c r="N87" s="377"/>
      <c r="O87" s="377"/>
      <c r="P87" s="377"/>
      <c r="Q87" s="377"/>
      <c r="R87" s="377"/>
    </row>
    <row r="88" spans="1:18" s="63" customFormat="1" x14ac:dyDescent="0.25">
      <c r="A88"/>
      <c r="B88" s="67"/>
      <c r="C88" s="68"/>
      <c r="D88" s="108"/>
      <c r="E88" s="108"/>
      <c r="F88" s="108"/>
      <c r="G88" s="108"/>
      <c r="H88" s="108"/>
      <c r="I88" s="427"/>
      <c r="J88" s="427"/>
      <c r="N88" s="377"/>
      <c r="O88" s="377"/>
      <c r="P88" s="377"/>
      <c r="Q88" s="377"/>
      <c r="R88" s="377"/>
    </row>
    <row r="89" spans="1:18" s="63" customFormat="1" x14ac:dyDescent="0.25">
      <c r="A89"/>
      <c r="B89" s="67" t="s">
        <v>159</v>
      </c>
      <c r="C89" s="68" t="s">
        <v>164</v>
      </c>
      <c r="D89" s="68" t="s">
        <v>232</v>
      </c>
      <c r="E89" s="69" t="s">
        <v>231</v>
      </c>
      <c r="F89" s="69" t="s">
        <v>1212</v>
      </c>
      <c r="G89" s="69" t="s">
        <v>1052</v>
      </c>
      <c r="H89" s="192" t="s">
        <v>231</v>
      </c>
      <c r="I89" s="427">
        <v>12862817.039999999</v>
      </c>
      <c r="J89" s="427"/>
      <c r="K89" s="379"/>
      <c r="N89" s="377"/>
      <c r="O89" s="377"/>
      <c r="P89" s="377"/>
      <c r="Q89" s="377"/>
      <c r="R89" s="377"/>
    </row>
    <row r="90" spans="1:18" s="63" customFormat="1" x14ac:dyDescent="0.25">
      <c r="A90"/>
      <c r="B90" s="67"/>
      <c r="C90" s="936"/>
      <c r="D90" s="68" t="s">
        <v>233</v>
      </c>
      <c r="E90" s="69" t="s">
        <v>234</v>
      </c>
      <c r="F90" s="69" t="s">
        <v>1213</v>
      </c>
      <c r="G90" s="69" t="s">
        <v>1052</v>
      </c>
      <c r="H90" s="192" t="s">
        <v>234</v>
      </c>
      <c r="I90" s="427"/>
      <c r="J90" s="427">
        <v>8264626.9400000004</v>
      </c>
      <c r="K90" s="379"/>
      <c r="N90" s="377"/>
      <c r="O90" s="377"/>
      <c r="P90" s="377"/>
      <c r="Q90" s="377"/>
      <c r="R90" s="377"/>
    </row>
    <row r="91" spans="1:18" s="63" customFormat="1" x14ac:dyDescent="0.25">
      <c r="A91"/>
      <c r="B91" s="67" t="s">
        <v>167</v>
      </c>
      <c r="C91" s="68" t="s">
        <v>168</v>
      </c>
      <c r="D91" s="931" t="s">
        <v>693</v>
      </c>
      <c r="E91" s="69" t="s">
        <v>201</v>
      </c>
      <c r="F91" s="69" t="s">
        <v>1214</v>
      </c>
      <c r="G91" s="69" t="s">
        <v>1052</v>
      </c>
      <c r="H91" s="192" t="s">
        <v>201</v>
      </c>
      <c r="I91" s="427">
        <v>14007697.26</v>
      </c>
      <c r="J91" s="427"/>
      <c r="K91" s="379"/>
      <c r="N91" s="377"/>
      <c r="O91" s="377"/>
      <c r="P91" s="377"/>
      <c r="Q91" s="377"/>
      <c r="R91" s="377"/>
    </row>
    <row r="92" spans="1:18" s="63" customFormat="1" x14ac:dyDescent="0.25">
      <c r="A92"/>
      <c r="B92" s="67" t="s">
        <v>172</v>
      </c>
      <c r="C92" s="68" t="s">
        <v>173</v>
      </c>
      <c r="D92" s="931" t="s">
        <v>694</v>
      </c>
      <c r="E92" s="69" t="s">
        <v>748</v>
      </c>
      <c r="F92" s="69" t="s">
        <v>1215</v>
      </c>
      <c r="G92" s="69" t="s">
        <v>1052</v>
      </c>
      <c r="H92" s="192" t="s">
        <v>1053</v>
      </c>
      <c r="I92" s="427"/>
      <c r="J92" s="427">
        <v>11778358.77</v>
      </c>
      <c r="K92" s="379"/>
      <c r="N92" s="377"/>
      <c r="O92" s="377"/>
      <c r="P92" s="377"/>
      <c r="Q92" s="377"/>
      <c r="R92" s="377"/>
    </row>
    <row r="93" spans="1:18" s="63" customFormat="1" x14ac:dyDescent="0.25">
      <c r="A93"/>
      <c r="B93" s="67"/>
      <c r="C93" s="68"/>
      <c r="D93" s="931" t="s">
        <v>783</v>
      </c>
      <c r="E93" s="69" t="s">
        <v>784</v>
      </c>
      <c r="F93" s="69" t="s">
        <v>1216</v>
      </c>
      <c r="G93" s="69" t="s">
        <v>1052</v>
      </c>
      <c r="H93" s="192" t="s">
        <v>784</v>
      </c>
      <c r="I93" s="427">
        <v>341606.14</v>
      </c>
      <c r="J93" s="427"/>
      <c r="K93" s="379"/>
      <c r="N93" s="377"/>
      <c r="O93" s="377"/>
      <c r="P93" s="377"/>
      <c r="Q93" s="377"/>
      <c r="R93" s="377"/>
    </row>
    <row r="94" spans="1:18" s="63" customFormat="1" x14ac:dyDescent="0.25">
      <c r="A94"/>
      <c r="B94" s="67"/>
      <c r="C94" s="68"/>
      <c r="D94" s="931" t="s">
        <v>785</v>
      </c>
      <c r="E94" s="69" t="s">
        <v>786</v>
      </c>
      <c r="F94" s="69" t="s">
        <v>1217</v>
      </c>
      <c r="G94" s="69" t="s">
        <v>1052</v>
      </c>
      <c r="H94" s="192" t="s">
        <v>786</v>
      </c>
      <c r="I94" s="427"/>
      <c r="J94" s="427">
        <v>339720.08</v>
      </c>
      <c r="K94" s="379"/>
      <c r="N94" s="377"/>
      <c r="O94" s="377"/>
      <c r="P94" s="377"/>
      <c r="Q94" s="377"/>
      <c r="R94" s="377"/>
    </row>
    <row r="95" spans="1:18" s="63" customFormat="1" x14ac:dyDescent="0.25">
      <c r="A95"/>
      <c r="B95" s="67" t="s">
        <v>176</v>
      </c>
      <c r="C95" s="68" t="s">
        <v>177</v>
      </c>
      <c r="D95" s="108"/>
      <c r="E95" s="108"/>
      <c r="F95" s="108"/>
      <c r="G95" s="108"/>
      <c r="H95" s="108"/>
      <c r="I95" s="427"/>
      <c r="J95" s="427"/>
      <c r="N95" s="377"/>
      <c r="O95" s="377"/>
      <c r="P95" s="377"/>
      <c r="Q95" s="377"/>
      <c r="R95" s="377"/>
    </row>
    <row r="96" spans="1:18" s="63" customFormat="1" x14ac:dyDescent="0.25">
      <c r="A96"/>
      <c r="B96" s="67" t="s">
        <v>183</v>
      </c>
      <c r="C96" s="68" t="s">
        <v>184</v>
      </c>
      <c r="D96" s="68" t="s">
        <v>236</v>
      </c>
      <c r="E96" s="69" t="s">
        <v>237</v>
      </c>
      <c r="F96" s="69" t="s">
        <v>1218</v>
      </c>
      <c r="G96" s="69" t="s">
        <v>235</v>
      </c>
      <c r="H96" s="192" t="s">
        <v>237</v>
      </c>
      <c r="I96" s="427">
        <v>19935556.670000002</v>
      </c>
      <c r="J96" s="427"/>
      <c r="K96" s="379"/>
      <c r="N96" s="377"/>
      <c r="O96" s="377"/>
      <c r="P96" s="377"/>
      <c r="Q96" s="377"/>
      <c r="R96" s="377"/>
    </row>
    <row r="97" spans="1:18" s="63" customFormat="1" x14ac:dyDescent="0.25">
      <c r="A97"/>
      <c r="B97" s="67" t="s">
        <v>187</v>
      </c>
      <c r="C97" s="68" t="s">
        <v>188</v>
      </c>
      <c r="D97" s="68" t="s">
        <v>238</v>
      </c>
      <c r="E97" s="69" t="s">
        <v>239</v>
      </c>
      <c r="F97" s="69" t="s">
        <v>1219</v>
      </c>
      <c r="G97" s="69" t="s">
        <v>235</v>
      </c>
      <c r="H97" s="192" t="s">
        <v>239</v>
      </c>
      <c r="I97" s="427"/>
      <c r="J97" s="427">
        <v>9875296.4600000009</v>
      </c>
      <c r="K97" s="379"/>
      <c r="N97" s="377"/>
      <c r="O97" s="377"/>
      <c r="P97" s="377"/>
      <c r="Q97" s="377"/>
      <c r="R97" s="377"/>
    </row>
    <row r="98" spans="1:18" s="63" customFormat="1" x14ac:dyDescent="0.25">
      <c r="A98"/>
      <c r="B98" s="67" t="s">
        <v>191</v>
      </c>
      <c r="C98" s="68" t="s">
        <v>192</v>
      </c>
      <c r="D98" s="108"/>
      <c r="E98" s="108"/>
      <c r="F98" s="108"/>
      <c r="G98" s="108"/>
      <c r="H98" s="108"/>
      <c r="I98" s="427"/>
      <c r="J98" s="427"/>
      <c r="N98" s="377"/>
      <c r="O98" s="377"/>
      <c r="P98" s="377"/>
      <c r="Q98" s="377"/>
      <c r="R98" s="377"/>
    </row>
    <row r="99" spans="1:18" s="63" customFormat="1" x14ac:dyDescent="0.25">
      <c r="A99"/>
      <c r="B99" s="67" t="s">
        <v>195</v>
      </c>
      <c r="C99" s="68" t="s">
        <v>196</v>
      </c>
      <c r="D99" s="68" t="s">
        <v>225</v>
      </c>
      <c r="E99" s="69" t="s">
        <v>226</v>
      </c>
      <c r="F99" s="69" t="s">
        <v>1220</v>
      </c>
      <c r="G99" s="69" t="s">
        <v>1059</v>
      </c>
      <c r="H99" s="192" t="s">
        <v>226</v>
      </c>
      <c r="I99" s="427">
        <v>1261063.95</v>
      </c>
      <c r="J99" s="427"/>
      <c r="K99" s="379"/>
      <c r="N99" s="377"/>
      <c r="O99" s="377"/>
      <c r="P99" s="377"/>
      <c r="Q99" s="377"/>
      <c r="R99" s="377"/>
    </row>
    <row r="100" spans="1:18" s="63" customFormat="1" x14ac:dyDescent="0.25">
      <c r="A100"/>
      <c r="B100" s="67" t="s">
        <v>199</v>
      </c>
      <c r="C100" s="68" t="s">
        <v>200</v>
      </c>
      <c r="D100" s="68" t="s">
        <v>229</v>
      </c>
      <c r="E100" s="69" t="s">
        <v>230</v>
      </c>
      <c r="F100" s="69" t="s">
        <v>1221</v>
      </c>
      <c r="G100" s="69" t="s">
        <v>1059</v>
      </c>
      <c r="H100" s="192" t="s">
        <v>230</v>
      </c>
      <c r="I100" s="427"/>
      <c r="J100" s="427">
        <v>1174428.75</v>
      </c>
      <c r="K100" s="379"/>
      <c r="N100" s="377"/>
      <c r="O100" s="377"/>
      <c r="P100" s="377"/>
      <c r="Q100" s="377"/>
      <c r="R100" s="377"/>
    </row>
    <row r="101" spans="1:18" s="63" customFormat="1" x14ac:dyDescent="0.25">
      <c r="A101"/>
      <c r="B101" s="67"/>
      <c r="C101" s="68"/>
      <c r="D101" s="188"/>
      <c r="E101" s="83"/>
      <c r="F101" s="83"/>
      <c r="G101" s="83"/>
      <c r="H101" s="83"/>
      <c r="I101" s="427"/>
      <c r="J101" s="427"/>
      <c r="N101" s="377"/>
      <c r="O101" s="377"/>
      <c r="P101" s="377"/>
      <c r="Q101" s="377"/>
      <c r="R101" s="377"/>
    </row>
    <row r="102" spans="1:18" s="63" customFormat="1" x14ac:dyDescent="0.25">
      <c r="A102"/>
      <c r="B102" s="67"/>
      <c r="C102" s="68"/>
      <c r="D102" s="68" t="s">
        <v>221</v>
      </c>
      <c r="E102" s="69" t="s">
        <v>222</v>
      </c>
      <c r="F102" s="69" t="s">
        <v>1222</v>
      </c>
      <c r="G102" s="69" t="s">
        <v>1055</v>
      </c>
      <c r="H102" s="192" t="s">
        <v>1057</v>
      </c>
      <c r="I102" s="427">
        <f>30035.27-30035.27</f>
        <v>0</v>
      </c>
      <c r="J102" s="427"/>
      <c r="K102" s="379"/>
      <c r="N102" s="377"/>
      <c r="O102" s="377"/>
      <c r="P102" s="377"/>
      <c r="Q102" s="377"/>
      <c r="R102" s="377"/>
    </row>
    <row r="103" spans="1:18" s="63" customFormat="1" x14ac:dyDescent="0.25">
      <c r="A103"/>
      <c r="B103" s="67"/>
      <c r="C103" s="68"/>
      <c r="D103" s="68" t="s">
        <v>210</v>
      </c>
      <c r="E103" s="69" t="s">
        <v>211</v>
      </c>
      <c r="F103" s="69" t="s">
        <v>1223</v>
      </c>
      <c r="G103" s="69" t="s">
        <v>1055</v>
      </c>
      <c r="H103" s="192" t="s">
        <v>1058</v>
      </c>
      <c r="I103" s="427"/>
      <c r="J103" s="427">
        <f>27036.36-27036.36</f>
        <v>0</v>
      </c>
      <c r="K103" s="379"/>
      <c r="N103" s="377"/>
      <c r="O103" s="377"/>
      <c r="P103" s="377"/>
      <c r="Q103" s="377"/>
      <c r="R103" s="377"/>
    </row>
    <row r="104" spans="1:18" s="63" customFormat="1" x14ac:dyDescent="0.25">
      <c r="A104"/>
      <c r="B104" s="67"/>
      <c r="C104" s="68"/>
      <c r="D104" s="931" t="s">
        <v>696</v>
      </c>
      <c r="E104" s="69" t="s">
        <v>217</v>
      </c>
      <c r="F104" s="69" t="s">
        <v>1224</v>
      </c>
      <c r="G104" s="69" t="s">
        <v>1055</v>
      </c>
      <c r="H104" s="937" t="s">
        <v>217</v>
      </c>
      <c r="I104" s="427">
        <v>0</v>
      </c>
      <c r="J104" s="427"/>
      <c r="N104" s="377"/>
      <c r="O104" s="377"/>
      <c r="P104" s="377"/>
      <c r="Q104" s="377"/>
      <c r="R104" s="377"/>
    </row>
    <row r="105" spans="1:18" s="63" customFormat="1" x14ac:dyDescent="0.25">
      <c r="A105"/>
      <c r="B105" s="67"/>
      <c r="C105" s="68"/>
      <c r="D105" s="931" t="s">
        <v>697</v>
      </c>
      <c r="E105" s="69" t="s">
        <v>220</v>
      </c>
      <c r="F105" s="69" t="s">
        <v>1225</v>
      </c>
      <c r="G105" s="69" t="s">
        <v>1055</v>
      </c>
      <c r="H105" s="192" t="s">
        <v>220</v>
      </c>
      <c r="I105" s="427"/>
      <c r="J105" s="427">
        <f>11007.6-11007.6</f>
        <v>0</v>
      </c>
      <c r="K105" s="379"/>
      <c r="N105" s="377"/>
      <c r="O105" s="377"/>
      <c r="P105" s="377"/>
      <c r="Q105" s="377"/>
      <c r="R105" s="377"/>
    </row>
    <row r="106" spans="1:18" s="63" customFormat="1" x14ac:dyDescent="0.25">
      <c r="A106"/>
      <c r="B106" s="67" t="s">
        <v>202</v>
      </c>
      <c r="C106" s="68" t="s">
        <v>203</v>
      </c>
      <c r="D106" s="108"/>
      <c r="E106" s="108"/>
      <c r="F106" s="108"/>
      <c r="G106" s="108"/>
      <c r="H106" s="108"/>
      <c r="I106" s="427"/>
      <c r="J106" s="427"/>
      <c r="N106" s="377"/>
      <c r="O106" s="377"/>
      <c r="P106" s="377"/>
      <c r="Q106" s="377"/>
      <c r="R106" s="377"/>
    </row>
    <row r="107" spans="1:18" s="63" customFormat="1" x14ac:dyDescent="0.25">
      <c r="A107"/>
      <c r="B107" s="67" t="s">
        <v>204</v>
      </c>
      <c r="C107" s="68" t="s">
        <v>205</v>
      </c>
      <c r="D107" s="68" t="s">
        <v>240</v>
      </c>
      <c r="E107" s="69" t="s">
        <v>241</v>
      </c>
      <c r="F107" s="69" t="s">
        <v>1226</v>
      </c>
      <c r="G107" s="69" t="s">
        <v>241</v>
      </c>
      <c r="H107" s="192" t="s">
        <v>241</v>
      </c>
      <c r="I107" s="427">
        <v>42479875.539999999</v>
      </c>
      <c r="J107" s="427"/>
      <c r="K107" s="379"/>
      <c r="N107" s="377"/>
      <c r="O107" s="377"/>
      <c r="P107" s="377"/>
      <c r="Q107" s="377"/>
      <c r="R107" s="377"/>
    </row>
    <row r="108" spans="1:18" s="63" customFormat="1" x14ac:dyDescent="0.25">
      <c r="A108"/>
      <c r="B108" s="67"/>
      <c r="C108" s="68"/>
      <c r="D108" s="68" t="s">
        <v>242</v>
      </c>
      <c r="E108" s="69" t="s">
        <v>243</v>
      </c>
      <c r="F108" s="69" t="s">
        <v>1227</v>
      </c>
      <c r="G108" s="69" t="s">
        <v>241</v>
      </c>
      <c r="H108" s="192" t="s">
        <v>243</v>
      </c>
      <c r="I108" s="427"/>
      <c r="J108" s="427">
        <v>9795382.9900000002</v>
      </c>
      <c r="K108" s="379"/>
      <c r="N108" s="377"/>
      <c r="O108" s="377"/>
      <c r="P108" s="377"/>
      <c r="Q108" s="377"/>
      <c r="R108" s="377"/>
    </row>
    <row r="109" spans="1:18" s="63" customFormat="1" x14ac:dyDescent="0.25">
      <c r="A109"/>
      <c r="B109" s="67"/>
      <c r="C109" s="68"/>
      <c r="D109" s="108"/>
      <c r="E109" s="108"/>
      <c r="F109" s="108"/>
      <c r="G109" s="108"/>
      <c r="H109" s="108"/>
      <c r="I109" s="427"/>
      <c r="J109" s="427"/>
      <c r="N109" s="377"/>
      <c r="O109" s="377"/>
      <c r="P109" s="377"/>
      <c r="Q109" s="377"/>
      <c r="R109" s="377"/>
    </row>
    <row r="110" spans="1:18" s="63" customFormat="1" x14ac:dyDescent="0.25">
      <c r="A110"/>
      <c r="B110" s="67" t="s">
        <v>212</v>
      </c>
      <c r="C110" s="68" t="s">
        <v>213</v>
      </c>
      <c r="D110" s="931" t="s">
        <v>695</v>
      </c>
      <c r="E110" s="69" t="s">
        <v>214</v>
      </c>
      <c r="F110" s="69" t="s">
        <v>1228</v>
      </c>
      <c r="G110" s="69" t="s">
        <v>931</v>
      </c>
      <c r="H110" s="937" t="s">
        <v>1054</v>
      </c>
      <c r="I110" s="427">
        <v>142006952.55000001</v>
      </c>
      <c r="J110" s="427"/>
      <c r="K110" s="379"/>
      <c r="N110" s="377"/>
      <c r="O110" s="377"/>
      <c r="P110" s="377"/>
      <c r="Q110" s="377"/>
      <c r="R110" s="377"/>
    </row>
    <row r="111" spans="1:18" s="63" customFormat="1" x14ac:dyDescent="0.25">
      <c r="A111"/>
      <c r="B111" s="67"/>
      <c r="C111" s="68"/>
      <c r="D111" s="934"/>
      <c r="E111" s="83"/>
      <c r="F111" s="83"/>
      <c r="G111" s="83"/>
      <c r="H111" s="83"/>
      <c r="I111" s="427"/>
      <c r="J111" s="427"/>
      <c r="N111" s="377"/>
      <c r="O111" s="377"/>
      <c r="P111" s="377"/>
      <c r="Q111" s="377"/>
      <c r="R111" s="377"/>
    </row>
    <row r="112" spans="1:18" s="63" customFormat="1" x14ac:dyDescent="0.25">
      <c r="A112"/>
      <c r="B112" s="67"/>
      <c r="C112" s="68"/>
      <c r="D112" s="108"/>
      <c r="E112" s="108"/>
      <c r="F112" s="933" t="s">
        <v>1060</v>
      </c>
      <c r="G112" s="108"/>
      <c r="H112" s="108"/>
      <c r="I112" s="427"/>
      <c r="J112" s="427"/>
      <c r="N112" s="377"/>
      <c r="O112" s="377"/>
      <c r="P112" s="377"/>
      <c r="Q112" s="377"/>
      <c r="R112" s="377"/>
    </row>
    <row r="113" spans="1:18" s="63" customFormat="1" x14ac:dyDescent="0.25">
      <c r="A113"/>
      <c r="B113" s="67" t="s">
        <v>218</v>
      </c>
      <c r="C113" s="68" t="s">
        <v>219</v>
      </c>
      <c r="D113" s="931" t="s">
        <v>698</v>
      </c>
      <c r="E113" s="69" t="s">
        <v>244</v>
      </c>
      <c r="F113" s="69" t="s">
        <v>1229</v>
      </c>
      <c r="G113" s="69" t="s">
        <v>1060</v>
      </c>
      <c r="H113" s="192" t="s">
        <v>244</v>
      </c>
      <c r="I113" s="427">
        <v>631169.64</v>
      </c>
      <c r="J113" s="427"/>
      <c r="K113" s="379"/>
      <c r="N113" s="377"/>
      <c r="O113" s="377"/>
      <c r="P113" s="377"/>
      <c r="Q113" s="377"/>
      <c r="R113" s="377"/>
    </row>
    <row r="114" spans="1:18" s="63" customFormat="1" x14ac:dyDescent="0.25">
      <c r="A114"/>
      <c r="B114" s="67"/>
      <c r="C114" s="68"/>
      <c r="D114" s="68" t="s">
        <v>268</v>
      </c>
      <c r="E114" s="69" t="s">
        <v>269</v>
      </c>
      <c r="F114" s="69" t="s">
        <v>1245</v>
      </c>
      <c r="G114" s="69" t="s">
        <v>263</v>
      </c>
      <c r="H114" s="192" t="s">
        <v>269</v>
      </c>
      <c r="I114" s="427"/>
      <c r="J114" s="427">
        <v>631166.64</v>
      </c>
      <c r="N114" s="377"/>
      <c r="O114" s="377"/>
      <c r="P114" s="377"/>
      <c r="Q114" s="377"/>
      <c r="R114" s="377"/>
    </row>
    <row r="115" spans="1:18" s="63" customFormat="1" x14ac:dyDescent="0.25">
      <c r="A115"/>
      <c r="B115" s="67"/>
      <c r="C115" s="68"/>
      <c r="D115" s="108"/>
      <c r="E115" s="108"/>
      <c r="F115" s="933" t="s">
        <v>263</v>
      </c>
      <c r="G115" s="108"/>
      <c r="H115" s="108"/>
      <c r="I115" s="427"/>
      <c r="J115" s="427"/>
      <c r="N115" s="377"/>
      <c r="O115" s="377"/>
      <c r="P115" s="377"/>
      <c r="Q115" s="377"/>
      <c r="R115" s="377"/>
    </row>
    <row r="116" spans="1:18" s="63" customFormat="1" x14ac:dyDescent="0.25">
      <c r="A116"/>
      <c r="B116" s="67"/>
      <c r="C116" s="68"/>
      <c r="D116" s="68" t="s">
        <v>124</v>
      </c>
      <c r="E116" s="69" t="s">
        <v>125</v>
      </c>
      <c r="F116" s="69" t="s">
        <v>1230</v>
      </c>
      <c r="G116" s="69" t="s">
        <v>1034</v>
      </c>
      <c r="H116" s="192" t="s">
        <v>999</v>
      </c>
      <c r="I116" s="427">
        <v>568446.29</v>
      </c>
      <c r="J116" s="427"/>
      <c r="K116" s="379"/>
      <c r="N116" s="377"/>
      <c r="O116" s="377"/>
      <c r="P116" s="377"/>
      <c r="Q116" s="377"/>
      <c r="R116" s="377"/>
    </row>
    <row r="117" spans="1:18" s="63" customFormat="1" x14ac:dyDescent="0.25">
      <c r="A117"/>
      <c r="B117" s="67" t="s">
        <v>223</v>
      </c>
      <c r="C117" s="68" t="s">
        <v>224</v>
      </c>
      <c r="D117" s="108"/>
      <c r="E117" s="108"/>
      <c r="F117" s="108"/>
      <c r="G117" s="108"/>
      <c r="H117" s="108"/>
      <c r="I117" s="427"/>
      <c r="J117" s="427"/>
      <c r="N117" s="377"/>
      <c r="O117" s="377"/>
      <c r="P117" s="377"/>
      <c r="Q117" s="377"/>
      <c r="R117" s="377"/>
    </row>
    <row r="118" spans="1:18" s="63" customFormat="1" x14ac:dyDescent="0.25">
      <c r="A118"/>
      <c r="B118" s="67" t="s">
        <v>227</v>
      </c>
      <c r="C118" s="68" t="s">
        <v>228</v>
      </c>
      <c r="D118" s="108"/>
      <c r="E118" s="108"/>
      <c r="F118" s="108"/>
      <c r="G118" s="108"/>
      <c r="H118" s="108"/>
      <c r="I118" s="427"/>
      <c r="J118" s="427"/>
      <c r="N118" s="377"/>
      <c r="O118" s="377"/>
      <c r="P118" s="377"/>
      <c r="Q118" s="377"/>
      <c r="R118" s="377"/>
    </row>
    <row r="119" spans="1:18" x14ac:dyDescent="0.25">
      <c r="B119" s="67"/>
      <c r="C119" s="68"/>
      <c r="D119" s="68" t="s">
        <v>254</v>
      </c>
      <c r="E119" s="69" t="s">
        <v>255</v>
      </c>
      <c r="F119" s="69" t="s">
        <v>1231</v>
      </c>
      <c r="G119" s="69" t="s">
        <v>930</v>
      </c>
      <c r="H119" s="192" t="s">
        <v>1406</v>
      </c>
      <c r="I119" s="427">
        <f>1256363.05-613763.05</f>
        <v>642600</v>
      </c>
      <c r="J119" s="427"/>
      <c r="K119" s="378"/>
    </row>
    <row r="120" spans="1:18" x14ac:dyDescent="0.25">
      <c r="B120" s="67"/>
      <c r="C120" s="68"/>
      <c r="D120" s="68" t="s">
        <v>254</v>
      </c>
      <c r="E120" s="69" t="s">
        <v>255</v>
      </c>
      <c r="F120" s="69" t="s">
        <v>1231</v>
      </c>
      <c r="G120" s="69" t="s">
        <v>930</v>
      </c>
      <c r="H120" s="192" t="s">
        <v>1407</v>
      </c>
      <c r="I120" s="427">
        <v>2374633.65</v>
      </c>
      <c r="J120" s="427"/>
      <c r="K120" s="378"/>
    </row>
    <row r="121" spans="1:18" x14ac:dyDescent="0.25">
      <c r="B121" s="67"/>
      <c r="C121" s="68"/>
      <c r="D121" s="68" t="s">
        <v>247</v>
      </c>
      <c r="E121" s="69" t="s">
        <v>245</v>
      </c>
      <c r="F121" s="69" t="s">
        <v>1232</v>
      </c>
      <c r="G121" s="69" t="s">
        <v>930</v>
      </c>
      <c r="H121" s="192" t="s">
        <v>245</v>
      </c>
      <c r="I121" s="427">
        <v>717771.5</v>
      </c>
      <c r="J121" s="427"/>
      <c r="K121" s="378"/>
    </row>
    <row r="122" spans="1:18" x14ac:dyDescent="0.25">
      <c r="B122" s="67"/>
      <c r="C122" s="68"/>
      <c r="D122" s="931" t="s">
        <v>699</v>
      </c>
      <c r="E122" s="69" t="s">
        <v>248</v>
      </c>
      <c r="F122" s="69" t="s">
        <v>1233</v>
      </c>
      <c r="G122" s="69" t="s">
        <v>930</v>
      </c>
      <c r="H122" s="192" t="s">
        <v>248</v>
      </c>
      <c r="I122" s="427">
        <v>571163.78</v>
      </c>
      <c r="J122" s="427"/>
      <c r="K122" s="378"/>
    </row>
    <row r="123" spans="1:18" x14ac:dyDescent="0.25">
      <c r="B123" s="67"/>
      <c r="C123" s="68"/>
      <c r="D123" s="931" t="s">
        <v>700</v>
      </c>
      <c r="E123" s="69" t="s">
        <v>249</v>
      </c>
      <c r="F123" s="69" t="s">
        <v>1234</v>
      </c>
      <c r="G123" s="69" t="s">
        <v>930</v>
      </c>
      <c r="H123" s="192" t="s">
        <v>249</v>
      </c>
      <c r="I123" s="427">
        <v>189126.39999999999</v>
      </c>
      <c r="J123" s="427"/>
      <c r="K123" s="378"/>
    </row>
    <row r="124" spans="1:18" s="62" customFormat="1" x14ac:dyDescent="0.25">
      <c r="A124"/>
      <c r="B124" s="67" t="s">
        <v>245</v>
      </c>
      <c r="C124" s="68" t="s">
        <v>246</v>
      </c>
      <c r="D124" s="931" t="s">
        <v>701</v>
      </c>
      <c r="E124" s="69" t="s">
        <v>250</v>
      </c>
      <c r="F124" s="69" t="s">
        <v>1235</v>
      </c>
      <c r="G124" s="69" t="s">
        <v>930</v>
      </c>
      <c r="H124" s="192" t="s">
        <v>250</v>
      </c>
      <c r="I124" s="427">
        <v>112832702.16</v>
      </c>
      <c r="J124" s="938"/>
      <c r="K124" s="380"/>
      <c r="N124" s="162"/>
      <c r="O124" s="162"/>
      <c r="P124" s="162"/>
      <c r="Q124" s="162"/>
      <c r="R124" s="162"/>
    </row>
    <row r="125" spans="1:18" s="62" customFormat="1" x14ac:dyDescent="0.25">
      <c r="A125"/>
      <c r="B125" s="67"/>
      <c r="C125" s="68"/>
      <c r="D125" s="68" t="s">
        <v>702</v>
      </c>
      <c r="E125" s="69" t="s">
        <v>251</v>
      </c>
      <c r="F125" s="69" t="s">
        <v>1236</v>
      </c>
      <c r="G125" s="69" t="s">
        <v>930</v>
      </c>
      <c r="H125" s="192" t="s">
        <v>251</v>
      </c>
      <c r="I125" s="427">
        <v>4716928.95</v>
      </c>
      <c r="J125" s="938"/>
      <c r="K125" s="380"/>
      <c r="N125" s="162"/>
      <c r="O125" s="162"/>
      <c r="P125" s="162"/>
      <c r="Q125" s="162"/>
      <c r="R125" s="162"/>
    </row>
    <row r="126" spans="1:18" s="62" customFormat="1" x14ac:dyDescent="0.25">
      <c r="A126"/>
      <c r="B126" s="67"/>
      <c r="C126" s="68"/>
      <c r="D126" s="188"/>
      <c r="E126" s="83"/>
      <c r="F126" s="83"/>
      <c r="G126" s="83"/>
      <c r="H126" s="83"/>
      <c r="I126" s="427"/>
      <c r="J126" s="938"/>
      <c r="N126" s="162"/>
      <c r="O126" s="162"/>
      <c r="P126" s="162"/>
      <c r="Q126" s="162"/>
      <c r="R126" s="162"/>
    </row>
    <row r="127" spans="1:18" s="62" customFormat="1" x14ac:dyDescent="0.25">
      <c r="A127"/>
      <c r="B127" s="67"/>
      <c r="C127" s="68"/>
      <c r="D127" s="68" t="s">
        <v>787</v>
      </c>
      <c r="E127" s="69" t="s">
        <v>788</v>
      </c>
      <c r="F127" s="69" t="s">
        <v>1237</v>
      </c>
      <c r="G127" s="69" t="s">
        <v>929</v>
      </c>
      <c r="H127" s="192" t="s">
        <v>788</v>
      </c>
      <c r="I127" s="427">
        <v>220000</v>
      </c>
      <c r="J127" s="938"/>
      <c r="K127" s="380"/>
      <c r="N127" s="162"/>
      <c r="O127" s="162"/>
      <c r="P127" s="162"/>
      <c r="Q127" s="162"/>
      <c r="R127" s="162"/>
    </row>
    <row r="128" spans="1:18" s="62" customFormat="1" x14ac:dyDescent="0.25">
      <c r="A128"/>
      <c r="B128" s="67"/>
      <c r="C128" s="68"/>
      <c r="D128" s="68" t="s">
        <v>789</v>
      </c>
      <c r="E128" s="69" t="s">
        <v>790</v>
      </c>
      <c r="F128" s="69" t="s">
        <v>1238</v>
      </c>
      <c r="G128" s="69" t="s">
        <v>929</v>
      </c>
      <c r="H128" s="192" t="s">
        <v>790</v>
      </c>
      <c r="I128" s="427">
        <v>92506.42</v>
      </c>
      <c r="J128" s="938"/>
      <c r="K128" s="380"/>
      <c r="N128" s="162"/>
      <c r="O128" s="162"/>
      <c r="P128" s="162"/>
      <c r="Q128" s="162"/>
      <c r="R128" s="162"/>
    </row>
    <row r="129" spans="1:18" s="62" customFormat="1" x14ac:dyDescent="0.25">
      <c r="A129"/>
      <c r="B129" s="67"/>
      <c r="C129" s="68"/>
      <c r="D129" s="188"/>
      <c r="E129" s="83"/>
      <c r="F129" s="83"/>
      <c r="G129" s="83"/>
      <c r="H129" s="83"/>
      <c r="I129" s="427"/>
      <c r="J129" s="938"/>
      <c r="K129" s="380"/>
      <c r="N129" s="162"/>
      <c r="O129" s="162"/>
      <c r="P129" s="162"/>
      <c r="Q129" s="162"/>
      <c r="R129" s="162"/>
    </row>
    <row r="130" spans="1:18" s="62" customFormat="1" x14ac:dyDescent="0.25">
      <c r="A130"/>
      <c r="B130" s="67"/>
      <c r="C130" s="68"/>
      <c r="D130" s="68" t="s">
        <v>257</v>
      </c>
      <c r="E130" s="69" t="s">
        <v>256</v>
      </c>
      <c r="F130" s="69" t="s">
        <v>1239</v>
      </c>
      <c r="G130" s="69" t="s">
        <v>1061</v>
      </c>
      <c r="H130" s="192" t="s">
        <v>1000</v>
      </c>
      <c r="I130" s="427">
        <v>5166167.87</v>
      </c>
      <c r="J130" s="938"/>
      <c r="K130" s="380"/>
      <c r="N130" s="162"/>
      <c r="O130" s="162"/>
      <c r="P130" s="162"/>
      <c r="Q130" s="162"/>
      <c r="R130" s="162"/>
    </row>
    <row r="131" spans="1:18" s="62" customFormat="1" x14ac:dyDescent="0.25">
      <c r="A131"/>
      <c r="B131" s="67"/>
      <c r="C131" s="68"/>
      <c r="D131" s="68" t="s">
        <v>257</v>
      </c>
      <c r="E131" s="69" t="s">
        <v>1667</v>
      </c>
      <c r="F131" s="69" t="s">
        <v>1240</v>
      </c>
      <c r="G131" s="69" t="s">
        <v>1061</v>
      </c>
      <c r="H131" s="192" t="s">
        <v>1001</v>
      </c>
      <c r="I131" s="427">
        <v>638973348.95000005</v>
      </c>
      <c r="J131" s="938"/>
      <c r="K131" s="380"/>
      <c r="N131" s="162"/>
      <c r="O131" s="162"/>
      <c r="P131" s="162"/>
      <c r="Q131" s="162"/>
      <c r="R131" s="162"/>
    </row>
    <row r="132" spans="1:18" s="62" customFormat="1" x14ac:dyDescent="0.25">
      <c r="A132"/>
      <c r="B132" s="67"/>
      <c r="C132" s="68"/>
      <c r="D132" s="68"/>
      <c r="E132" s="69" t="s">
        <v>973</v>
      </c>
      <c r="F132" s="69" t="s">
        <v>1241</v>
      </c>
      <c r="G132" s="69" t="s">
        <v>1061</v>
      </c>
      <c r="H132" s="192" t="s">
        <v>973</v>
      </c>
      <c r="I132" s="427"/>
      <c r="J132" s="938"/>
      <c r="N132" s="162"/>
      <c r="O132" s="162"/>
      <c r="P132" s="162"/>
      <c r="Q132" s="162"/>
      <c r="R132" s="162"/>
    </row>
    <row r="133" spans="1:18" s="62" customFormat="1" x14ac:dyDescent="0.25">
      <c r="A133"/>
      <c r="B133" s="67"/>
      <c r="C133" s="68"/>
      <c r="D133" s="68"/>
      <c r="E133" s="69" t="s">
        <v>974</v>
      </c>
      <c r="F133" s="69" t="s">
        <v>1242</v>
      </c>
      <c r="G133" s="69" t="s">
        <v>1061</v>
      </c>
      <c r="H133" s="192" t="s">
        <v>1002</v>
      </c>
      <c r="I133" s="427"/>
      <c r="J133" s="938"/>
      <c r="N133" s="162"/>
      <c r="O133" s="162"/>
      <c r="P133" s="162"/>
      <c r="Q133" s="162"/>
      <c r="R133" s="162"/>
    </row>
    <row r="134" spans="1:18" s="62" customFormat="1" x14ac:dyDescent="0.25">
      <c r="A134"/>
      <c r="B134" s="67"/>
      <c r="C134" s="68"/>
      <c r="D134" s="188"/>
      <c r="E134" s="83"/>
      <c r="F134" s="83"/>
      <c r="G134" s="83"/>
      <c r="H134" s="83"/>
      <c r="I134" s="427"/>
      <c r="J134" s="427"/>
      <c r="N134" s="162"/>
      <c r="O134" s="162"/>
      <c r="P134" s="162"/>
      <c r="Q134" s="162"/>
      <c r="R134" s="162"/>
    </row>
    <row r="135" spans="1:18" s="62" customFormat="1" x14ac:dyDescent="0.25">
      <c r="A135"/>
      <c r="B135" s="67"/>
      <c r="C135" s="68"/>
      <c r="D135" s="68" t="s">
        <v>261</v>
      </c>
      <c r="E135" s="69" t="s">
        <v>260</v>
      </c>
      <c r="F135" s="69" t="s">
        <v>1243</v>
      </c>
      <c r="G135" s="69" t="s">
        <v>263</v>
      </c>
      <c r="H135" s="192" t="s">
        <v>260</v>
      </c>
      <c r="I135" s="427">
        <v>42828304.920000002</v>
      </c>
      <c r="J135" s="427"/>
      <c r="K135" s="380"/>
      <c r="N135" s="162"/>
      <c r="O135" s="162"/>
      <c r="P135" s="162"/>
      <c r="Q135" s="162"/>
      <c r="R135" s="162"/>
    </row>
    <row r="136" spans="1:18" s="62" customFormat="1" x14ac:dyDescent="0.25">
      <c r="A136"/>
      <c r="B136" s="67"/>
      <c r="C136" s="68"/>
      <c r="D136" s="68" t="s">
        <v>265</v>
      </c>
      <c r="E136" s="69" t="s">
        <v>263</v>
      </c>
      <c r="F136" s="69" t="s">
        <v>1244</v>
      </c>
      <c r="G136" s="69" t="s">
        <v>263</v>
      </c>
      <c r="H136" s="192" t="s">
        <v>263</v>
      </c>
      <c r="I136" s="427">
        <v>992765229.57000005</v>
      </c>
      <c r="J136" s="427"/>
      <c r="K136" s="380"/>
      <c r="N136" s="162"/>
      <c r="O136" s="162"/>
      <c r="P136" s="162"/>
      <c r="Q136" s="162"/>
      <c r="R136" s="162"/>
    </row>
    <row r="137" spans="1:18" s="62" customFormat="1" x14ac:dyDescent="0.25">
      <c r="A137"/>
      <c r="B137" s="67" t="s">
        <v>252</v>
      </c>
      <c r="C137" s="68" t="s">
        <v>253</v>
      </c>
      <c r="D137" s="68" t="s">
        <v>268</v>
      </c>
      <c r="E137" s="69" t="s">
        <v>269</v>
      </c>
      <c r="F137" s="69" t="s">
        <v>1245</v>
      </c>
      <c r="G137" s="69" t="s">
        <v>263</v>
      </c>
      <c r="H137" s="192" t="s">
        <v>269</v>
      </c>
      <c r="I137" s="427"/>
      <c r="J137" s="427">
        <v>1010478762.1</v>
      </c>
      <c r="M137" s="62" t="e">
        <f>#REF!-#REF!</f>
        <v>#REF!</v>
      </c>
      <c r="N137" s="162"/>
      <c r="O137" s="162"/>
      <c r="P137" s="162"/>
      <c r="Q137" s="162"/>
      <c r="R137" s="162"/>
    </row>
    <row r="138" spans="1:18" s="62" customFormat="1" x14ac:dyDescent="0.25">
      <c r="A138"/>
      <c r="B138" s="67"/>
      <c r="C138" s="68"/>
      <c r="D138" s="188"/>
      <c r="E138" s="83"/>
      <c r="F138" s="83"/>
      <c r="G138" s="83"/>
      <c r="H138" s="83"/>
      <c r="I138" s="427"/>
      <c r="J138" s="427"/>
      <c r="N138" s="162"/>
      <c r="O138" s="162"/>
      <c r="P138" s="162"/>
      <c r="Q138" s="162"/>
      <c r="R138" s="162"/>
    </row>
    <row r="139" spans="1:18" s="62" customFormat="1" x14ac:dyDescent="0.25">
      <c r="A139"/>
      <c r="B139" s="67"/>
      <c r="C139" s="68"/>
      <c r="D139" s="421"/>
      <c r="E139" s="421"/>
      <c r="F139" s="421"/>
      <c r="G139" s="421"/>
      <c r="H139" s="108"/>
      <c r="I139" s="427"/>
      <c r="J139" s="427"/>
      <c r="M139" s="62">
        <v>25861969234.450001</v>
      </c>
      <c r="N139" s="162"/>
      <c r="O139" s="162"/>
      <c r="P139" s="162"/>
      <c r="Q139" s="162"/>
      <c r="R139" s="162"/>
    </row>
    <row r="140" spans="1:18" s="62" customFormat="1" x14ac:dyDescent="0.25">
      <c r="A140"/>
      <c r="B140" s="67"/>
      <c r="C140" s="68"/>
      <c r="D140" s="421"/>
      <c r="E140" s="421"/>
      <c r="F140" s="933" t="s">
        <v>951</v>
      </c>
      <c r="G140" s="421"/>
      <c r="H140" s="421"/>
      <c r="I140" s="427"/>
      <c r="J140" s="427"/>
      <c r="M140" s="62" t="e">
        <f>M137-M139</f>
        <v>#REF!</v>
      </c>
      <c r="N140" s="162"/>
      <c r="O140" s="162"/>
      <c r="P140" s="162"/>
      <c r="Q140" s="162"/>
      <c r="R140" s="162"/>
    </row>
    <row r="141" spans="1:18" s="162" customFormat="1" x14ac:dyDescent="0.25">
      <c r="A141"/>
      <c r="B141" s="67"/>
      <c r="C141" s="68"/>
      <c r="D141" s="68" t="s">
        <v>274</v>
      </c>
      <c r="E141" s="69" t="s">
        <v>272</v>
      </c>
      <c r="F141" s="69" t="s">
        <v>1246</v>
      </c>
      <c r="G141" s="69" t="s">
        <v>1062</v>
      </c>
      <c r="H141" s="192" t="s">
        <v>1003</v>
      </c>
      <c r="I141" s="427"/>
      <c r="J141" s="427">
        <v>13779210.710000001</v>
      </c>
    </row>
    <row r="142" spans="1:18" x14ac:dyDescent="0.25">
      <c r="B142" s="67" t="s">
        <v>263</v>
      </c>
      <c r="C142" s="68" t="s">
        <v>264</v>
      </c>
      <c r="D142" s="68" t="s">
        <v>276</v>
      </c>
      <c r="E142" s="69" t="s">
        <v>275</v>
      </c>
      <c r="F142" s="69" t="s">
        <v>1247</v>
      </c>
      <c r="G142" s="69" t="s">
        <v>1062</v>
      </c>
      <c r="H142" s="192" t="s">
        <v>1004</v>
      </c>
      <c r="I142" s="427"/>
      <c r="J142" s="427">
        <v>197437.07</v>
      </c>
    </row>
    <row r="143" spans="1:18" s="61" customFormat="1" x14ac:dyDescent="0.25">
      <c r="B143" s="1033" t="s">
        <v>266</v>
      </c>
      <c r="C143" s="1034" t="s">
        <v>267</v>
      </c>
      <c r="D143" s="1034" t="s">
        <v>976</v>
      </c>
      <c r="E143" s="1035" t="s">
        <v>952</v>
      </c>
      <c r="F143" s="1035" t="s">
        <v>1248</v>
      </c>
      <c r="G143" s="1035" t="s">
        <v>1062</v>
      </c>
      <c r="H143" s="1036" t="s">
        <v>952</v>
      </c>
      <c r="I143" s="1037"/>
      <c r="J143" s="1037">
        <v>310331.52000000002</v>
      </c>
      <c r="M143" s="396"/>
      <c r="O143" s="396"/>
    </row>
    <row r="144" spans="1:18" s="61" customFormat="1" x14ac:dyDescent="0.25">
      <c r="B144" s="67"/>
      <c r="C144" s="68"/>
      <c r="D144" s="68" t="s">
        <v>1400</v>
      </c>
      <c r="E144" s="69" t="s">
        <v>1401</v>
      </c>
      <c r="F144" s="69"/>
      <c r="G144" s="69"/>
      <c r="H144" s="192"/>
      <c r="I144" s="427"/>
      <c r="J144" s="427">
        <v>4412093.2</v>
      </c>
      <c r="M144" s="396"/>
      <c r="O144" s="396"/>
    </row>
    <row r="145" spans="1:15" s="61" customFormat="1" x14ac:dyDescent="0.25">
      <c r="B145" s="67"/>
      <c r="C145" s="68"/>
      <c r="D145" s="68" t="s">
        <v>1400</v>
      </c>
      <c r="E145" s="69" t="s">
        <v>1402</v>
      </c>
      <c r="F145" s="69"/>
      <c r="G145" s="69"/>
      <c r="H145" s="192"/>
      <c r="I145" s="427"/>
      <c r="J145" s="427">
        <v>1393612.48</v>
      </c>
      <c r="M145" s="396"/>
      <c r="O145" s="396"/>
    </row>
    <row r="146" spans="1:15" s="61" customFormat="1" x14ac:dyDescent="0.25">
      <c r="B146" s="67"/>
      <c r="C146" s="68"/>
      <c r="D146" s="68"/>
      <c r="E146" s="69"/>
      <c r="F146" s="69"/>
      <c r="G146" s="69"/>
      <c r="H146" s="192"/>
      <c r="I146" s="427"/>
      <c r="J146" s="427"/>
      <c r="M146" s="396"/>
      <c r="O146" s="758"/>
    </row>
    <row r="147" spans="1:15" s="162" customFormat="1" x14ac:dyDescent="0.25">
      <c r="A147"/>
      <c r="B147" s="67"/>
      <c r="C147" s="68"/>
      <c r="D147" s="68" t="s">
        <v>270</v>
      </c>
      <c r="E147" s="69" t="s">
        <v>271</v>
      </c>
      <c r="F147" s="69" t="s">
        <v>1249</v>
      </c>
      <c r="G147" s="69" t="s">
        <v>1062</v>
      </c>
      <c r="H147" s="192" t="s">
        <v>271</v>
      </c>
      <c r="I147" s="427"/>
      <c r="J147" s="427">
        <v>456620150.24000001</v>
      </c>
    </row>
    <row r="148" spans="1:15" s="162" customFormat="1" x14ac:dyDescent="0.25">
      <c r="A148"/>
      <c r="B148" s="67"/>
      <c r="C148" s="68"/>
      <c r="D148" s="421"/>
      <c r="E148" s="421"/>
      <c r="F148" s="421"/>
      <c r="G148" s="421"/>
      <c r="H148" s="421"/>
      <c r="I148" s="427"/>
      <c r="J148" s="427" t="s">
        <v>4</v>
      </c>
    </row>
    <row r="149" spans="1:15" s="162" customFormat="1" x14ac:dyDescent="0.25">
      <c r="A149"/>
      <c r="B149" s="67"/>
      <c r="C149" s="68"/>
      <c r="D149" s="68" t="s">
        <v>277</v>
      </c>
      <c r="E149" s="69" t="s">
        <v>977</v>
      </c>
      <c r="F149" s="69" t="s">
        <v>1250</v>
      </c>
      <c r="G149" s="69" t="s">
        <v>1063</v>
      </c>
      <c r="H149" s="192" t="s">
        <v>977</v>
      </c>
      <c r="I149" s="427"/>
      <c r="J149" s="938">
        <f>144051929-4051929</f>
        <v>140000000</v>
      </c>
    </row>
    <row r="150" spans="1:15" s="162" customFormat="1" x14ac:dyDescent="0.25">
      <c r="A150"/>
      <c r="B150" s="67"/>
      <c r="C150" s="68"/>
      <c r="D150" s="188"/>
      <c r="E150" s="83"/>
      <c r="F150" s="83"/>
      <c r="G150" s="83"/>
      <c r="H150" s="83"/>
      <c r="I150" s="427"/>
      <c r="J150" s="938"/>
    </row>
    <row r="151" spans="1:15" s="162" customFormat="1" x14ac:dyDescent="0.25">
      <c r="A151"/>
      <c r="B151" s="67"/>
      <c r="C151" s="68"/>
      <c r="D151" s="85" t="s">
        <v>295</v>
      </c>
      <c r="E151" s="69" t="s">
        <v>296</v>
      </c>
      <c r="F151" s="69" t="s">
        <v>1251</v>
      </c>
      <c r="G151" s="69" t="s">
        <v>932</v>
      </c>
      <c r="H151" s="192" t="s">
        <v>1006</v>
      </c>
      <c r="I151" s="427"/>
      <c r="J151" s="938">
        <v>413018.68</v>
      </c>
    </row>
    <row r="152" spans="1:15" s="162" customFormat="1" x14ac:dyDescent="0.25">
      <c r="A152"/>
      <c r="B152" s="67"/>
      <c r="C152" s="68"/>
      <c r="D152" s="85" t="s">
        <v>300</v>
      </c>
      <c r="E152" s="70" t="s">
        <v>301</v>
      </c>
      <c r="F152" s="69" t="s">
        <v>1252</v>
      </c>
      <c r="G152" s="69" t="s">
        <v>932</v>
      </c>
      <c r="H152" s="127" t="s">
        <v>1007</v>
      </c>
      <c r="I152" s="427"/>
      <c r="J152" s="427">
        <v>611649.5</v>
      </c>
    </row>
    <row r="153" spans="1:15" s="162" customFormat="1" x14ac:dyDescent="0.25">
      <c r="A153"/>
      <c r="B153" s="67"/>
      <c r="C153" s="68"/>
      <c r="D153" s="85" t="s">
        <v>304</v>
      </c>
      <c r="E153" s="70" t="s">
        <v>302</v>
      </c>
      <c r="F153" s="69" t="s">
        <v>1253</v>
      </c>
      <c r="G153" s="69" t="s">
        <v>932</v>
      </c>
      <c r="H153" s="127" t="s">
        <v>1008</v>
      </c>
      <c r="I153" s="427"/>
      <c r="J153" s="938">
        <v>93810.8</v>
      </c>
    </row>
    <row r="154" spans="1:15" s="162" customFormat="1" x14ac:dyDescent="0.25">
      <c r="A154"/>
      <c r="B154" s="67"/>
      <c r="C154" s="68"/>
      <c r="D154" s="85" t="s">
        <v>307</v>
      </c>
      <c r="E154" s="70" t="s">
        <v>308</v>
      </c>
      <c r="F154" s="69" t="s">
        <v>1254</v>
      </c>
      <c r="G154" s="69" t="s">
        <v>932</v>
      </c>
      <c r="H154" s="127" t="s">
        <v>1009</v>
      </c>
      <c r="I154" s="938">
        <v>356889.99</v>
      </c>
      <c r="J154" s="938"/>
    </row>
    <row r="155" spans="1:15" s="162" customFormat="1" x14ac:dyDescent="0.25">
      <c r="A155"/>
      <c r="B155" s="67"/>
      <c r="C155" s="68"/>
      <c r="D155" s="68" t="s">
        <v>312</v>
      </c>
      <c r="E155" s="69" t="s">
        <v>313</v>
      </c>
      <c r="F155" s="69" t="s">
        <v>1255</v>
      </c>
      <c r="G155" s="69" t="s">
        <v>932</v>
      </c>
      <c r="H155" s="192" t="s">
        <v>313</v>
      </c>
      <c r="I155" s="427"/>
      <c r="J155" s="938">
        <v>833198.81</v>
      </c>
    </row>
    <row r="156" spans="1:15" s="162" customFormat="1" x14ac:dyDescent="0.25">
      <c r="A156"/>
      <c r="B156" s="67"/>
      <c r="C156" s="68"/>
      <c r="D156" s="68" t="s">
        <v>322</v>
      </c>
      <c r="E156" s="69" t="s">
        <v>323</v>
      </c>
      <c r="F156" s="69" t="s">
        <v>1256</v>
      </c>
      <c r="G156" s="69" t="s">
        <v>932</v>
      </c>
      <c r="H156" s="192" t="s">
        <v>323</v>
      </c>
      <c r="I156" s="427"/>
      <c r="J156" s="938">
        <v>45649.599999999999</v>
      </c>
    </row>
    <row r="157" spans="1:15" s="162" customFormat="1" x14ac:dyDescent="0.25">
      <c r="A157"/>
      <c r="B157" s="67"/>
      <c r="C157" s="68"/>
      <c r="D157" s="68" t="s">
        <v>316</v>
      </c>
      <c r="E157" s="69" t="s">
        <v>317</v>
      </c>
      <c r="F157" s="69" t="s">
        <v>1257</v>
      </c>
      <c r="G157" s="69" t="s">
        <v>932</v>
      </c>
      <c r="H157" s="192" t="s">
        <v>317</v>
      </c>
      <c r="I157" s="427"/>
      <c r="J157" s="938">
        <v>131005.74</v>
      </c>
    </row>
    <row r="158" spans="1:15" s="162" customFormat="1" x14ac:dyDescent="0.25">
      <c r="A158"/>
      <c r="B158" s="67"/>
      <c r="C158" s="68"/>
      <c r="D158" s="939" t="s">
        <v>1374</v>
      </c>
      <c r="E158" s="937" t="s">
        <v>1375</v>
      </c>
      <c r="F158" s="940" t="s">
        <v>1374</v>
      </c>
      <c r="G158" s="69" t="s">
        <v>932</v>
      </c>
      <c r="H158" s="937" t="s">
        <v>1375</v>
      </c>
      <c r="I158" s="427"/>
      <c r="J158" s="938">
        <v>13679924.689999999</v>
      </c>
    </row>
    <row r="159" spans="1:15" s="162" customFormat="1" x14ac:dyDescent="0.25">
      <c r="A159"/>
      <c r="B159" s="67"/>
      <c r="C159" s="68"/>
      <c r="D159" s="931" t="s">
        <v>703</v>
      </c>
      <c r="E159" s="69" t="s">
        <v>309</v>
      </c>
      <c r="F159" s="69" t="s">
        <v>1258</v>
      </c>
      <c r="G159" s="69" t="s">
        <v>932</v>
      </c>
      <c r="H159" s="192" t="s">
        <v>1010</v>
      </c>
      <c r="I159" s="427">
        <v>0</v>
      </c>
      <c r="J159" s="938">
        <v>6549687.4699999997</v>
      </c>
    </row>
    <row r="160" spans="1:15" s="162" customFormat="1" x14ac:dyDescent="0.25">
      <c r="A160"/>
      <c r="B160" s="67"/>
      <c r="C160" s="68"/>
      <c r="D160" s="931" t="s">
        <v>704</v>
      </c>
      <c r="E160" s="69" t="s">
        <v>298</v>
      </c>
      <c r="F160" s="69" t="s">
        <v>1259</v>
      </c>
      <c r="G160" s="69" t="s">
        <v>932</v>
      </c>
      <c r="H160" s="192" t="s">
        <v>1011</v>
      </c>
      <c r="I160" s="427"/>
      <c r="J160" s="938"/>
    </row>
    <row r="161" spans="1:18" s="162" customFormat="1" x14ac:dyDescent="0.25">
      <c r="A161"/>
      <c r="B161" s="67"/>
      <c r="C161" s="68"/>
      <c r="D161" s="68" t="s">
        <v>759</v>
      </c>
      <c r="E161" s="69" t="s">
        <v>341</v>
      </c>
      <c r="F161" s="69" t="s">
        <v>1260</v>
      </c>
      <c r="G161" s="69" t="s">
        <v>932</v>
      </c>
      <c r="H161" s="192" t="s">
        <v>341</v>
      </c>
      <c r="I161" s="427"/>
      <c r="J161" s="938">
        <v>0</v>
      </c>
    </row>
    <row r="162" spans="1:18" s="162" customFormat="1" x14ac:dyDescent="0.25">
      <c r="A162"/>
      <c r="B162" s="67"/>
      <c r="C162" s="68"/>
      <c r="D162" s="941"/>
      <c r="E162" s="942"/>
      <c r="F162" s="942"/>
      <c r="G162" s="942"/>
      <c r="H162" s="942"/>
      <c r="I162" s="942"/>
      <c r="J162" s="942"/>
    </row>
    <row r="163" spans="1:18" s="162" customFormat="1" x14ac:dyDescent="0.25">
      <c r="A163"/>
      <c r="B163" s="67"/>
      <c r="C163" s="68"/>
      <c r="D163" s="65"/>
      <c r="E163"/>
      <c r="F163" s="83"/>
      <c r="G163" s="83"/>
      <c r="H163"/>
      <c r="I163" s="842"/>
      <c r="J163" s="943"/>
    </row>
    <row r="164" spans="1:18" s="162" customFormat="1" x14ac:dyDescent="0.25">
      <c r="A164"/>
      <c r="B164" s="67"/>
      <c r="C164" s="68"/>
      <c r="D164" s="68" t="s">
        <v>326</v>
      </c>
      <c r="E164" s="69" t="s">
        <v>327</v>
      </c>
      <c r="F164" s="69" t="s">
        <v>1261</v>
      </c>
      <c r="G164" s="69" t="s">
        <v>934</v>
      </c>
      <c r="H164" s="192" t="s">
        <v>327</v>
      </c>
      <c r="I164" s="427"/>
      <c r="J164" s="938">
        <v>106720132.36</v>
      </c>
    </row>
    <row r="165" spans="1:18" s="162" customFormat="1" x14ac:dyDescent="0.25">
      <c r="A165"/>
      <c r="B165" s="67"/>
      <c r="C165" s="68"/>
      <c r="D165" s="68" t="s">
        <v>336</v>
      </c>
      <c r="E165" s="69" t="s">
        <v>337</v>
      </c>
      <c r="F165" s="69" t="s">
        <v>1262</v>
      </c>
      <c r="G165" s="69" t="s">
        <v>934</v>
      </c>
      <c r="H165" s="192" t="s">
        <v>337</v>
      </c>
      <c r="I165" s="427"/>
      <c r="J165" s="938">
        <v>99239.58</v>
      </c>
    </row>
    <row r="166" spans="1:18" s="162" customFormat="1" x14ac:dyDescent="0.25">
      <c r="A166"/>
      <c r="B166" s="67"/>
      <c r="C166" s="68"/>
      <c r="D166" s="68" t="s">
        <v>330</v>
      </c>
      <c r="E166" s="69" t="s">
        <v>331</v>
      </c>
      <c r="F166" s="69" t="s">
        <v>1264</v>
      </c>
      <c r="G166" s="69" t="s">
        <v>934</v>
      </c>
      <c r="H166" s="192" t="s">
        <v>1005</v>
      </c>
      <c r="I166" s="427"/>
      <c r="J166" s="938">
        <v>48111051.810000002</v>
      </c>
    </row>
    <row r="167" spans="1:18" s="162" customFormat="1" x14ac:dyDescent="0.25">
      <c r="A167"/>
      <c r="B167" s="67"/>
      <c r="C167" s="68"/>
      <c r="D167" s="68" t="s">
        <v>286</v>
      </c>
      <c r="E167" s="69" t="s">
        <v>284</v>
      </c>
      <c r="F167" s="69" t="s">
        <v>1263</v>
      </c>
      <c r="G167" s="69" t="s">
        <v>934</v>
      </c>
      <c r="H167" s="192" t="s">
        <v>1012</v>
      </c>
      <c r="I167" s="427"/>
      <c r="J167" s="938">
        <v>691757.06</v>
      </c>
    </row>
    <row r="168" spans="1:18" s="162" customFormat="1" x14ac:dyDescent="0.25">
      <c r="A168"/>
      <c r="B168" s="67"/>
      <c r="C168" s="68"/>
      <c r="D168" s="188"/>
      <c r="E168" s="83"/>
      <c r="F168" s="69"/>
      <c r="G168" s="69"/>
      <c r="H168" s="192"/>
      <c r="I168" s="427"/>
      <c r="J168" s="938"/>
    </row>
    <row r="169" spans="1:18" s="162" customFormat="1" x14ac:dyDescent="0.25">
      <c r="A169"/>
      <c r="B169" s="67" t="s">
        <v>272</v>
      </c>
      <c r="C169" s="68" t="s">
        <v>273</v>
      </c>
      <c r="D169" s="68" t="s">
        <v>290</v>
      </c>
      <c r="E169" s="69" t="s">
        <v>291</v>
      </c>
      <c r="F169" s="69" t="s">
        <v>1265</v>
      </c>
      <c r="G169" s="69" t="s">
        <v>1065</v>
      </c>
      <c r="H169" s="192" t="s">
        <v>291</v>
      </c>
      <c r="I169" s="427"/>
      <c r="J169" s="938">
        <v>19996900.359999999</v>
      </c>
    </row>
    <row r="170" spans="1:18" s="162" customFormat="1" x14ac:dyDescent="0.25">
      <c r="A170"/>
      <c r="B170" s="67"/>
      <c r="C170" s="68"/>
      <c r="D170" s="188"/>
      <c r="E170" s="83"/>
      <c r="F170" s="83"/>
      <c r="G170" s="83"/>
      <c r="H170" s="83"/>
      <c r="I170" s="427"/>
      <c r="J170" s="938"/>
    </row>
    <row r="171" spans="1:18" s="162" customFormat="1" x14ac:dyDescent="0.25">
      <c r="A171"/>
      <c r="B171" s="67"/>
      <c r="C171" s="68"/>
      <c r="D171" s="68" t="s">
        <v>754</v>
      </c>
      <c r="E171" s="69" t="s">
        <v>756</v>
      </c>
      <c r="F171" s="69" t="s">
        <v>1266</v>
      </c>
      <c r="G171" s="69" t="s">
        <v>933</v>
      </c>
      <c r="H171" s="192" t="s">
        <v>793</v>
      </c>
      <c r="I171" s="938"/>
      <c r="J171" s="938">
        <v>9121143.4600000009</v>
      </c>
    </row>
    <row r="172" spans="1:18" s="62" customFormat="1" x14ac:dyDescent="0.25">
      <c r="A172"/>
      <c r="B172" s="67"/>
      <c r="C172" s="68"/>
      <c r="D172" s="68" t="s">
        <v>757</v>
      </c>
      <c r="E172" s="69" t="s">
        <v>755</v>
      </c>
      <c r="F172" s="69" t="s">
        <v>1267</v>
      </c>
      <c r="G172" s="69" t="s">
        <v>933</v>
      </c>
      <c r="H172" s="192" t="s">
        <v>755</v>
      </c>
      <c r="I172" s="938"/>
      <c r="J172" s="938">
        <v>313806761.08999997</v>
      </c>
      <c r="K172" s="380"/>
      <c r="N172" s="162"/>
      <c r="O172" s="162"/>
      <c r="P172" s="162"/>
      <c r="Q172" s="162"/>
      <c r="R172" s="162"/>
    </row>
    <row r="173" spans="1:18" s="62" customFormat="1" x14ac:dyDescent="0.25">
      <c r="A173"/>
      <c r="B173" s="67"/>
      <c r="C173" s="68"/>
      <c r="D173" s="188"/>
      <c r="E173" s="83"/>
      <c r="F173" s="83"/>
      <c r="G173" s="83"/>
      <c r="H173" s="83"/>
      <c r="I173" s="427"/>
      <c r="J173" s="938"/>
      <c r="N173" s="162"/>
      <c r="O173" s="162"/>
      <c r="P173" s="162"/>
      <c r="Q173" s="162"/>
      <c r="R173" s="162"/>
    </row>
    <row r="174" spans="1:18" s="63" customFormat="1" x14ac:dyDescent="0.25">
      <c r="A174"/>
      <c r="B174" s="67" t="s">
        <v>280</v>
      </c>
      <c r="C174" s="68" t="s">
        <v>279</v>
      </c>
      <c r="D174" s="68" t="s">
        <v>281</v>
      </c>
      <c r="E174" s="69" t="s">
        <v>282</v>
      </c>
      <c r="F174" s="69" t="s">
        <v>1373</v>
      </c>
      <c r="G174" s="69" t="s">
        <v>1064</v>
      </c>
      <c r="H174" s="192" t="s">
        <v>282</v>
      </c>
      <c r="I174" s="427"/>
      <c r="J174" s="427">
        <v>6880800804.0100002</v>
      </c>
      <c r="K174" s="379">
        <f>SUM(J141:J174)</f>
        <v>8018418570.2399998</v>
      </c>
      <c r="L174" s="63">
        <f>SUM(I141:I174)</f>
        <v>356889.99</v>
      </c>
      <c r="N174" s="377"/>
      <c r="O174" s="377"/>
      <c r="P174" s="377"/>
      <c r="Q174" s="377"/>
      <c r="R174" s="377"/>
    </row>
    <row r="175" spans="1:18" s="63" customFormat="1" x14ac:dyDescent="0.25">
      <c r="A175"/>
      <c r="B175" s="67" t="s">
        <v>284</v>
      </c>
      <c r="C175" s="68" t="s">
        <v>285</v>
      </c>
      <c r="D175" s="68" t="s">
        <v>343</v>
      </c>
      <c r="E175" s="69" t="s">
        <v>344</v>
      </c>
      <c r="F175" s="69"/>
      <c r="G175" s="69"/>
      <c r="H175" s="192" t="s">
        <v>344</v>
      </c>
      <c r="I175" s="427"/>
      <c r="J175" s="427"/>
      <c r="L175" s="63">
        <f>K174-L174</f>
        <v>8018061680.25</v>
      </c>
      <c r="N175" s="377"/>
      <c r="O175" s="377"/>
      <c r="P175" s="377"/>
      <c r="Q175" s="377"/>
      <c r="R175" s="377"/>
    </row>
    <row r="176" spans="1:18" s="63" customFormat="1" x14ac:dyDescent="0.25">
      <c r="A176"/>
      <c r="B176" s="67" t="s">
        <v>288</v>
      </c>
      <c r="C176" s="68" t="s">
        <v>289</v>
      </c>
      <c r="D176" s="108"/>
      <c r="E176" s="108"/>
      <c r="F176" s="933" t="s">
        <v>935</v>
      </c>
      <c r="G176" s="108"/>
      <c r="H176" s="108"/>
      <c r="I176" s="427"/>
      <c r="J176" s="427"/>
      <c r="L176" s="63">
        <v>5639123449.8000002</v>
      </c>
      <c r="N176" s="377"/>
      <c r="O176" s="377"/>
      <c r="P176" s="377"/>
      <c r="Q176" s="377"/>
      <c r="R176" s="377"/>
    </row>
    <row r="177" spans="1:18" s="63" customFormat="1" x14ac:dyDescent="0.25">
      <c r="A177"/>
      <c r="B177" s="67" t="s">
        <v>293</v>
      </c>
      <c r="C177" s="68" t="s">
        <v>294</v>
      </c>
      <c r="D177" s="68" t="s">
        <v>347</v>
      </c>
      <c r="E177" s="69" t="s">
        <v>348</v>
      </c>
      <c r="F177" s="69" t="s">
        <v>1269</v>
      </c>
      <c r="G177" s="69" t="s">
        <v>348</v>
      </c>
      <c r="H177" s="192" t="s">
        <v>348</v>
      </c>
      <c r="I177" s="427"/>
      <c r="J177" s="427">
        <v>8493703483.0699997</v>
      </c>
      <c r="K177" s="379"/>
      <c r="L177" s="63">
        <f>L175-L176</f>
        <v>2378938230.4499998</v>
      </c>
      <c r="N177" s="377"/>
      <c r="O177" s="377"/>
      <c r="P177" s="377"/>
      <c r="Q177" s="377"/>
      <c r="R177" s="377"/>
    </row>
    <row r="178" spans="1:18" s="63" customFormat="1" x14ac:dyDescent="0.25">
      <c r="A178"/>
      <c r="B178" s="67" t="s">
        <v>298</v>
      </c>
      <c r="C178" s="68" t="s">
        <v>299</v>
      </c>
      <c r="D178" s="68" t="s">
        <v>351</v>
      </c>
      <c r="E178" s="69" t="s">
        <v>352</v>
      </c>
      <c r="F178" s="69" t="s">
        <v>1270</v>
      </c>
      <c r="G178" s="69" t="s">
        <v>1066</v>
      </c>
      <c r="H178" s="192" t="s">
        <v>352</v>
      </c>
      <c r="I178" s="427"/>
      <c r="J178" s="427">
        <v>18806393136.110001</v>
      </c>
      <c r="K178" s="379"/>
      <c r="N178" s="377"/>
      <c r="O178" s="377"/>
      <c r="P178" s="377"/>
      <c r="Q178" s="377"/>
      <c r="R178" s="377"/>
    </row>
    <row r="179" spans="1:18" s="63" customFormat="1" x14ac:dyDescent="0.25">
      <c r="A179"/>
      <c r="B179" s="67" t="s">
        <v>302</v>
      </c>
      <c r="C179" s="68" t="s">
        <v>303</v>
      </c>
      <c r="D179" s="68" t="s">
        <v>353</v>
      </c>
      <c r="E179" s="69" t="s">
        <v>354</v>
      </c>
      <c r="F179" s="69" t="s">
        <v>1271</v>
      </c>
      <c r="G179" s="69" t="s">
        <v>354</v>
      </c>
      <c r="H179" s="192" t="s">
        <v>354</v>
      </c>
      <c r="I179" s="427"/>
      <c r="J179" s="427">
        <v>28883100.600000001</v>
      </c>
      <c r="K179" s="379"/>
      <c r="N179" s="377"/>
      <c r="O179" s="377"/>
      <c r="P179" s="377"/>
      <c r="Q179" s="377"/>
      <c r="R179" s="377"/>
    </row>
    <row r="180" spans="1:18" s="63" customFormat="1" x14ac:dyDescent="0.25">
      <c r="A180"/>
      <c r="B180" s="67" t="s">
        <v>305</v>
      </c>
      <c r="C180" s="68" t="s">
        <v>306</v>
      </c>
      <c r="D180" s="108"/>
      <c r="E180" s="108"/>
      <c r="F180" s="108"/>
      <c r="G180" s="108"/>
      <c r="H180" s="108"/>
      <c r="I180" s="427"/>
      <c r="J180" s="427"/>
      <c r="N180" s="377"/>
      <c r="O180" s="377"/>
      <c r="P180" s="377"/>
      <c r="Q180" s="377"/>
      <c r="R180" s="377"/>
    </row>
    <row r="181" spans="1:18" s="63" customFormat="1" x14ac:dyDescent="0.25">
      <c r="A181"/>
      <c r="B181" s="67"/>
      <c r="C181" s="68"/>
      <c r="D181" s="108"/>
      <c r="E181" s="108"/>
      <c r="F181" s="108"/>
      <c r="G181" s="108"/>
      <c r="H181" s="108"/>
      <c r="I181" s="427"/>
      <c r="J181" s="427"/>
      <c r="N181" s="377"/>
      <c r="O181" s="377"/>
      <c r="P181" s="377"/>
      <c r="Q181" s="377"/>
      <c r="R181" s="377"/>
    </row>
    <row r="182" spans="1:18" s="63" customFormat="1" x14ac:dyDescent="0.25">
      <c r="A182"/>
      <c r="B182" s="67"/>
      <c r="C182" s="68"/>
      <c r="D182" s="108"/>
      <c r="E182" s="108"/>
      <c r="F182" s="933" t="s">
        <v>1083</v>
      </c>
      <c r="G182" s="108"/>
      <c r="H182" s="108"/>
      <c r="I182" s="427"/>
      <c r="J182" s="427"/>
      <c r="N182" s="377"/>
      <c r="O182" s="377"/>
      <c r="P182" s="377"/>
      <c r="Q182" s="377"/>
      <c r="R182" s="377"/>
    </row>
    <row r="183" spans="1:18" s="63" customFormat="1" x14ac:dyDescent="0.25">
      <c r="A183"/>
      <c r="B183" s="67" t="s">
        <v>310</v>
      </c>
      <c r="C183" s="68" t="s">
        <v>311</v>
      </c>
      <c r="D183" s="68" t="s">
        <v>372</v>
      </c>
      <c r="E183" s="69" t="s">
        <v>373</v>
      </c>
      <c r="F183" s="69" t="s">
        <v>1272</v>
      </c>
      <c r="G183" s="69" t="s">
        <v>1030</v>
      </c>
      <c r="H183" s="192" t="s">
        <v>373</v>
      </c>
      <c r="I183" s="427"/>
      <c r="J183" s="427">
        <v>211448677.18000001</v>
      </c>
      <c r="K183" s="379"/>
      <c r="N183" s="377"/>
      <c r="O183" s="377"/>
      <c r="P183" s="377"/>
      <c r="Q183" s="377"/>
      <c r="R183" s="377"/>
    </row>
    <row r="184" spans="1:18" s="63" customFormat="1" x14ac:dyDescent="0.25">
      <c r="A184"/>
      <c r="B184" s="67" t="s">
        <v>314</v>
      </c>
      <c r="C184" s="68" t="s">
        <v>315</v>
      </c>
      <c r="D184" s="68" t="s">
        <v>366</v>
      </c>
      <c r="E184" s="69" t="s">
        <v>363</v>
      </c>
      <c r="F184" s="69"/>
      <c r="G184" s="69"/>
      <c r="H184" s="192" t="s">
        <v>363</v>
      </c>
      <c r="I184" s="427"/>
      <c r="J184" s="427"/>
      <c r="N184" s="377"/>
      <c r="O184" s="377"/>
      <c r="P184" s="377"/>
      <c r="Q184" s="377"/>
      <c r="R184" s="377"/>
    </row>
    <row r="185" spans="1:18" s="63" customFormat="1" x14ac:dyDescent="0.25">
      <c r="A185"/>
      <c r="B185" s="67"/>
      <c r="C185" s="68"/>
      <c r="D185" s="68" t="s">
        <v>367</v>
      </c>
      <c r="E185" s="69" t="s">
        <v>364</v>
      </c>
      <c r="F185" s="69" t="s">
        <v>1273</v>
      </c>
      <c r="G185" s="69" t="s">
        <v>1030</v>
      </c>
      <c r="H185" s="192" t="s">
        <v>364</v>
      </c>
      <c r="I185" s="427"/>
      <c r="J185" s="427">
        <v>11764403.1</v>
      </c>
      <c r="K185" s="379"/>
      <c r="N185" s="377"/>
      <c r="O185" s="377"/>
      <c r="P185" s="377"/>
      <c r="Q185" s="377"/>
      <c r="R185" s="377"/>
    </row>
    <row r="186" spans="1:18" s="63" customFormat="1" x14ac:dyDescent="0.25">
      <c r="A186"/>
      <c r="B186" s="67" t="s">
        <v>318</v>
      </c>
      <c r="C186" s="68" t="s">
        <v>319</v>
      </c>
      <c r="D186" s="68" t="s">
        <v>356</v>
      </c>
      <c r="E186" s="69" t="s">
        <v>355</v>
      </c>
      <c r="F186" s="69" t="s">
        <v>1274</v>
      </c>
      <c r="G186" s="69" t="s">
        <v>1030</v>
      </c>
      <c r="H186" s="192" t="s">
        <v>355</v>
      </c>
      <c r="I186" s="427"/>
      <c r="J186" s="427">
        <v>8212.1200000000008</v>
      </c>
      <c r="K186" s="379"/>
      <c r="N186" s="377"/>
      <c r="O186" s="377"/>
      <c r="P186" s="377"/>
      <c r="Q186" s="377"/>
      <c r="R186" s="377"/>
    </row>
    <row r="187" spans="1:18" s="63" customFormat="1" x14ac:dyDescent="0.25">
      <c r="A187"/>
      <c r="B187" s="67" t="s">
        <v>320</v>
      </c>
      <c r="C187" s="68" t="s">
        <v>321</v>
      </c>
      <c r="D187" s="68" t="s">
        <v>357</v>
      </c>
      <c r="E187" s="69" t="s">
        <v>358</v>
      </c>
      <c r="F187" s="69" t="s">
        <v>1275</v>
      </c>
      <c r="G187" s="69" t="s">
        <v>1030</v>
      </c>
      <c r="H187" s="192" t="s">
        <v>358</v>
      </c>
      <c r="I187" s="427"/>
      <c r="J187" s="427">
        <v>75289.820000000007</v>
      </c>
      <c r="K187" s="379"/>
      <c r="N187" s="377"/>
      <c r="O187" s="377"/>
      <c r="P187" s="377"/>
      <c r="Q187" s="377"/>
      <c r="R187" s="377"/>
    </row>
    <row r="188" spans="1:18" x14ac:dyDescent="0.25">
      <c r="B188" s="67" t="s">
        <v>324</v>
      </c>
      <c r="C188" s="68" t="s">
        <v>325</v>
      </c>
      <c r="D188" s="68" t="s">
        <v>360</v>
      </c>
      <c r="E188" s="69" t="s">
        <v>359</v>
      </c>
      <c r="F188" s="69" t="s">
        <v>1276</v>
      </c>
      <c r="G188" s="69" t="s">
        <v>1030</v>
      </c>
      <c r="H188" s="192" t="s">
        <v>359</v>
      </c>
      <c r="I188" s="427"/>
      <c r="J188" s="427">
        <v>123258359.52</v>
      </c>
      <c r="K188" s="378"/>
    </row>
    <row r="189" spans="1:18" x14ac:dyDescent="0.25">
      <c r="B189" s="67" t="s">
        <v>328</v>
      </c>
      <c r="C189" s="68" t="s">
        <v>329</v>
      </c>
      <c r="D189" s="68" t="s">
        <v>361</v>
      </c>
      <c r="E189" s="69" t="s">
        <v>362</v>
      </c>
      <c r="F189" s="69" t="s">
        <v>1277</v>
      </c>
      <c r="G189" s="69" t="s">
        <v>1030</v>
      </c>
      <c r="H189" s="192" t="s">
        <v>362</v>
      </c>
      <c r="I189" s="427"/>
      <c r="J189" s="427">
        <v>41657.22</v>
      </c>
      <c r="K189" s="378"/>
    </row>
    <row r="190" spans="1:18" s="63" customFormat="1" x14ac:dyDescent="0.25">
      <c r="A190"/>
      <c r="B190" s="67" t="s">
        <v>333</v>
      </c>
      <c r="C190" s="68" t="s">
        <v>334</v>
      </c>
      <c r="D190" s="931" t="s">
        <v>705</v>
      </c>
      <c r="E190" s="69" t="s">
        <v>391</v>
      </c>
      <c r="F190" s="69" t="s">
        <v>1278</v>
      </c>
      <c r="G190" s="69" t="s">
        <v>1030</v>
      </c>
      <c r="H190" s="192" t="s">
        <v>391</v>
      </c>
      <c r="I190" s="427">
        <v>0</v>
      </c>
      <c r="J190" s="427">
        <v>0</v>
      </c>
      <c r="N190" s="377"/>
      <c r="O190" s="377"/>
      <c r="P190" s="377"/>
      <c r="Q190" s="377"/>
      <c r="R190" s="377"/>
    </row>
    <row r="191" spans="1:18" s="63" customFormat="1" x14ac:dyDescent="0.25">
      <c r="A191"/>
      <c r="B191" s="67" t="s">
        <v>339</v>
      </c>
      <c r="C191" s="68" t="s">
        <v>340</v>
      </c>
      <c r="D191" s="68" t="s">
        <v>389</v>
      </c>
      <c r="E191" s="69" t="s">
        <v>390</v>
      </c>
      <c r="F191" s="69" t="s">
        <v>1279</v>
      </c>
      <c r="G191" s="69" t="s">
        <v>1030</v>
      </c>
      <c r="H191" s="192" t="s">
        <v>390</v>
      </c>
      <c r="I191" s="427">
        <v>0</v>
      </c>
      <c r="J191" s="427">
        <v>0</v>
      </c>
      <c r="N191" s="377"/>
      <c r="O191" s="377"/>
      <c r="P191" s="377"/>
      <c r="Q191" s="377"/>
      <c r="R191" s="377"/>
    </row>
    <row r="192" spans="1:18" s="63" customFormat="1" x14ac:dyDescent="0.25">
      <c r="A192"/>
      <c r="B192" s="67" t="s">
        <v>342</v>
      </c>
      <c r="C192" s="68" t="s">
        <v>335</v>
      </c>
      <c r="D192" s="68" t="s">
        <v>376</v>
      </c>
      <c r="E192" s="69" t="s">
        <v>99</v>
      </c>
      <c r="F192" s="69" t="s">
        <v>1280</v>
      </c>
      <c r="G192" s="69" t="s">
        <v>1030</v>
      </c>
      <c r="H192" s="192" t="s">
        <v>99</v>
      </c>
      <c r="I192" s="427"/>
      <c r="J192" s="427">
        <v>116667</v>
      </c>
      <c r="K192" s="379"/>
      <c r="N192" s="377"/>
      <c r="O192" s="377"/>
      <c r="P192" s="377"/>
      <c r="Q192" s="377"/>
      <c r="R192" s="377"/>
    </row>
    <row r="193" spans="1:18" s="63" customFormat="1" x14ac:dyDescent="0.25">
      <c r="A193"/>
      <c r="B193" s="67" t="s">
        <v>345</v>
      </c>
      <c r="C193" s="68" t="s">
        <v>346</v>
      </c>
      <c r="D193" s="108"/>
      <c r="E193" s="108"/>
      <c r="F193" s="108"/>
      <c r="G193" s="108"/>
      <c r="H193" s="108"/>
      <c r="I193" s="427"/>
      <c r="J193" s="427"/>
      <c r="N193" s="377"/>
      <c r="O193" s="377"/>
      <c r="P193" s="377"/>
      <c r="Q193" s="377"/>
      <c r="R193" s="377"/>
    </row>
    <row r="194" spans="1:18" s="63" customFormat="1" x14ac:dyDescent="0.25">
      <c r="A194"/>
      <c r="B194" s="67" t="s">
        <v>349</v>
      </c>
      <c r="C194" s="68" t="s">
        <v>350</v>
      </c>
      <c r="D194" s="68" t="s">
        <v>377</v>
      </c>
      <c r="E194" s="69" t="s">
        <v>378</v>
      </c>
      <c r="F194" s="69" t="s">
        <v>1281</v>
      </c>
      <c r="G194" s="69" t="s">
        <v>1031</v>
      </c>
      <c r="H194" s="192" t="s">
        <v>378</v>
      </c>
      <c r="I194" s="427"/>
      <c r="J194" s="427">
        <v>22366942.539999999</v>
      </c>
      <c r="K194" s="379"/>
      <c r="N194" s="377"/>
      <c r="O194" s="377"/>
      <c r="P194" s="377"/>
      <c r="Q194" s="377"/>
      <c r="R194" s="377"/>
    </row>
    <row r="195" spans="1:18" x14ac:dyDescent="0.25">
      <c r="B195" s="67" t="s">
        <v>368</v>
      </c>
      <c r="C195" s="68" t="s">
        <v>365</v>
      </c>
      <c r="D195" s="68" t="s">
        <v>744</v>
      </c>
      <c r="E195" s="69" t="s">
        <v>369</v>
      </c>
      <c r="F195" s="69" t="s">
        <v>1282</v>
      </c>
      <c r="G195" s="69" t="s">
        <v>1031</v>
      </c>
      <c r="H195" s="192" t="s">
        <v>369</v>
      </c>
      <c r="I195" s="427"/>
      <c r="J195" s="427">
        <v>754659930.48000002</v>
      </c>
      <c r="K195" s="378"/>
    </row>
    <row r="196" spans="1:18" x14ac:dyDescent="0.25">
      <c r="B196" s="67" t="s">
        <v>370</v>
      </c>
      <c r="C196" s="68" t="s">
        <v>371</v>
      </c>
      <c r="D196" s="68" t="s">
        <v>379</v>
      </c>
      <c r="E196" s="69" t="s">
        <v>380</v>
      </c>
      <c r="F196" s="69" t="s">
        <v>1283</v>
      </c>
      <c r="G196" s="69" t="s">
        <v>1031</v>
      </c>
      <c r="H196" s="192" t="s">
        <v>380</v>
      </c>
      <c r="I196" s="427"/>
      <c r="J196" s="427">
        <v>80445.539999999994</v>
      </c>
      <c r="K196" s="378"/>
    </row>
    <row r="197" spans="1:18" x14ac:dyDescent="0.25">
      <c r="B197" s="67" t="s">
        <v>99</v>
      </c>
      <c r="C197" s="68" t="s">
        <v>375</v>
      </c>
      <c r="D197" s="65" t="s">
        <v>709</v>
      </c>
      <c r="E197" s="69" t="s">
        <v>710</v>
      </c>
      <c r="F197" s="69" t="s">
        <v>1284</v>
      </c>
      <c r="G197" s="69" t="s">
        <v>1031</v>
      </c>
      <c r="H197" s="192" t="s">
        <v>710</v>
      </c>
      <c r="I197" s="427"/>
      <c r="J197" s="427">
        <v>0</v>
      </c>
    </row>
    <row r="198" spans="1:18" x14ac:dyDescent="0.25">
      <c r="B198" s="67"/>
      <c r="C198" s="68"/>
      <c r="D198" s="68" t="s">
        <v>778</v>
      </c>
      <c r="E198" s="69" t="s">
        <v>779</v>
      </c>
      <c r="F198" s="69" t="s">
        <v>1285</v>
      </c>
      <c r="G198" s="69" t="s">
        <v>1031</v>
      </c>
      <c r="H198" s="192" t="s">
        <v>779</v>
      </c>
      <c r="I198" s="427"/>
      <c r="J198" s="427">
        <v>0</v>
      </c>
    </row>
    <row r="199" spans="1:18" x14ac:dyDescent="0.25">
      <c r="B199" s="67"/>
      <c r="C199" s="68"/>
      <c r="D199" s="188"/>
      <c r="E199" s="83"/>
      <c r="F199" s="83"/>
      <c r="G199" s="83"/>
      <c r="H199" s="83"/>
      <c r="I199" s="427"/>
      <c r="J199" s="427"/>
    </row>
    <row r="200" spans="1:18" x14ac:dyDescent="0.25">
      <c r="B200" s="67"/>
      <c r="C200" s="68"/>
      <c r="D200" s="931" t="s">
        <v>774</v>
      </c>
      <c r="E200" s="69" t="s">
        <v>775</v>
      </c>
      <c r="F200" s="69" t="s">
        <v>1286</v>
      </c>
      <c r="G200" s="69" t="s">
        <v>775</v>
      </c>
      <c r="H200" s="192" t="s">
        <v>775</v>
      </c>
      <c r="I200" s="427"/>
      <c r="J200" s="427">
        <v>1210413.21</v>
      </c>
    </row>
    <row r="201" spans="1:18" x14ac:dyDescent="0.25">
      <c r="B201" s="67" t="s">
        <v>381</v>
      </c>
      <c r="C201" s="68" t="s">
        <v>382</v>
      </c>
      <c r="D201" s="68" t="s">
        <v>383</v>
      </c>
      <c r="E201" s="69" t="s">
        <v>384</v>
      </c>
      <c r="F201" s="69" t="s">
        <v>1287</v>
      </c>
      <c r="G201" s="69" t="s">
        <v>1080</v>
      </c>
      <c r="H201" s="192" t="s">
        <v>384</v>
      </c>
      <c r="I201" s="427"/>
      <c r="J201" s="427">
        <v>3853729.98</v>
      </c>
      <c r="K201" s="378"/>
    </row>
    <row r="202" spans="1:18" x14ac:dyDescent="0.25">
      <c r="B202" s="67" t="s">
        <v>388</v>
      </c>
      <c r="C202" s="936" t="s">
        <v>385</v>
      </c>
      <c r="I202" s="427"/>
      <c r="J202" s="427"/>
    </row>
    <row r="203" spans="1:18" x14ac:dyDescent="0.25">
      <c r="B203" s="67"/>
      <c r="C203" s="936"/>
      <c r="D203" s="269"/>
      <c r="E203" s="944"/>
      <c r="F203" s="933" t="s">
        <v>1032</v>
      </c>
      <c r="I203" s="427"/>
      <c r="J203" s="427"/>
    </row>
    <row r="204" spans="1:18" x14ac:dyDescent="0.25">
      <c r="B204" s="67"/>
      <c r="C204" s="936"/>
      <c r="D204" s="68" t="s">
        <v>398</v>
      </c>
      <c r="E204" s="69" t="s">
        <v>399</v>
      </c>
      <c r="F204" s="69" t="s">
        <v>1288</v>
      </c>
      <c r="G204" s="69" t="s">
        <v>399</v>
      </c>
      <c r="H204" s="192" t="s">
        <v>399</v>
      </c>
      <c r="I204" s="427">
        <v>30591672.850000001</v>
      </c>
      <c r="J204" s="427"/>
      <c r="K204" s="378"/>
    </row>
    <row r="205" spans="1:18" x14ac:dyDescent="0.25">
      <c r="B205" s="67"/>
      <c r="C205" s="936"/>
      <c r="I205" s="427"/>
      <c r="J205" s="427"/>
    </row>
    <row r="206" spans="1:18" x14ac:dyDescent="0.25">
      <c r="B206" s="67"/>
      <c r="C206" s="936"/>
      <c r="D206" s="68" t="s">
        <v>433</v>
      </c>
      <c r="E206" s="69" t="s">
        <v>434</v>
      </c>
      <c r="F206" s="69" t="s">
        <v>1289</v>
      </c>
      <c r="G206" s="69" t="s">
        <v>954</v>
      </c>
      <c r="H206" s="192" t="s">
        <v>434</v>
      </c>
      <c r="I206" s="427">
        <v>707528.17</v>
      </c>
      <c r="J206" s="427"/>
      <c r="K206" s="378"/>
      <c r="O206" s="179"/>
    </row>
    <row r="207" spans="1:18" x14ac:dyDescent="0.25">
      <c r="B207" s="67"/>
      <c r="C207" s="936"/>
      <c r="D207" s="931" t="s">
        <v>679</v>
      </c>
      <c r="E207" s="69" t="s">
        <v>435</v>
      </c>
      <c r="F207" s="69" t="s">
        <v>1290</v>
      </c>
      <c r="G207" s="69" t="s">
        <v>954</v>
      </c>
      <c r="H207" s="192" t="s">
        <v>435</v>
      </c>
      <c r="I207" s="427">
        <v>972511.36</v>
      </c>
      <c r="J207" s="427"/>
      <c r="K207" s="378"/>
    </row>
    <row r="208" spans="1:18" x14ac:dyDescent="0.25">
      <c r="B208" s="67"/>
      <c r="C208" s="936"/>
      <c r="D208" s="931" t="s">
        <v>680</v>
      </c>
      <c r="E208" s="69" t="s">
        <v>400</v>
      </c>
      <c r="F208" s="69" t="s">
        <v>1291</v>
      </c>
      <c r="G208" s="69" t="s">
        <v>954</v>
      </c>
      <c r="H208" s="192" t="s">
        <v>1081</v>
      </c>
      <c r="I208" s="427">
        <v>260159.11</v>
      </c>
      <c r="J208" s="427"/>
      <c r="K208" s="378"/>
    </row>
    <row r="209" spans="2:15" x14ac:dyDescent="0.25">
      <c r="B209" s="67"/>
      <c r="C209" s="936"/>
      <c r="D209" s="68" t="s">
        <v>444</v>
      </c>
      <c r="E209" s="69" t="s">
        <v>445</v>
      </c>
      <c r="F209" s="69" t="s">
        <v>1292</v>
      </c>
      <c r="G209" s="69" t="s">
        <v>954</v>
      </c>
      <c r="H209" s="192" t="s">
        <v>445</v>
      </c>
      <c r="I209" s="427">
        <v>245000</v>
      </c>
      <c r="J209" s="427"/>
      <c r="K209" s="378"/>
    </row>
    <row r="210" spans="2:15" x14ac:dyDescent="0.25">
      <c r="B210" s="67"/>
      <c r="C210" s="936"/>
      <c r="D210" s="945" t="s">
        <v>429</v>
      </c>
      <c r="E210" s="69" t="s">
        <v>430</v>
      </c>
      <c r="F210" s="69" t="s">
        <v>1293</v>
      </c>
      <c r="G210" s="69" t="s">
        <v>954</v>
      </c>
      <c r="H210" s="192" t="s">
        <v>430</v>
      </c>
      <c r="I210" s="427">
        <v>0</v>
      </c>
      <c r="J210" s="427"/>
    </row>
    <row r="211" spans="2:15" x14ac:dyDescent="0.25">
      <c r="B211" s="67"/>
      <c r="C211" s="936"/>
      <c r="D211" s="68" t="s">
        <v>980</v>
      </c>
      <c r="E211" s="69" t="s">
        <v>981</v>
      </c>
      <c r="F211" s="69" t="s">
        <v>1294</v>
      </c>
      <c r="G211" s="69" t="s">
        <v>954</v>
      </c>
      <c r="H211" s="192" t="s">
        <v>981</v>
      </c>
      <c r="I211" s="427">
        <v>0</v>
      </c>
      <c r="J211" s="427"/>
    </row>
    <row r="212" spans="2:15" x14ac:dyDescent="0.25">
      <c r="B212" s="67" t="s">
        <v>386</v>
      </c>
      <c r="C212" s="68" t="s">
        <v>387</v>
      </c>
      <c r="D212" s="68" t="s">
        <v>438</v>
      </c>
      <c r="E212" s="69" t="s">
        <v>439</v>
      </c>
      <c r="F212" s="69" t="s">
        <v>1295</v>
      </c>
      <c r="G212" s="69" t="s">
        <v>954</v>
      </c>
      <c r="H212" s="192" t="s">
        <v>439</v>
      </c>
      <c r="I212" s="427">
        <v>75357.149999999994</v>
      </c>
      <c r="J212" s="427"/>
      <c r="K212" s="378"/>
    </row>
    <row r="213" spans="2:15" x14ac:dyDescent="0.25">
      <c r="B213" s="67"/>
      <c r="C213" s="68"/>
      <c r="D213" s="68" t="s">
        <v>420</v>
      </c>
      <c r="E213" s="69" t="s">
        <v>421</v>
      </c>
      <c r="F213" s="69" t="s">
        <v>1296</v>
      </c>
      <c r="G213" s="69" t="s">
        <v>954</v>
      </c>
      <c r="H213" s="192" t="s">
        <v>421</v>
      </c>
      <c r="I213" s="427">
        <v>579545.65</v>
      </c>
      <c r="J213" s="427"/>
      <c r="K213" s="378"/>
    </row>
    <row r="214" spans="2:15" x14ac:dyDescent="0.25">
      <c r="B214" s="67"/>
      <c r="C214" s="68"/>
      <c r="D214" s="68" t="s">
        <v>424</v>
      </c>
      <c r="E214" s="69" t="s">
        <v>425</v>
      </c>
      <c r="F214" s="69" t="s">
        <v>1297</v>
      </c>
      <c r="G214" s="69" t="s">
        <v>954</v>
      </c>
      <c r="H214" s="192" t="s">
        <v>425</v>
      </c>
      <c r="I214" s="427">
        <v>5175977.7699999996</v>
      </c>
      <c r="J214" s="427"/>
      <c r="K214" s="378"/>
    </row>
    <row r="215" spans="2:15" x14ac:dyDescent="0.25">
      <c r="B215" s="67"/>
      <c r="C215" s="68"/>
      <c r="D215" s="931" t="s">
        <v>708</v>
      </c>
      <c r="E215" s="69" t="s">
        <v>428</v>
      </c>
      <c r="F215" s="69" t="s">
        <v>1298</v>
      </c>
      <c r="G215" s="69" t="s">
        <v>954</v>
      </c>
      <c r="H215" s="192" t="s">
        <v>428</v>
      </c>
      <c r="I215" s="427">
        <v>0</v>
      </c>
      <c r="J215" s="427"/>
      <c r="K215" s="378"/>
    </row>
    <row r="216" spans="2:15" x14ac:dyDescent="0.25">
      <c r="B216" s="67"/>
      <c r="C216" s="68"/>
      <c r="D216" s="68" t="s">
        <v>448</v>
      </c>
      <c r="E216" s="69" t="s">
        <v>449</v>
      </c>
      <c r="F216" s="69" t="s">
        <v>1299</v>
      </c>
      <c r="G216" s="69" t="s">
        <v>954</v>
      </c>
      <c r="H216" s="192" t="s">
        <v>449</v>
      </c>
      <c r="I216" s="427">
        <v>457306.38</v>
      </c>
      <c r="J216" s="427"/>
      <c r="K216" s="378"/>
    </row>
    <row r="217" spans="2:15" x14ac:dyDescent="0.25">
      <c r="B217" s="67"/>
      <c r="C217" s="68"/>
      <c r="D217" s="188"/>
      <c r="E217" s="83"/>
      <c r="F217" s="83"/>
      <c r="G217" s="83"/>
      <c r="H217" s="83"/>
      <c r="I217" s="427"/>
      <c r="J217" s="427"/>
    </row>
    <row r="218" spans="2:15" x14ac:dyDescent="0.25">
      <c r="B218" s="67"/>
      <c r="C218" s="68"/>
      <c r="D218" s="68" t="s">
        <v>404</v>
      </c>
      <c r="E218" s="69" t="s">
        <v>405</v>
      </c>
      <c r="F218" s="69" t="s">
        <v>1300</v>
      </c>
      <c r="G218" s="69" t="s">
        <v>955</v>
      </c>
      <c r="H218" s="192" t="s">
        <v>405</v>
      </c>
      <c r="I218" s="427">
        <v>3484566.21</v>
      </c>
      <c r="J218" s="427"/>
      <c r="K218" s="378"/>
      <c r="O218" s="179"/>
    </row>
    <row r="219" spans="2:15" x14ac:dyDescent="0.25">
      <c r="B219" s="67"/>
      <c r="C219" s="68"/>
      <c r="D219" s="68" t="s">
        <v>416</v>
      </c>
      <c r="E219" s="69" t="s">
        <v>417</v>
      </c>
      <c r="F219" s="69" t="s">
        <v>1301</v>
      </c>
      <c r="G219" s="69" t="s">
        <v>955</v>
      </c>
      <c r="H219" s="192" t="s">
        <v>417</v>
      </c>
      <c r="I219" s="427">
        <v>65300</v>
      </c>
      <c r="J219" s="427"/>
      <c r="K219" s="378"/>
      <c r="O219" s="179"/>
    </row>
    <row r="220" spans="2:15" x14ac:dyDescent="0.25">
      <c r="B220" s="67"/>
      <c r="C220" s="68"/>
      <c r="D220" s="68" t="s">
        <v>408</v>
      </c>
      <c r="E220" s="69" t="s">
        <v>409</v>
      </c>
      <c r="F220" s="69" t="s">
        <v>1302</v>
      </c>
      <c r="G220" s="69" t="s">
        <v>955</v>
      </c>
      <c r="H220" s="192" t="s">
        <v>409</v>
      </c>
      <c r="I220" s="427">
        <v>602673.43999999994</v>
      </c>
      <c r="J220" s="427"/>
      <c r="K220" s="378"/>
    </row>
    <row r="221" spans="2:15" x14ac:dyDescent="0.25">
      <c r="B221" s="67"/>
      <c r="C221" s="68"/>
      <c r="D221" s="68" t="s">
        <v>412</v>
      </c>
      <c r="E221" s="69" t="s">
        <v>413</v>
      </c>
      <c r="F221" s="69" t="s">
        <v>1303</v>
      </c>
      <c r="G221" s="69" t="s">
        <v>955</v>
      </c>
      <c r="H221" s="192" t="s">
        <v>413</v>
      </c>
      <c r="I221" s="427">
        <v>34600</v>
      </c>
      <c r="J221" s="427"/>
      <c r="K221" s="378"/>
    </row>
    <row r="222" spans="2:15" x14ac:dyDescent="0.25">
      <c r="B222" s="67"/>
      <c r="C222" s="68"/>
      <c r="D222" s="188"/>
      <c r="E222" s="83"/>
      <c r="F222" s="83"/>
      <c r="G222" s="83"/>
      <c r="H222" s="83"/>
      <c r="I222" s="427"/>
      <c r="J222" s="427"/>
    </row>
    <row r="223" spans="2:15" x14ac:dyDescent="0.25">
      <c r="B223" s="67"/>
      <c r="C223" s="68"/>
      <c r="D223" s="931" t="s">
        <v>681</v>
      </c>
      <c r="E223" s="69" t="s">
        <v>450</v>
      </c>
      <c r="F223" s="69" t="s">
        <v>1304</v>
      </c>
      <c r="G223" s="69" t="s">
        <v>454</v>
      </c>
      <c r="H223" s="192" t="s">
        <v>450</v>
      </c>
      <c r="I223" s="427">
        <v>3679945.66</v>
      </c>
      <c r="J223" s="427"/>
      <c r="K223" s="378"/>
    </row>
    <row r="224" spans="2:15" x14ac:dyDescent="0.25">
      <c r="B224" s="67"/>
      <c r="C224" s="68"/>
      <c r="D224" s="68" t="s">
        <v>453</v>
      </c>
      <c r="E224" s="69" t="s">
        <v>454</v>
      </c>
      <c r="F224" s="69" t="s">
        <v>1305</v>
      </c>
      <c r="G224" s="69" t="s">
        <v>454</v>
      </c>
      <c r="H224" s="192" t="s">
        <v>454</v>
      </c>
      <c r="I224" s="427">
        <v>3681159.96</v>
      </c>
      <c r="J224" s="427"/>
      <c r="K224" s="378"/>
    </row>
    <row r="225" spans="2:11" x14ac:dyDescent="0.25">
      <c r="B225" s="67"/>
      <c r="C225" s="68"/>
      <c r="I225" s="427"/>
      <c r="J225" s="427"/>
    </row>
    <row r="226" spans="2:11" x14ac:dyDescent="0.25">
      <c r="B226" s="67"/>
      <c r="C226" s="68"/>
      <c r="D226" s="945" t="s">
        <v>638</v>
      </c>
      <c r="E226" s="946" t="s">
        <v>639</v>
      </c>
      <c r="F226" s="946" t="s">
        <v>1306</v>
      </c>
      <c r="G226" s="946" t="s">
        <v>636</v>
      </c>
      <c r="H226" s="927" t="s">
        <v>639</v>
      </c>
      <c r="I226" s="427">
        <v>1410353.23</v>
      </c>
      <c r="J226" s="427"/>
      <c r="K226" s="378"/>
    </row>
    <row r="227" spans="2:11" x14ac:dyDescent="0.25">
      <c r="B227" s="67"/>
      <c r="C227" s="68"/>
      <c r="D227" s="68" t="s">
        <v>640</v>
      </c>
      <c r="E227" s="69" t="s">
        <v>641</v>
      </c>
      <c r="F227" s="69" t="s">
        <v>1307</v>
      </c>
      <c r="G227" s="946" t="s">
        <v>636</v>
      </c>
      <c r="H227" s="192" t="s">
        <v>641</v>
      </c>
      <c r="I227" s="427">
        <v>1137561.81</v>
      </c>
      <c r="J227" s="427"/>
    </row>
    <row r="228" spans="2:11" x14ac:dyDescent="0.25">
      <c r="B228" s="67"/>
      <c r="C228" s="68"/>
      <c r="I228" s="427"/>
      <c r="J228" s="427"/>
    </row>
    <row r="229" spans="2:11" x14ac:dyDescent="0.25">
      <c r="B229" s="67"/>
      <c r="C229" s="68"/>
      <c r="D229" s="68" t="s">
        <v>548</v>
      </c>
      <c r="E229" s="69" t="s">
        <v>549</v>
      </c>
      <c r="F229" s="69" t="s">
        <v>1308</v>
      </c>
      <c r="G229" s="69" t="s">
        <v>1070</v>
      </c>
      <c r="H229" s="192" t="s">
        <v>549</v>
      </c>
      <c r="I229" s="427">
        <v>729825.35</v>
      </c>
      <c r="J229" s="427"/>
      <c r="K229" s="378"/>
    </row>
    <row r="230" spans="2:11" x14ac:dyDescent="0.25">
      <c r="B230" s="67"/>
      <c r="C230" s="68"/>
      <c r="I230" s="427"/>
      <c r="J230" s="427"/>
    </row>
    <row r="231" spans="2:11" x14ac:dyDescent="0.25">
      <c r="B231" s="67"/>
      <c r="C231" s="68"/>
      <c r="D231" s="68" t="s">
        <v>629</v>
      </c>
      <c r="E231" s="69" t="s">
        <v>630</v>
      </c>
      <c r="F231" s="69" t="s">
        <v>1309</v>
      </c>
      <c r="G231" s="69" t="s">
        <v>1076</v>
      </c>
      <c r="H231" s="192" t="s">
        <v>630</v>
      </c>
      <c r="I231" s="427">
        <v>1050428.55</v>
      </c>
      <c r="J231" s="427"/>
      <c r="K231" s="378"/>
    </row>
    <row r="232" spans="2:11" x14ac:dyDescent="0.25">
      <c r="B232" s="67"/>
      <c r="C232" s="68"/>
      <c r="D232" s="68" t="s">
        <v>982</v>
      </c>
      <c r="E232" s="69" t="s">
        <v>983</v>
      </c>
      <c r="F232" s="69" t="s">
        <v>1310</v>
      </c>
      <c r="G232" s="69" t="s">
        <v>1076</v>
      </c>
      <c r="H232" s="192" t="s">
        <v>1025</v>
      </c>
      <c r="I232" s="427">
        <v>0</v>
      </c>
      <c r="J232" s="427"/>
    </row>
    <row r="233" spans="2:11" x14ac:dyDescent="0.25">
      <c r="B233" s="67"/>
      <c r="C233" s="68"/>
      <c r="D233" s="931" t="s">
        <v>686</v>
      </c>
      <c r="E233" s="69" t="s">
        <v>540</v>
      </c>
      <c r="F233" s="69" t="s">
        <v>1311</v>
      </c>
      <c r="G233" s="69" t="s">
        <v>1076</v>
      </c>
      <c r="H233" s="192" t="s">
        <v>540</v>
      </c>
      <c r="I233" s="427">
        <v>1090284.6399999999</v>
      </c>
      <c r="J233" s="427"/>
      <c r="K233" s="378"/>
    </row>
    <row r="234" spans="2:11" x14ac:dyDescent="0.25">
      <c r="B234" s="67"/>
      <c r="C234" s="68"/>
      <c r="D234" s="68" t="s">
        <v>633</v>
      </c>
      <c r="E234" s="69" t="s">
        <v>634</v>
      </c>
      <c r="F234" s="69" t="s">
        <v>1312</v>
      </c>
      <c r="G234" s="69" t="s">
        <v>1076</v>
      </c>
      <c r="H234" s="192" t="s">
        <v>634</v>
      </c>
      <c r="I234" s="427">
        <v>2100659.39</v>
      </c>
      <c r="J234" s="427"/>
      <c r="K234" s="378"/>
    </row>
    <row r="235" spans="2:11" x14ac:dyDescent="0.25">
      <c r="B235" s="67"/>
      <c r="C235" s="68"/>
      <c r="I235" s="427"/>
      <c r="J235" s="427"/>
    </row>
    <row r="236" spans="2:11" x14ac:dyDescent="0.25">
      <c r="B236" s="67"/>
      <c r="C236" s="68"/>
      <c r="D236" s="68" t="s">
        <v>507</v>
      </c>
      <c r="E236" s="69" t="s">
        <v>508</v>
      </c>
      <c r="F236" s="69" t="s">
        <v>1313</v>
      </c>
      <c r="G236" s="69" t="s">
        <v>1067</v>
      </c>
      <c r="H236" s="192" t="s">
        <v>508</v>
      </c>
      <c r="I236" s="427">
        <v>235403.12</v>
      </c>
      <c r="J236" s="427"/>
      <c r="K236" s="378"/>
    </row>
    <row r="237" spans="2:11" x14ac:dyDescent="0.25">
      <c r="B237" s="67"/>
      <c r="C237" s="68"/>
      <c r="D237" s="68" t="str">
        <f>+'[2]ACCOUNTS MAP DEC. 2017'!$A$1745</f>
        <v>5-020-4020</v>
      </c>
      <c r="E237" s="69" t="s">
        <v>511</v>
      </c>
      <c r="F237" s="69" t="s">
        <v>1314</v>
      </c>
      <c r="G237" s="69" t="s">
        <v>1067</v>
      </c>
      <c r="H237" s="192" t="s">
        <v>511</v>
      </c>
      <c r="I237" s="427">
        <v>2577589.77</v>
      </c>
      <c r="J237" s="427"/>
      <c r="K237" s="378"/>
    </row>
    <row r="238" spans="2:11" x14ac:dyDescent="0.25">
      <c r="B238" s="67"/>
      <c r="C238" s="68"/>
      <c r="D238" s="188"/>
      <c r="E238" s="83"/>
      <c r="F238" s="83"/>
      <c r="G238" s="83"/>
      <c r="H238" s="83"/>
      <c r="I238" s="427"/>
      <c r="J238" s="427"/>
    </row>
    <row r="239" spans="2:11" x14ac:dyDescent="0.25">
      <c r="B239" s="67"/>
      <c r="C239" s="68"/>
      <c r="D239" s="68" t="s">
        <v>620</v>
      </c>
      <c r="E239" s="69" t="s">
        <v>621</v>
      </c>
      <c r="F239" s="69" t="s">
        <v>1315</v>
      </c>
      <c r="G239" s="69" t="s">
        <v>1075</v>
      </c>
      <c r="H239" s="192" t="s">
        <v>621</v>
      </c>
      <c r="I239" s="427">
        <v>30205.93</v>
      </c>
      <c r="J239" s="427"/>
      <c r="K239" s="378"/>
    </row>
    <row r="240" spans="2:11" x14ac:dyDescent="0.25">
      <c r="B240" s="67"/>
      <c r="C240" s="68"/>
      <c r="D240" s="68" t="s">
        <v>616</v>
      </c>
      <c r="E240" s="69" t="s">
        <v>617</v>
      </c>
      <c r="F240" s="69" t="s">
        <v>1316</v>
      </c>
      <c r="G240" s="69" t="s">
        <v>1075</v>
      </c>
      <c r="H240" s="192" t="s">
        <v>617</v>
      </c>
      <c r="I240" s="427">
        <v>556950.65</v>
      </c>
      <c r="J240" s="427"/>
      <c r="K240" s="378"/>
    </row>
    <row r="241" spans="2:11" x14ac:dyDescent="0.25">
      <c r="B241" s="67"/>
      <c r="C241" s="68"/>
      <c r="D241" s="68" t="s">
        <v>624</v>
      </c>
      <c r="E241" s="69" t="s">
        <v>625</v>
      </c>
      <c r="F241" s="69" t="s">
        <v>1317</v>
      </c>
      <c r="G241" s="69" t="s">
        <v>1075</v>
      </c>
      <c r="H241" s="192" t="s">
        <v>625</v>
      </c>
      <c r="I241" s="427">
        <f>269679.21+679761.66</f>
        <v>949440.87000000011</v>
      </c>
      <c r="J241" s="427"/>
      <c r="K241" s="378"/>
    </row>
    <row r="242" spans="2:11" x14ac:dyDescent="0.25">
      <c r="B242" s="67"/>
      <c r="C242" s="68"/>
      <c r="D242" s="188"/>
      <c r="E242" s="83"/>
      <c r="F242" s="83"/>
      <c r="G242" s="83"/>
      <c r="H242" s="83"/>
      <c r="I242" s="427"/>
      <c r="J242" s="427"/>
    </row>
    <row r="243" spans="2:11" x14ac:dyDescent="0.25">
      <c r="B243" s="67"/>
      <c r="C243" s="68"/>
      <c r="D243" s="68" t="s">
        <v>588</v>
      </c>
      <c r="E243" s="69" t="s">
        <v>589</v>
      </c>
      <c r="F243" s="69" t="s">
        <v>1318</v>
      </c>
      <c r="G243" s="69" t="s">
        <v>1074</v>
      </c>
      <c r="H243" s="192" t="s">
        <v>1073</v>
      </c>
      <c r="I243" s="427">
        <v>120261.86</v>
      </c>
      <c r="J243" s="427"/>
      <c r="K243" s="378"/>
    </row>
    <row r="244" spans="2:11" x14ac:dyDescent="0.25">
      <c r="B244" s="67"/>
      <c r="C244" s="68"/>
      <c r="D244" s="68" t="s">
        <v>592</v>
      </c>
      <c r="E244" s="69" t="s">
        <v>593</v>
      </c>
      <c r="F244" s="69" t="s">
        <v>1319</v>
      </c>
      <c r="G244" s="69" t="s">
        <v>1074</v>
      </c>
      <c r="H244" s="192" t="s">
        <v>1019</v>
      </c>
      <c r="I244" s="427">
        <v>1821577.28</v>
      </c>
      <c r="J244" s="427"/>
      <c r="K244" s="378"/>
    </row>
    <row r="245" spans="2:11" x14ac:dyDescent="0.25">
      <c r="B245" s="67"/>
      <c r="C245" s="68"/>
      <c r="D245" s="68" t="s">
        <v>645</v>
      </c>
      <c r="E245" s="69" t="s">
        <v>646</v>
      </c>
      <c r="F245" s="69" t="s">
        <v>1320</v>
      </c>
      <c r="G245" s="69" t="s">
        <v>1074</v>
      </c>
      <c r="H245" s="192" t="s">
        <v>1077</v>
      </c>
      <c r="I245" s="427">
        <v>3789784.56</v>
      </c>
      <c r="J245" s="427"/>
      <c r="K245" s="378"/>
    </row>
    <row r="246" spans="2:11" x14ac:dyDescent="0.25">
      <c r="B246" s="67"/>
      <c r="C246" s="68"/>
      <c r="D246" s="68" t="s">
        <v>656</v>
      </c>
      <c r="E246" s="69" t="s">
        <v>654</v>
      </c>
      <c r="F246" s="69" t="s">
        <v>1321</v>
      </c>
      <c r="G246" s="69" t="s">
        <v>1074</v>
      </c>
      <c r="H246" s="192" t="s">
        <v>1020</v>
      </c>
      <c r="I246" s="427">
        <v>814291.82</v>
      </c>
      <c r="J246" s="427"/>
      <c r="K246" s="378"/>
    </row>
    <row r="247" spans="2:11" x14ac:dyDescent="0.25">
      <c r="B247" s="67"/>
      <c r="C247" s="68"/>
      <c r="D247" s="188"/>
      <c r="E247" s="83"/>
      <c r="F247" s="83"/>
      <c r="G247" s="83"/>
      <c r="H247" s="83"/>
      <c r="I247" s="427"/>
      <c r="J247" s="427"/>
    </row>
    <row r="248" spans="2:11" x14ac:dyDescent="0.25">
      <c r="B248" s="67"/>
      <c r="C248" s="68"/>
      <c r="D248" s="68" t="s">
        <v>457</v>
      </c>
      <c r="E248" s="69" t="s">
        <v>458</v>
      </c>
      <c r="F248" s="69" t="s">
        <v>1322</v>
      </c>
      <c r="G248" s="69" t="s">
        <v>938</v>
      </c>
      <c r="H248" s="192" t="s">
        <v>458</v>
      </c>
      <c r="I248" s="427">
        <v>450000</v>
      </c>
      <c r="J248" s="427"/>
      <c r="K248" s="378"/>
    </row>
    <row r="249" spans="2:11" x14ac:dyDescent="0.25">
      <c r="B249" s="67"/>
      <c r="C249" s="68"/>
      <c r="D249" s="68" t="s">
        <v>465</v>
      </c>
      <c r="E249" s="69" t="s">
        <v>466</v>
      </c>
      <c r="F249" s="69" t="s">
        <v>1323</v>
      </c>
      <c r="G249" s="69" t="s">
        <v>938</v>
      </c>
      <c r="H249" s="192" t="s">
        <v>466</v>
      </c>
      <c r="I249" s="427">
        <v>6865005.9699999997</v>
      </c>
      <c r="J249" s="427"/>
      <c r="K249" s="378"/>
    </row>
    <row r="250" spans="2:11" x14ac:dyDescent="0.25">
      <c r="B250" s="67"/>
      <c r="C250" s="68"/>
      <c r="D250" s="68" t="s">
        <v>461</v>
      </c>
      <c r="E250" s="69" t="s">
        <v>462</v>
      </c>
      <c r="F250" s="69" t="s">
        <v>1324</v>
      </c>
      <c r="G250" s="69" t="s">
        <v>938</v>
      </c>
      <c r="H250" s="192" t="s">
        <v>462</v>
      </c>
      <c r="I250" s="427">
        <v>4724833.6500000004</v>
      </c>
      <c r="J250" s="427"/>
      <c r="K250" s="378"/>
    </row>
    <row r="251" spans="2:11" x14ac:dyDescent="0.25">
      <c r="B251" s="67"/>
      <c r="C251" s="68"/>
      <c r="D251" s="931" t="s">
        <v>682</v>
      </c>
      <c r="E251" s="69" t="s">
        <v>469</v>
      </c>
      <c r="F251" s="69" t="s">
        <v>1325</v>
      </c>
      <c r="G251" s="69" t="s">
        <v>938</v>
      </c>
      <c r="H251" s="192" t="s">
        <v>469</v>
      </c>
      <c r="I251" s="427">
        <v>0</v>
      </c>
      <c r="J251" s="427"/>
      <c r="K251" s="378"/>
    </row>
    <row r="252" spans="2:11" x14ac:dyDescent="0.25">
      <c r="B252" s="67"/>
      <c r="C252" s="68"/>
      <c r="I252" s="427"/>
      <c r="J252" s="427"/>
    </row>
    <row r="253" spans="2:11" x14ac:dyDescent="0.25">
      <c r="B253" s="67"/>
      <c r="C253" s="68"/>
      <c r="D253" s="931" t="s">
        <v>683</v>
      </c>
      <c r="E253" s="69" t="s">
        <v>472</v>
      </c>
      <c r="F253" s="69" t="s">
        <v>1326</v>
      </c>
      <c r="G253" s="69" t="s">
        <v>936</v>
      </c>
      <c r="H253" s="192" t="s">
        <v>472</v>
      </c>
      <c r="I253" s="427">
        <v>133638.53</v>
      </c>
      <c r="J253" s="427"/>
      <c r="K253" s="378"/>
    </row>
    <row r="254" spans="2:11" x14ac:dyDescent="0.25">
      <c r="B254" s="67"/>
      <c r="C254" s="68"/>
      <c r="D254" s="68" t="s">
        <v>557</v>
      </c>
      <c r="E254" s="69" t="s">
        <v>555</v>
      </c>
      <c r="F254" s="69" t="s">
        <v>1327</v>
      </c>
      <c r="G254" s="69" t="s">
        <v>936</v>
      </c>
      <c r="H254" s="192" t="s">
        <v>555</v>
      </c>
      <c r="I254" s="427">
        <v>9601740.2100000009</v>
      </c>
      <c r="J254" s="427"/>
      <c r="K254" s="378"/>
    </row>
    <row r="255" spans="2:11" x14ac:dyDescent="0.25">
      <c r="B255" s="67"/>
      <c r="C255" s="68"/>
      <c r="D255" s="68" t="s">
        <v>563</v>
      </c>
      <c r="E255" s="69" t="s">
        <v>561</v>
      </c>
      <c r="F255" s="69" t="s">
        <v>1328</v>
      </c>
      <c r="G255" s="69" t="s">
        <v>936</v>
      </c>
      <c r="H255" s="192" t="s">
        <v>561</v>
      </c>
      <c r="I255" s="427">
        <v>2354607.2999999998</v>
      </c>
      <c r="J255" s="427"/>
      <c r="K255" s="378"/>
    </row>
    <row r="256" spans="2:11" x14ac:dyDescent="0.25">
      <c r="B256" s="67"/>
      <c r="C256" s="68"/>
      <c r="D256" s="68" t="s">
        <v>560</v>
      </c>
      <c r="E256" s="69" t="s">
        <v>558</v>
      </c>
      <c r="F256" s="69" t="s">
        <v>1329</v>
      </c>
      <c r="G256" s="69" t="s">
        <v>936</v>
      </c>
      <c r="H256" s="192" t="s">
        <v>1018</v>
      </c>
      <c r="I256" s="427">
        <v>644617.59</v>
      </c>
      <c r="J256" s="427"/>
      <c r="K256" s="378"/>
    </row>
    <row r="257" spans="2:11" x14ac:dyDescent="0.25">
      <c r="B257" s="67"/>
      <c r="C257" s="68"/>
      <c r="D257" s="68" t="s">
        <v>584</v>
      </c>
      <c r="E257" s="69" t="s">
        <v>582</v>
      </c>
      <c r="F257" s="69" t="s">
        <v>1330</v>
      </c>
      <c r="G257" s="69" t="s">
        <v>936</v>
      </c>
      <c r="H257" s="192" t="s">
        <v>1072</v>
      </c>
      <c r="I257" s="427">
        <v>12516724.699999999</v>
      </c>
      <c r="J257" s="427"/>
      <c r="K257" s="378"/>
    </row>
    <row r="258" spans="2:11" x14ac:dyDescent="0.25">
      <c r="B258" s="67"/>
      <c r="C258" s="68"/>
      <c r="D258" s="68"/>
      <c r="E258" s="69"/>
      <c r="F258" s="69"/>
      <c r="G258" s="69"/>
      <c r="H258" s="192"/>
      <c r="I258" s="427"/>
      <c r="J258" s="427"/>
    </row>
    <row r="259" spans="2:11" x14ac:dyDescent="0.25">
      <c r="B259" s="67"/>
      <c r="C259" s="68"/>
      <c r="D259" s="931" t="s">
        <v>684</v>
      </c>
      <c r="E259" s="69" t="s">
        <v>525</v>
      </c>
      <c r="F259" s="69" t="s">
        <v>1331</v>
      </c>
      <c r="G259" s="69" t="s">
        <v>670</v>
      </c>
      <c r="H259" s="192" t="s">
        <v>525</v>
      </c>
      <c r="I259" s="427">
        <v>1896582.46</v>
      </c>
      <c r="J259" s="427"/>
      <c r="K259" s="378"/>
    </row>
    <row r="260" spans="2:11" x14ac:dyDescent="0.25">
      <c r="B260" s="67"/>
      <c r="C260" s="68"/>
      <c r="D260" s="68" t="s">
        <v>515</v>
      </c>
      <c r="E260" s="69" t="s">
        <v>516</v>
      </c>
      <c r="F260" s="69" t="s">
        <v>1332</v>
      </c>
      <c r="G260" s="69" t="s">
        <v>670</v>
      </c>
      <c r="H260" s="192" t="s">
        <v>516</v>
      </c>
      <c r="I260" s="427">
        <v>100559.38</v>
      </c>
      <c r="J260" s="427"/>
    </row>
    <row r="261" spans="2:11" x14ac:dyDescent="0.25">
      <c r="B261" s="67"/>
      <c r="C261" s="68"/>
      <c r="D261" s="931" t="s">
        <v>685</v>
      </c>
      <c r="E261" s="69" t="s">
        <v>526</v>
      </c>
      <c r="F261" s="69" t="s">
        <v>1333</v>
      </c>
      <c r="G261" s="69" t="s">
        <v>670</v>
      </c>
      <c r="H261" s="192" t="s">
        <v>1015</v>
      </c>
      <c r="I261" s="427">
        <v>253554.1</v>
      </c>
      <c r="J261" s="427"/>
      <c r="K261" s="378"/>
    </row>
    <row r="262" spans="2:11" x14ac:dyDescent="0.25">
      <c r="B262" s="67"/>
      <c r="C262" s="68"/>
      <c r="D262" s="68" t="s">
        <v>529</v>
      </c>
      <c r="E262" s="69" t="s">
        <v>527</v>
      </c>
      <c r="F262" s="69" t="s">
        <v>1334</v>
      </c>
      <c r="G262" s="69" t="s">
        <v>670</v>
      </c>
      <c r="H262" s="192" t="s">
        <v>1016</v>
      </c>
      <c r="I262" s="427">
        <v>86180.33</v>
      </c>
      <c r="J262" s="427"/>
      <c r="K262" s="378"/>
    </row>
    <row r="263" spans="2:11" x14ac:dyDescent="0.25">
      <c r="B263" s="67"/>
      <c r="C263" s="68"/>
      <c r="D263" s="68" t="s">
        <v>532</v>
      </c>
      <c r="E263" s="69" t="s">
        <v>530</v>
      </c>
      <c r="F263" s="69" t="s">
        <v>1335</v>
      </c>
      <c r="G263" s="69" t="s">
        <v>670</v>
      </c>
      <c r="H263" s="192" t="s">
        <v>1016</v>
      </c>
      <c r="I263" s="427">
        <v>329113.61</v>
      </c>
      <c r="J263" s="427"/>
      <c r="K263" s="378"/>
    </row>
    <row r="264" spans="2:11" x14ac:dyDescent="0.25">
      <c r="B264" s="67"/>
      <c r="C264" s="68"/>
      <c r="D264" s="68" t="s">
        <v>519</v>
      </c>
      <c r="E264" s="69" t="s">
        <v>520</v>
      </c>
      <c r="F264" s="69" t="s">
        <v>1336</v>
      </c>
      <c r="G264" s="69" t="s">
        <v>670</v>
      </c>
      <c r="H264" s="192" t="s">
        <v>520</v>
      </c>
      <c r="I264" s="427">
        <v>56217.2</v>
      </c>
      <c r="J264" s="427"/>
      <c r="K264" s="378"/>
    </row>
    <row r="265" spans="2:11" x14ac:dyDescent="0.25">
      <c r="B265" s="67"/>
      <c r="C265" s="68"/>
      <c r="D265" s="68" t="s">
        <v>523</v>
      </c>
      <c r="E265" s="69" t="s">
        <v>524</v>
      </c>
      <c r="F265" s="69" t="s">
        <v>1337</v>
      </c>
      <c r="G265" s="69" t="s">
        <v>670</v>
      </c>
      <c r="H265" s="192" t="s">
        <v>524</v>
      </c>
      <c r="I265" s="427">
        <v>900896.93</v>
      </c>
      <c r="J265" s="427"/>
      <c r="K265" s="378"/>
    </row>
    <row r="266" spans="2:11" x14ac:dyDescent="0.25">
      <c r="B266" s="67"/>
      <c r="C266" s="68"/>
      <c r="I266" s="427"/>
      <c r="J266" s="427"/>
    </row>
    <row r="267" spans="2:11" x14ac:dyDescent="0.25">
      <c r="B267" s="67"/>
      <c r="C267" s="68"/>
      <c r="D267" s="68" t="s">
        <v>612</v>
      </c>
      <c r="E267" s="69" t="s">
        <v>610</v>
      </c>
      <c r="F267" s="69" t="s">
        <v>1338</v>
      </c>
      <c r="G267" s="69" t="s">
        <v>1071</v>
      </c>
      <c r="H267" s="192" t="s">
        <v>1024</v>
      </c>
      <c r="I267" s="427">
        <v>0</v>
      </c>
      <c r="J267" s="427"/>
      <c r="K267" s="378"/>
    </row>
    <row r="268" spans="2:11" x14ac:dyDescent="0.25">
      <c r="B268" s="67"/>
      <c r="C268" s="68"/>
      <c r="D268" s="68" t="s">
        <v>662</v>
      </c>
      <c r="E268" s="69" t="s">
        <v>278</v>
      </c>
      <c r="F268" s="69" t="s">
        <v>1339</v>
      </c>
      <c r="G268" s="69" t="s">
        <v>1071</v>
      </c>
      <c r="H268" s="192" t="s">
        <v>278</v>
      </c>
      <c r="I268" s="427">
        <v>0</v>
      </c>
      <c r="J268" s="427"/>
      <c r="K268" s="378"/>
    </row>
    <row r="269" spans="2:11" x14ac:dyDescent="0.25">
      <c r="B269" s="67"/>
      <c r="C269" s="68"/>
      <c r="D269" s="68" t="s">
        <v>662</v>
      </c>
      <c r="E269" s="69" t="s">
        <v>663</v>
      </c>
      <c r="F269" s="69" t="s">
        <v>1340</v>
      </c>
      <c r="G269" s="69" t="s">
        <v>1071</v>
      </c>
      <c r="H269" s="192" t="s">
        <v>663</v>
      </c>
      <c r="I269" s="427">
        <v>33549956.02</v>
      </c>
      <c r="J269" s="427"/>
      <c r="K269" s="378"/>
    </row>
    <row r="270" spans="2:11" x14ac:dyDescent="0.25">
      <c r="B270" s="67"/>
      <c r="C270" s="68"/>
      <c r="D270" s="68" t="s">
        <v>666</v>
      </c>
      <c r="E270" s="69" t="s">
        <v>664</v>
      </c>
      <c r="F270" s="69" t="s">
        <v>1341</v>
      </c>
      <c r="G270" s="69" t="s">
        <v>1071</v>
      </c>
      <c r="H270" s="192" t="s">
        <v>664</v>
      </c>
      <c r="I270" s="427">
        <v>1641.19</v>
      </c>
      <c r="J270" s="427"/>
      <c r="K270" s="378"/>
    </row>
    <row r="271" spans="2:11" x14ac:dyDescent="0.25">
      <c r="B271" s="67"/>
      <c r="C271" s="68"/>
      <c r="D271" s="68" t="s">
        <v>669</v>
      </c>
      <c r="E271" s="69" t="s">
        <v>667</v>
      </c>
      <c r="F271" s="69" t="s">
        <v>1342</v>
      </c>
      <c r="G271" s="69" t="s">
        <v>1071</v>
      </c>
      <c r="H271" s="192" t="s">
        <v>667</v>
      </c>
      <c r="I271" s="427">
        <v>24589944</v>
      </c>
      <c r="J271" s="427"/>
      <c r="K271" s="378"/>
    </row>
    <row r="272" spans="2:11" x14ac:dyDescent="0.25">
      <c r="B272" s="67"/>
      <c r="C272" s="68"/>
      <c r="D272" s="68" t="s">
        <v>601</v>
      </c>
      <c r="E272" s="69" t="s">
        <v>599</v>
      </c>
      <c r="F272" s="69" t="s">
        <v>1343</v>
      </c>
      <c r="G272" s="69" t="s">
        <v>1071</v>
      </c>
      <c r="H272" s="192" t="s">
        <v>1021</v>
      </c>
      <c r="I272" s="427">
        <v>32151089</v>
      </c>
      <c r="J272" s="427"/>
      <c r="K272" s="378"/>
    </row>
    <row r="273" spans="2:11" x14ac:dyDescent="0.25">
      <c r="B273" s="67"/>
      <c r="C273" s="68"/>
      <c r="D273" s="68" t="s">
        <v>604</v>
      </c>
      <c r="E273" s="69" t="s">
        <v>602</v>
      </c>
      <c r="F273" s="69" t="s">
        <v>1344</v>
      </c>
      <c r="G273" s="69" t="s">
        <v>1071</v>
      </c>
      <c r="H273" s="192" t="s">
        <v>1022</v>
      </c>
      <c r="I273" s="427">
        <v>32878.339999999997</v>
      </c>
      <c r="J273" s="427"/>
      <c r="K273" s="378"/>
    </row>
    <row r="274" spans="2:11" x14ac:dyDescent="0.25">
      <c r="B274" s="67"/>
      <c r="C274" s="68"/>
      <c r="D274" s="68" t="s">
        <v>607</v>
      </c>
      <c r="E274" s="69" t="s">
        <v>608</v>
      </c>
      <c r="F274" s="69" t="s">
        <v>1345</v>
      </c>
      <c r="G274" s="69" t="s">
        <v>1071</v>
      </c>
      <c r="H274" s="192" t="s">
        <v>1023</v>
      </c>
      <c r="I274" s="427">
        <v>1879232.23</v>
      </c>
      <c r="J274" s="427"/>
      <c r="K274" s="378"/>
    </row>
    <row r="275" spans="2:11" x14ac:dyDescent="0.25">
      <c r="B275" s="67"/>
      <c r="C275" s="68"/>
      <c r="D275" s="68" t="s">
        <v>580</v>
      </c>
      <c r="E275" s="69" t="s">
        <v>581</v>
      </c>
      <c r="F275" s="69" t="s">
        <v>1346</v>
      </c>
      <c r="G275" s="69" t="s">
        <v>1071</v>
      </c>
      <c r="H275" s="192" t="s">
        <v>581</v>
      </c>
      <c r="I275" s="427">
        <v>342237.5</v>
      </c>
      <c r="J275" s="427"/>
      <c r="K275" s="378"/>
    </row>
    <row r="276" spans="2:11" x14ac:dyDescent="0.25">
      <c r="B276" s="67"/>
      <c r="C276" s="68"/>
      <c r="D276" s="68" t="s">
        <v>566</v>
      </c>
      <c r="E276" s="69" t="s">
        <v>564</v>
      </c>
      <c r="F276" s="69" t="s">
        <v>1347</v>
      </c>
      <c r="G276" s="69" t="s">
        <v>1071</v>
      </c>
      <c r="H276" s="192" t="s">
        <v>1017</v>
      </c>
      <c r="I276" s="427">
        <v>1189585.94</v>
      </c>
      <c r="J276" s="427"/>
      <c r="K276" s="378"/>
    </row>
    <row r="277" spans="2:11" x14ac:dyDescent="0.25">
      <c r="B277" s="67"/>
      <c r="C277" s="68"/>
      <c r="D277" s="68" t="s">
        <v>569</v>
      </c>
      <c r="E277" s="69" t="s">
        <v>567</v>
      </c>
      <c r="F277" s="69" t="s">
        <v>1348</v>
      </c>
      <c r="G277" s="69" t="s">
        <v>1071</v>
      </c>
      <c r="H277" s="192" t="s">
        <v>567</v>
      </c>
      <c r="I277" s="427">
        <v>0</v>
      </c>
      <c r="J277" s="427"/>
    </row>
    <row r="278" spans="2:11" x14ac:dyDescent="0.25">
      <c r="B278" s="67"/>
      <c r="C278" s="68"/>
      <c r="I278" s="427"/>
      <c r="J278" s="427"/>
    </row>
    <row r="279" spans="2:11" x14ac:dyDescent="0.25">
      <c r="B279" s="67"/>
      <c r="C279" s="68"/>
      <c r="I279" s="427"/>
      <c r="J279" s="427"/>
    </row>
    <row r="280" spans="2:11" x14ac:dyDescent="0.25">
      <c r="B280" s="67"/>
      <c r="C280" s="68"/>
      <c r="D280" s="68" t="s">
        <v>688</v>
      </c>
      <c r="E280" s="69" t="s">
        <v>572</v>
      </c>
      <c r="F280" s="69" t="s">
        <v>1349</v>
      </c>
      <c r="G280" s="69" t="s">
        <v>940</v>
      </c>
      <c r="H280" s="192" t="s">
        <v>572</v>
      </c>
      <c r="I280" s="427">
        <v>37024.959999999999</v>
      </c>
      <c r="J280" s="427"/>
      <c r="K280" s="378"/>
    </row>
    <row r="281" spans="2:11" x14ac:dyDescent="0.25">
      <c r="B281" s="67"/>
      <c r="C281" s="68"/>
      <c r="D281" s="931" t="s">
        <v>687</v>
      </c>
      <c r="E281" s="69" t="s">
        <v>573</v>
      </c>
      <c r="F281" s="69" t="s">
        <v>1350</v>
      </c>
      <c r="G281" s="69" t="s">
        <v>940</v>
      </c>
      <c r="H281" s="192" t="s">
        <v>573</v>
      </c>
      <c r="I281" s="427">
        <v>0</v>
      </c>
      <c r="J281" s="427"/>
    </row>
    <row r="282" spans="2:11" x14ac:dyDescent="0.25">
      <c r="B282" s="67"/>
      <c r="C282" s="68"/>
      <c r="D282" s="68" t="s">
        <v>595</v>
      </c>
      <c r="E282" s="69" t="s">
        <v>596</v>
      </c>
      <c r="F282" s="69" t="s">
        <v>1351</v>
      </c>
      <c r="G282" s="69" t="s">
        <v>940</v>
      </c>
      <c r="H282" s="192" t="s">
        <v>596</v>
      </c>
      <c r="I282" s="427">
        <v>10557.2</v>
      </c>
      <c r="J282" s="427"/>
      <c r="K282" s="378"/>
    </row>
    <row r="283" spans="2:11" x14ac:dyDescent="0.25">
      <c r="B283" s="67"/>
      <c r="C283" s="68"/>
      <c r="D283" s="68" t="s">
        <v>501</v>
      </c>
      <c r="E283" s="69" t="s">
        <v>499</v>
      </c>
      <c r="F283" s="69" t="s">
        <v>1352</v>
      </c>
      <c r="G283" s="69" t="s">
        <v>940</v>
      </c>
      <c r="H283" s="192" t="s">
        <v>1013</v>
      </c>
      <c r="I283" s="427">
        <v>231620.42</v>
      </c>
      <c r="J283" s="427"/>
      <c r="K283" s="378"/>
    </row>
    <row r="284" spans="2:11" x14ac:dyDescent="0.25">
      <c r="B284" s="67"/>
      <c r="C284" s="68"/>
      <c r="D284" s="68" t="s">
        <v>504</v>
      </c>
      <c r="E284" s="69" t="s">
        <v>502</v>
      </c>
      <c r="F284" s="69" t="s">
        <v>1353</v>
      </c>
      <c r="G284" s="69" t="s">
        <v>940</v>
      </c>
      <c r="H284" s="192" t="s">
        <v>1014</v>
      </c>
      <c r="I284" s="427">
        <v>1242485.98</v>
      </c>
      <c r="J284" s="427"/>
      <c r="K284" s="378"/>
    </row>
    <row r="285" spans="2:11" x14ac:dyDescent="0.25">
      <c r="B285" s="67"/>
      <c r="C285" s="68"/>
      <c r="D285" s="68" t="s">
        <v>552</v>
      </c>
      <c r="E285" s="69" t="s">
        <v>553</v>
      </c>
      <c r="F285" s="69" t="s">
        <v>1354</v>
      </c>
      <c r="G285" s="69" t="s">
        <v>940</v>
      </c>
      <c r="H285" s="192" t="s">
        <v>553</v>
      </c>
      <c r="I285" s="427">
        <v>487276.27</v>
      </c>
      <c r="J285" s="427"/>
      <c r="K285" s="378"/>
    </row>
    <row r="286" spans="2:11" x14ac:dyDescent="0.25">
      <c r="B286" s="67"/>
      <c r="C286" s="68"/>
      <c r="D286" s="68" t="s">
        <v>576</v>
      </c>
      <c r="E286" s="69" t="s">
        <v>577</v>
      </c>
      <c r="F286" s="69" t="s">
        <v>1355</v>
      </c>
      <c r="G286" s="69" t="s">
        <v>940</v>
      </c>
      <c r="H286" s="192" t="s">
        <v>577</v>
      </c>
      <c r="I286" s="427">
        <v>80274.100000000006</v>
      </c>
      <c r="J286" s="427"/>
      <c r="K286" s="378"/>
    </row>
    <row r="287" spans="2:11" x14ac:dyDescent="0.25">
      <c r="B287" s="67"/>
      <c r="C287" s="68"/>
      <c r="D287" s="68" t="s">
        <v>598</v>
      </c>
      <c r="E287" s="69" t="s">
        <v>953</v>
      </c>
      <c r="F287" s="69" t="s">
        <v>1356</v>
      </c>
      <c r="G287" s="69" t="s">
        <v>940</v>
      </c>
      <c r="H287" s="192" t="s">
        <v>953</v>
      </c>
      <c r="I287" s="427"/>
      <c r="J287" s="427"/>
    </row>
    <row r="288" spans="2:11" x14ac:dyDescent="0.25">
      <c r="B288" s="67"/>
      <c r="C288" s="68"/>
      <c r="D288" s="931" t="s">
        <v>706</v>
      </c>
      <c r="E288" s="69" t="s">
        <v>609</v>
      </c>
      <c r="F288" s="69" t="s">
        <v>1357</v>
      </c>
      <c r="G288" s="69" t="s">
        <v>940</v>
      </c>
      <c r="H288" s="192" t="s">
        <v>609</v>
      </c>
      <c r="I288" s="427">
        <v>250289</v>
      </c>
      <c r="J288" s="427"/>
      <c r="K288" s="378"/>
    </row>
    <row r="289" spans="2:11" x14ac:dyDescent="0.25">
      <c r="B289" s="67"/>
      <c r="C289" s="68"/>
      <c r="D289" s="931" t="s">
        <v>707</v>
      </c>
      <c r="E289" s="69" t="s">
        <v>653</v>
      </c>
      <c r="F289" s="69" t="s">
        <v>1358</v>
      </c>
      <c r="G289" s="69" t="s">
        <v>940</v>
      </c>
      <c r="H289" s="192" t="s">
        <v>653</v>
      </c>
      <c r="I289" s="427"/>
      <c r="J289" s="427"/>
    </row>
    <row r="290" spans="2:11" x14ac:dyDescent="0.25">
      <c r="B290" s="67"/>
      <c r="C290" s="68"/>
      <c r="D290" s="68" t="s">
        <v>649</v>
      </c>
      <c r="E290" s="69" t="s">
        <v>650</v>
      </c>
      <c r="F290" s="69" t="s">
        <v>1359</v>
      </c>
      <c r="G290" s="69" t="s">
        <v>940</v>
      </c>
      <c r="H290" s="192" t="s">
        <v>650</v>
      </c>
      <c r="I290" s="427">
        <v>265021.96000000002</v>
      </c>
      <c r="J290" s="427"/>
      <c r="K290" s="378"/>
    </row>
    <row r="291" spans="2:11" x14ac:dyDescent="0.25">
      <c r="B291" s="67"/>
      <c r="C291" s="68"/>
      <c r="I291" s="427"/>
      <c r="J291" s="427"/>
    </row>
    <row r="292" spans="2:11" x14ac:dyDescent="0.25">
      <c r="B292" s="67"/>
      <c r="C292" s="68"/>
      <c r="D292" s="68" t="s">
        <v>392</v>
      </c>
      <c r="E292" s="69" t="s">
        <v>393</v>
      </c>
      <c r="F292" s="69" t="s">
        <v>1360</v>
      </c>
      <c r="G292" s="69" t="s">
        <v>676</v>
      </c>
      <c r="H292" s="192" t="s">
        <v>393</v>
      </c>
      <c r="I292" s="427">
        <v>0</v>
      </c>
      <c r="J292" s="427"/>
    </row>
    <row r="293" spans="2:11" x14ac:dyDescent="0.25">
      <c r="B293" s="67"/>
      <c r="C293" s="68"/>
      <c r="D293" s="68" t="s">
        <v>395</v>
      </c>
      <c r="E293" s="69" t="s">
        <v>394</v>
      </c>
      <c r="F293" s="69" t="s">
        <v>1361</v>
      </c>
      <c r="G293" s="69" t="s">
        <v>394</v>
      </c>
      <c r="H293" s="192" t="s">
        <v>394</v>
      </c>
      <c r="I293" s="427">
        <v>86046.81</v>
      </c>
      <c r="J293" s="427"/>
      <c r="K293" s="378"/>
    </row>
    <row r="294" spans="2:11" x14ac:dyDescent="0.25">
      <c r="B294" s="67"/>
      <c r="C294" s="68"/>
      <c r="I294" s="427"/>
      <c r="J294" s="427"/>
    </row>
    <row r="295" spans="2:11" x14ac:dyDescent="0.25">
      <c r="B295" s="67"/>
      <c r="C295" s="68"/>
      <c r="I295" s="427"/>
      <c r="J295" s="427"/>
    </row>
    <row r="296" spans="2:11" x14ac:dyDescent="0.25">
      <c r="B296" s="67"/>
      <c r="C296" s="68"/>
      <c r="D296" s="68" t="s">
        <v>492</v>
      </c>
      <c r="E296" s="69" t="s">
        <v>493</v>
      </c>
      <c r="F296" s="69" t="s">
        <v>1362</v>
      </c>
      <c r="G296" s="69" t="s">
        <v>939</v>
      </c>
      <c r="H296" s="192" t="s">
        <v>493</v>
      </c>
      <c r="I296" s="427">
        <v>235796.12</v>
      </c>
      <c r="J296" s="427"/>
    </row>
    <row r="297" spans="2:11" x14ac:dyDescent="0.25">
      <c r="B297" s="67"/>
      <c r="C297" s="68"/>
      <c r="D297" s="68" t="s">
        <v>496</v>
      </c>
      <c r="E297" s="69" t="s">
        <v>497</v>
      </c>
      <c r="F297" s="69" t="s">
        <v>1363</v>
      </c>
      <c r="G297" s="69" t="s">
        <v>939</v>
      </c>
      <c r="H297" s="192" t="s">
        <v>497</v>
      </c>
      <c r="I297" s="427">
        <v>51845.7</v>
      </c>
      <c r="J297" s="427"/>
    </row>
    <row r="298" spans="2:11" x14ac:dyDescent="0.25">
      <c r="B298" s="67"/>
      <c r="C298" s="68"/>
      <c r="D298" s="68" t="s">
        <v>484</v>
      </c>
      <c r="E298" s="69" t="s">
        <v>485</v>
      </c>
      <c r="F298" s="69" t="s">
        <v>1364</v>
      </c>
      <c r="G298" s="69" t="s">
        <v>939</v>
      </c>
      <c r="H298" s="192" t="s">
        <v>485</v>
      </c>
      <c r="I298" s="427">
        <v>344024.98</v>
      </c>
      <c r="J298" s="427"/>
    </row>
    <row r="299" spans="2:11" x14ac:dyDescent="0.25">
      <c r="B299" s="67"/>
      <c r="C299" s="68"/>
      <c r="D299" s="68" t="s">
        <v>488</v>
      </c>
      <c r="E299" s="69" t="s">
        <v>489</v>
      </c>
      <c r="F299" s="69" t="s">
        <v>1365</v>
      </c>
      <c r="G299" s="69" t="s">
        <v>939</v>
      </c>
      <c r="H299" s="192" t="s">
        <v>489</v>
      </c>
      <c r="I299" s="427">
        <v>1631659.39</v>
      </c>
      <c r="J299" s="427"/>
    </row>
    <row r="300" spans="2:11" x14ac:dyDescent="0.25">
      <c r="B300" s="67"/>
      <c r="C300" s="68"/>
      <c r="D300" s="68" t="s">
        <v>480</v>
      </c>
      <c r="E300" s="69" t="s">
        <v>481</v>
      </c>
      <c r="F300" s="69" t="s">
        <v>1366</v>
      </c>
      <c r="G300" s="69" t="s">
        <v>939</v>
      </c>
      <c r="H300" s="192" t="s">
        <v>481</v>
      </c>
      <c r="I300" s="427">
        <v>80412.7</v>
      </c>
      <c r="J300" s="427"/>
    </row>
    <row r="301" spans="2:11" x14ac:dyDescent="0.25">
      <c r="B301" s="67" t="s">
        <v>396</v>
      </c>
      <c r="C301" s="68" t="s">
        <v>397</v>
      </c>
      <c r="D301" s="68" t="s">
        <v>476</v>
      </c>
      <c r="E301" s="69" t="s">
        <v>477</v>
      </c>
      <c r="F301" s="69" t="s">
        <v>1367</v>
      </c>
      <c r="G301" s="69" t="s">
        <v>939</v>
      </c>
      <c r="H301" s="192" t="s">
        <v>477</v>
      </c>
      <c r="I301" s="427">
        <v>2781763.6</v>
      </c>
      <c r="J301" s="427"/>
    </row>
    <row r="302" spans="2:11" x14ac:dyDescent="0.25">
      <c r="B302" s="67" t="s">
        <v>402</v>
      </c>
      <c r="C302" s="68" t="s">
        <v>403</v>
      </c>
      <c r="I302" s="427"/>
      <c r="J302" s="427"/>
    </row>
    <row r="303" spans="2:11" x14ac:dyDescent="0.25">
      <c r="B303" s="67" t="s">
        <v>406</v>
      </c>
      <c r="C303" s="68" t="s">
        <v>407</v>
      </c>
      <c r="D303" s="68" t="s">
        <v>541</v>
      </c>
      <c r="E303" s="69" t="s">
        <v>542</v>
      </c>
      <c r="F303" s="69" t="s">
        <v>1368</v>
      </c>
      <c r="G303" s="69" t="s">
        <v>937</v>
      </c>
      <c r="H303" s="192" t="s">
        <v>542</v>
      </c>
      <c r="I303" s="427">
        <v>0</v>
      </c>
      <c r="J303" s="427"/>
    </row>
    <row r="304" spans="2:11" x14ac:dyDescent="0.25">
      <c r="B304" s="67" t="s">
        <v>410</v>
      </c>
      <c r="C304" s="68" t="s">
        <v>411</v>
      </c>
      <c r="D304" s="68" t="s">
        <v>772</v>
      </c>
      <c r="E304" s="69" t="s">
        <v>773</v>
      </c>
      <c r="F304" s="69" t="s">
        <v>1369</v>
      </c>
      <c r="G304" s="69" t="s">
        <v>937</v>
      </c>
      <c r="H304" s="192" t="s">
        <v>773</v>
      </c>
      <c r="I304" s="427">
        <v>0</v>
      </c>
      <c r="J304" s="427"/>
    </row>
    <row r="305" spans="1:18" x14ac:dyDescent="0.25">
      <c r="B305" s="67" t="s">
        <v>414</v>
      </c>
      <c r="C305" s="68" t="s">
        <v>415</v>
      </c>
      <c r="D305" s="68"/>
      <c r="E305" s="69"/>
      <c r="F305" s="69" t="s">
        <v>1369</v>
      </c>
      <c r="G305" s="69" t="s">
        <v>937</v>
      </c>
      <c r="H305" s="192" t="s">
        <v>1068</v>
      </c>
      <c r="I305" s="427"/>
      <c r="J305" s="427"/>
    </row>
    <row r="306" spans="1:18" x14ac:dyDescent="0.25">
      <c r="B306" s="67" t="s">
        <v>418</v>
      </c>
      <c r="C306" s="68" t="s">
        <v>419</v>
      </c>
      <c r="I306" s="427"/>
      <c r="J306" s="427"/>
    </row>
    <row r="307" spans="1:18" x14ac:dyDescent="0.25">
      <c r="B307" s="67" t="s">
        <v>422</v>
      </c>
      <c r="C307" s="68" t="s">
        <v>423</v>
      </c>
      <c r="D307" s="68" t="s">
        <v>544</v>
      </c>
      <c r="E307" s="69" t="s">
        <v>545</v>
      </c>
      <c r="F307" s="69" t="s">
        <v>1370</v>
      </c>
      <c r="G307" s="69" t="s">
        <v>1069</v>
      </c>
      <c r="H307" s="192" t="s">
        <v>545</v>
      </c>
      <c r="I307" s="427">
        <v>10804497.24</v>
      </c>
      <c r="J307" s="427"/>
    </row>
    <row r="308" spans="1:18" s="62" customFormat="1" x14ac:dyDescent="0.25">
      <c r="A308"/>
      <c r="B308" s="67"/>
      <c r="C308" s="68"/>
      <c r="D308" s="68" t="s">
        <v>746</v>
      </c>
      <c r="E308" s="69" t="s">
        <v>747</v>
      </c>
      <c r="F308" s="69" t="s">
        <v>1371</v>
      </c>
      <c r="G308" s="69" t="s">
        <v>1069</v>
      </c>
      <c r="H308" s="192" t="s">
        <v>747</v>
      </c>
      <c r="I308" s="427">
        <v>0</v>
      </c>
      <c r="J308" s="938"/>
      <c r="N308" s="162"/>
      <c r="O308" s="162"/>
      <c r="P308" s="162"/>
      <c r="Q308" s="162"/>
      <c r="R308" s="162"/>
    </row>
    <row r="309" spans="1:18" s="62" customFormat="1" x14ac:dyDescent="0.25">
      <c r="A309"/>
      <c r="B309" s="67" t="s">
        <v>426</v>
      </c>
      <c r="C309" s="936" t="s">
        <v>427</v>
      </c>
      <c r="D309" s="421"/>
      <c r="E309" s="421"/>
      <c r="F309" s="421"/>
      <c r="G309" s="421"/>
      <c r="H309" s="421"/>
      <c r="I309" s="108">
        <f>SUM(I10:I308)</f>
        <v>45195206164.599983</v>
      </c>
      <c r="J309" s="108">
        <f>SUM(J10:J308)+1.21</f>
        <v>45195206164.600006</v>
      </c>
      <c r="N309" s="162"/>
      <c r="O309" s="162"/>
      <c r="P309" s="162"/>
      <c r="Q309" s="162"/>
      <c r="R309" s="162"/>
    </row>
    <row r="310" spans="1:18" s="62" customFormat="1" x14ac:dyDescent="0.25">
      <c r="A310"/>
      <c r="B310" s="67" t="s">
        <v>431</v>
      </c>
      <c r="C310" s="68" t="s">
        <v>432</v>
      </c>
      <c r="D310" s="421"/>
      <c r="E310" s="421"/>
      <c r="F310" s="421"/>
      <c r="G310" s="421"/>
      <c r="H310" s="421"/>
      <c r="I310" s="108"/>
      <c r="J310" s="421">
        <f>I309-J309</f>
        <v>0</v>
      </c>
      <c r="N310" s="162"/>
      <c r="O310" s="162"/>
      <c r="P310" s="162"/>
      <c r="Q310" s="162"/>
      <c r="R310" s="162"/>
    </row>
    <row r="311" spans="1:18" s="62" customFormat="1" x14ac:dyDescent="0.25">
      <c r="A311"/>
      <c r="B311" s="67"/>
      <c r="C311" s="68"/>
      <c r="D311" s="421"/>
      <c r="E311" s="421"/>
      <c r="F311" s="421"/>
      <c r="G311" s="421"/>
      <c r="H311" s="421"/>
      <c r="I311" s="108"/>
      <c r="J311" s="421"/>
      <c r="N311" s="162"/>
      <c r="O311" s="162"/>
      <c r="P311" s="162"/>
      <c r="Q311" s="162"/>
      <c r="R311" s="162"/>
    </row>
    <row r="312" spans="1:18" s="62" customFormat="1" x14ac:dyDescent="0.25">
      <c r="A312"/>
      <c r="B312" s="67"/>
      <c r="C312" s="68"/>
      <c r="D312" s="421"/>
      <c r="E312" s="421"/>
      <c r="F312" s="421"/>
      <c r="G312" s="421"/>
      <c r="H312" s="421"/>
      <c r="I312" s="108"/>
      <c r="J312" s="421"/>
      <c r="N312" s="162"/>
      <c r="O312" s="162"/>
      <c r="P312" s="162"/>
      <c r="Q312" s="162"/>
      <c r="R312" s="162"/>
    </row>
    <row r="313" spans="1:18" s="62" customFormat="1" ht="18.75" customHeight="1" x14ac:dyDescent="0.25">
      <c r="A313"/>
      <c r="B313" s="67" t="s">
        <v>436</v>
      </c>
      <c r="C313" s="68" t="s">
        <v>437</v>
      </c>
      <c r="D313" s="421"/>
      <c r="E313" s="421"/>
      <c r="F313" s="421"/>
      <c r="G313" s="421"/>
      <c r="H313" s="421"/>
      <c r="I313" s="108"/>
      <c r="J313" s="421"/>
      <c r="N313" s="162"/>
      <c r="O313" s="162"/>
      <c r="P313" s="162"/>
      <c r="Q313" s="162"/>
      <c r="R313" s="162"/>
    </row>
    <row r="314" spans="1:18" ht="16.5" customHeight="1" x14ac:dyDescent="0.25">
      <c r="B314" s="67" t="s">
        <v>440</v>
      </c>
      <c r="C314" s="68" t="s">
        <v>441</v>
      </c>
      <c r="I314" s="108"/>
      <c r="J314" s="108"/>
    </row>
    <row r="315" spans="1:18" s="63" customFormat="1" x14ac:dyDescent="0.25">
      <c r="A315"/>
      <c r="B315" s="67" t="s">
        <v>442</v>
      </c>
      <c r="C315" s="68" t="s">
        <v>443</v>
      </c>
      <c r="D315" s="108"/>
      <c r="E315" s="108"/>
      <c r="F315" s="108"/>
      <c r="G315" s="108"/>
      <c r="H315" s="108"/>
      <c r="I315" s="108"/>
      <c r="J315" s="108"/>
      <c r="N315" s="377"/>
      <c r="O315" s="377"/>
      <c r="P315" s="377"/>
      <c r="Q315" s="377"/>
      <c r="R315" s="377"/>
    </row>
    <row r="316" spans="1:18" s="63" customFormat="1" x14ac:dyDescent="0.25">
      <c r="A316"/>
      <c r="B316" s="67" t="s">
        <v>446</v>
      </c>
      <c r="C316" s="68" t="s">
        <v>447</v>
      </c>
      <c r="D316" s="108"/>
      <c r="E316" s="108"/>
      <c r="F316" s="108"/>
      <c r="G316" s="108"/>
      <c r="H316" s="108"/>
      <c r="I316" s="108"/>
      <c r="J316" s="108"/>
      <c r="N316" s="377"/>
      <c r="O316" s="377"/>
      <c r="P316" s="377"/>
      <c r="Q316" s="377"/>
      <c r="R316" s="377"/>
    </row>
    <row r="317" spans="1:18" s="63" customFormat="1" x14ac:dyDescent="0.25">
      <c r="A317"/>
      <c r="B317" s="67"/>
      <c r="C317" s="68"/>
      <c r="D317" s="108"/>
      <c r="E317" s="108"/>
      <c r="F317" s="108"/>
      <c r="G317" s="108"/>
      <c r="H317" s="108"/>
      <c r="I317" s="108"/>
      <c r="J317" s="108"/>
      <c r="N317" s="377"/>
      <c r="O317" s="377"/>
      <c r="P317" s="377"/>
      <c r="Q317" s="377"/>
      <c r="R317" s="377"/>
    </row>
    <row r="318" spans="1:18" s="63" customFormat="1" x14ac:dyDescent="0.25">
      <c r="A318"/>
      <c r="B318" s="67" t="s">
        <v>451</v>
      </c>
      <c r="C318" s="68" t="s">
        <v>452</v>
      </c>
      <c r="D318" s="108"/>
      <c r="E318" s="108"/>
      <c r="F318" s="108"/>
      <c r="G318" s="108"/>
      <c r="H318" s="108"/>
      <c r="I318" s="108"/>
      <c r="J318" s="108"/>
      <c r="N318" s="377"/>
      <c r="O318" s="377"/>
      <c r="P318" s="377"/>
      <c r="Q318" s="377"/>
      <c r="R318" s="377"/>
    </row>
    <row r="319" spans="1:18" s="63" customFormat="1" x14ac:dyDescent="0.25">
      <c r="A319"/>
      <c r="B319" s="67" t="s">
        <v>455</v>
      </c>
      <c r="C319" s="68" t="s">
        <v>456</v>
      </c>
      <c r="D319" s="108"/>
      <c r="E319" s="108"/>
      <c r="F319" s="108"/>
      <c r="G319" s="108"/>
      <c r="H319" s="108"/>
      <c r="I319"/>
      <c r="J319" s="108"/>
      <c r="N319" s="377"/>
      <c r="O319" s="377"/>
      <c r="P319" s="377"/>
      <c r="Q319" s="377"/>
      <c r="R319" s="377"/>
    </row>
    <row r="320" spans="1:18" s="63" customFormat="1" x14ac:dyDescent="0.25">
      <c r="A320"/>
      <c r="B320" s="67" t="s">
        <v>459</v>
      </c>
      <c r="C320" s="68" t="s">
        <v>460</v>
      </c>
      <c r="D320" s="108"/>
      <c r="E320" s="108"/>
      <c r="F320" s="108"/>
      <c r="G320" s="108"/>
      <c r="H320" s="108"/>
      <c r="I320"/>
      <c r="J320" s="108"/>
      <c r="N320" s="377"/>
      <c r="O320" s="377"/>
      <c r="P320" s="377"/>
      <c r="Q320" s="377"/>
      <c r="R320" s="377"/>
    </row>
    <row r="321" spans="1:18" s="63" customFormat="1" x14ac:dyDescent="0.25">
      <c r="A321"/>
      <c r="B321" s="67" t="s">
        <v>463</v>
      </c>
      <c r="C321" s="68" t="s">
        <v>464</v>
      </c>
      <c r="D321" s="108"/>
      <c r="E321" s="108"/>
      <c r="F321" s="108"/>
      <c r="G321" s="108"/>
      <c r="H321" s="108"/>
      <c r="I321"/>
      <c r="J321" s="108"/>
      <c r="N321" s="377"/>
      <c r="O321" s="377"/>
      <c r="P321" s="377"/>
      <c r="Q321" s="377"/>
      <c r="R321" s="377"/>
    </row>
    <row r="322" spans="1:18" s="63" customFormat="1" x14ac:dyDescent="0.25">
      <c r="A322"/>
      <c r="B322" s="67" t="s">
        <v>467</v>
      </c>
      <c r="C322" s="68" t="s">
        <v>468</v>
      </c>
      <c r="D322" s="108"/>
      <c r="E322" s="108"/>
      <c r="F322" s="108"/>
      <c r="G322" s="108"/>
      <c r="H322" s="108"/>
      <c r="I322"/>
      <c r="J322" s="108"/>
      <c r="N322" s="377"/>
      <c r="O322" s="377"/>
      <c r="P322" s="377"/>
      <c r="Q322" s="377"/>
      <c r="R322" s="377"/>
    </row>
    <row r="323" spans="1:18" s="63" customFormat="1" x14ac:dyDescent="0.25">
      <c r="A323"/>
      <c r="B323" s="67" t="s">
        <v>470</v>
      </c>
      <c r="C323" s="68" t="s">
        <v>471</v>
      </c>
      <c r="D323" s="108"/>
      <c r="E323" s="108"/>
      <c r="F323" s="108"/>
      <c r="G323" s="108"/>
      <c r="H323" s="108"/>
      <c r="I323"/>
      <c r="J323" s="108"/>
      <c r="N323" s="377"/>
      <c r="O323" s="377"/>
      <c r="P323" s="377"/>
      <c r="Q323" s="377"/>
      <c r="R323" s="377"/>
    </row>
    <row r="324" spans="1:18" s="63" customFormat="1" x14ac:dyDescent="0.25">
      <c r="A324"/>
      <c r="B324" s="67" t="s">
        <v>474</v>
      </c>
      <c r="C324" s="68" t="s">
        <v>475</v>
      </c>
      <c r="D324" s="108"/>
      <c r="E324" s="108"/>
      <c r="F324" s="108"/>
      <c r="G324" s="108"/>
      <c r="H324" s="108"/>
      <c r="I324"/>
      <c r="J324" s="108"/>
      <c r="N324" s="377"/>
      <c r="O324" s="377"/>
      <c r="P324" s="377"/>
      <c r="Q324" s="377"/>
      <c r="R324" s="377"/>
    </row>
    <row r="325" spans="1:18" s="63" customFormat="1" x14ac:dyDescent="0.25">
      <c r="A325"/>
      <c r="B325" s="67" t="s">
        <v>478</v>
      </c>
      <c r="C325" s="68" t="s">
        <v>479</v>
      </c>
      <c r="D325" s="108"/>
      <c r="E325" s="108"/>
      <c r="F325" s="108"/>
      <c r="G325" s="108"/>
      <c r="H325" s="108"/>
      <c r="I325"/>
      <c r="J325" s="108"/>
      <c r="N325" s="377"/>
      <c r="O325" s="377"/>
      <c r="P325" s="377"/>
      <c r="Q325" s="377"/>
      <c r="R325" s="377"/>
    </row>
    <row r="326" spans="1:18" s="63" customFormat="1" x14ac:dyDescent="0.25">
      <c r="A326"/>
      <c r="B326" s="67" t="s">
        <v>482</v>
      </c>
      <c r="C326" s="68" t="s">
        <v>483</v>
      </c>
      <c r="D326" s="108"/>
      <c r="E326" s="108"/>
      <c r="F326" s="108"/>
      <c r="G326" s="108"/>
      <c r="H326" s="108"/>
      <c r="I326"/>
      <c r="J326" s="108"/>
      <c r="N326" s="377"/>
      <c r="O326" s="377"/>
      <c r="P326" s="377"/>
      <c r="Q326" s="377"/>
      <c r="R326" s="377"/>
    </row>
    <row r="327" spans="1:18" s="63" customFormat="1" x14ac:dyDescent="0.25">
      <c r="A327"/>
      <c r="B327" s="67" t="s">
        <v>486</v>
      </c>
      <c r="C327" s="68" t="s">
        <v>487</v>
      </c>
      <c r="D327" s="108"/>
      <c r="E327" s="108"/>
      <c r="F327" s="108"/>
      <c r="G327" s="108"/>
      <c r="H327" s="108"/>
      <c r="I327"/>
      <c r="J327" s="108"/>
      <c r="N327" s="377"/>
      <c r="O327" s="377"/>
      <c r="P327" s="377"/>
      <c r="Q327" s="377"/>
      <c r="R327" s="377"/>
    </row>
    <row r="328" spans="1:18" s="63" customFormat="1" x14ac:dyDescent="0.25">
      <c r="A328"/>
      <c r="B328" s="67" t="s">
        <v>490</v>
      </c>
      <c r="C328" s="68" t="s">
        <v>491</v>
      </c>
      <c r="D328" s="108"/>
      <c r="E328" s="108"/>
      <c r="F328" s="108"/>
      <c r="G328" s="108"/>
      <c r="H328" s="108"/>
      <c r="I328"/>
      <c r="J328" s="108"/>
      <c r="N328" s="377"/>
      <c r="O328" s="377"/>
      <c r="P328" s="377"/>
      <c r="Q328" s="377"/>
      <c r="R328" s="377"/>
    </row>
    <row r="329" spans="1:18" s="63" customFormat="1" x14ac:dyDescent="0.25">
      <c r="A329"/>
      <c r="B329" s="67" t="s">
        <v>494</v>
      </c>
      <c r="C329" s="68" t="s">
        <v>495</v>
      </c>
      <c r="D329" s="108"/>
      <c r="E329" s="108"/>
      <c r="F329" s="108"/>
      <c r="G329" s="108"/>
      <c r="H329" s="108"/>
      <c r="I329"/>
      <c r="J329" s="108"/>
      <c r="N329" s="377"/>
      <c r="O329" s="377"/>
      <c r="P329" s="377"/>
      <c r="Q329" s="377"/>
      <c r="R329" s="377"/>
    </row>
    <row r="330" spans="1:18" s="63" customFormat="1" x14ac:dyDescent="0.25">
      <c r="A330"/>
      <c r="B330" s="67" t="s">
        <v>499</v>
      </c>
      <c r="C330" s="68" t="s">
        <v>500</v>
      </c>
      <c r="D330" s="108"/>
      <c r="E330" s="108"/>
      <c r="F330" s="108"/>
      <c r="G330" s="108"/>
      <c r="H330" s="108"/>
      <c r="I330"/>
      <c r="J330" s="108"/>
      <c r="N330" s="377"/>
      <c r="O330" s="377"/>
      <c r="P330" s="377"/>
      <c r="Q330" s="377"/>
      <c r="R330" s="377"/>
    </row>
    <row r="331" spans="1:18" s="63" customFormat="1" x14ac:dyDescent="0.25">
      <c r="A331"/>
      <c r="B331" s="67" t="s">
        <v>502</v>
      </c>
      <c r="C331" s="68" t="s">
        <v>503</v>
      </c>
      <c r="D331" s="108"/>
      <c r="E331" s="108"/>
      <c r="F331" s="108"/>
      <c r="G331" s="108"/>
      <c r="H331" s="108"/>
      <c r="I331"/>
      <c r="J331" s="108"/>
      <c r="N331" s="377"/>
      <c r="O331" s="377"/>
      <c r="P331" s="377"/>
      <c r="Q331" s="377"/>
      <c r="R331" s="377"/>
    </row>
    <row r="332" spans="1:18" s="63" customFormat="1" x14ac:dyDescent="0.25">
      <c r="A332"/>
      <c r="B332" s="67" t="s">
        <v>505</v>
      </c>
      <c r="C332" s="68" t="s">
        <v>506</v>
      </c>
      <c r="D332" s="108"/>
      <c r="E332" s="108"/>
      <c r="F332" s="108"/>
      <c r="G332" s="108"/>
      <c r="H332" s="108"/>
      <c r="I332"/>
      <c r="J332" s="108"/>
      <c r="N332" s="377"/>
      <c r="O332" s="377"/>
      <c r="P332" s="377"/>
      <c r="Q332" s="377"/>
      <c r="R332" s="377"/>
    </row>
    <row r="333" spans="1:18" s="63" customFormat="1" x14ac:dyDescent="0.25">
      <c r="A333"/>
      <c r="B333" s="67" t="s">
        <v>509</v>
      </c>
      <c r="C333" s="68" t="s">
        <v>510</v>
      </c>
      <c r="D333" s="108"/>
      <c r="E333" s="108"/>
      <c r="F333" s="108"/>
      <c r="G333" s="108"/>
      <c r="H333" s="108"/>
      <c r="I333"/>
      <c r="J333" s="108"/>
      <c r="N333" s="377"/>
      <c r="O333" s="377"/>
      <c r="P333" s="377"/>
      <c r="Q333" s="377"/>
      <c r="R333" s="377"/>
    </row>
    <row r="334" spans="1:18" s="63" customFormat="1" x14ac:dyDescent="0.25">
      <c r="A334"/>
      <c r="B334" s="67" t="s">
        <v>513</v>
      </c>
      <c r="C334" s="68" t="s">
        <v>514</v>
      </c>
      <c r="D334" s="108"/>
      <c r="E334" s="108"/>
      <c r="F334" s="108"/>
      <c r="G334" s="108"/>
      <c r="H334" s="108"/>
      <c r="I334"/>
      <c r="J334" s="108"/>
      <c r="N334" s="377"/>
      <c r="O334" s="377"/>
      <c r="P334" s="377"/>
      <c r="Q334" s="377"/>
      <c r="R334" s="377"/>
    </row>
    <row r="335" spans="1:18" s="63" customFormat="1" x14ac:dyDescent="0.25">
      <c r="A335"/>
      <c r="B335" s="67" t="s">
        <v>517</v>
      </c>
      <c r="C335" s="68" t="s">
        <v>518</v>
      </c>
      <c r="D335" s="108"/>
      <c r="E335" s="108"/>
      <c r="F335" s="108"/>
      <c r="G335" s="108"/>
      <c r="H335" s="108"/>
      <c r="I335"/>
      <c r="J335" s="108"/>
      <c r="N335" s="377"/>
      <c r="O335" s="377"/>
      <c r="P335" s="377"/>
      <c r="Q335" s="377"/>
      <c r="R335" s="377"/>
    </row>
    <row r="336" spans="1:18" s="63" customFormat="1" x14ac:dyDescent="0.25">
      <c r="A336"/>
      <c r="B336" s="67" t="s">
        <v>521</v>
      </c>
      <c r="C336" s="68" t="s">
        <v>522</v>
      </c>
      <c r="D336" s="108"/>
      <c r="E336" s="108"/>
      <c r="F336" s="108"/>
      <c r="G336" s="108"/>
      <c r="H336" s="108"/>
      <c r="I336"/>
      <c r="J336" s="108"/>
      <c r="N336" s="377"/>
      <c r="O336" s="377"/>
      <c r="P336" s="377"/>
      <c r="Q336" s="377"/>
      <c r="R336" s="377"/>
    </row>
    <row r="337" spans="1:18" s="63" customFormat="1" x14ac:dyDescent="0.25">
      <c r="A337"/>
      <c r="B337" s="67"/>
      <c r="C337" s="68"/>
      <c r="D337" s="108"/>
      <c r="E337" s="108"/>
      <c r="F337" s="108"/>
      <c r="G337" s="108"/>
      <c r="H337" s="108"/>
      <c r="I337"/>
      <c r="J337" s="108"/>
      <c r="N337" s="377"/>
      <c r="O337" s="377"/>
      <c r="P337" s="377"/>
      <c r="Q337" s="377"/>
      <c r="R337" s="377"/>
    </row>
    <row r="338" spans="1:18" s="63" customFormat="1" x14ac:dyDescent="0.25">
      <c r="A338"/>
      <c r="B338" s="67"/>
      <c r="C338" s="68"/>
      <c r="D338" s="108"/>
      <c r="E338" s="108"/>
      <c r="F338" s="108"/>
      <c r="G338" s="108"/>
      <c r="H338" s="108"/>
      <c r="I338"/>
      <c r="J338" s="108"/>
      <c r="N338" s="377"/>
      <c r="O338" s="377"/>
      <c r="P338" s="377"/>
      <c r="Q338" s="377"/>
      <c r="R338" s="377"/>
    </row>
    <row r="339" spans="1:18" s="63" customFormat="1" x14ac:dyDescent="0.25">
      <c r="A339"/>
      <c r="B339" s="67" t="s">
        <v>527</v>
      </c>
      <c r="C339" s="68" t="s">
        <v>528</v>
      </c>
      <c r="D339" s="108"/>
      <c r="E339" s="108"/>
      <c r="F339" s="108"/>
      <c r="G339" s="108"/>
      <c r="H339" s="108"/>
      <c r="I339"/>
      <c r="J339" s="108"/>
      <c r="N339" s="377"/>
      <c r="O339" s="377"/>
      <c r="P339" s="377"/>
      <c r="Q339" s="377"/>
      <c r="R339" s="377"/>
    </row>
    <row r="340" spans="1:18" s="63" customFormat="1" x14ac:dyDescent="0.25">
      <c r="A340"/>
      <c r="B340" s="67" t="s">
        <v>530</v>
      </c>
      <c r="C340" s="68" t="s">
        <v>531</v>
      </c>
      <c r="D340" s="108"/>
      <c r="E340" s="108"/>
      <c r="F340" s="108"/>
      <c r="G340" s="108"/>
      <c r="H340" s="108"/>
      <c r="I340"/>
      <c r="J340" s="108"/>
      <c r="N340" s="377"/>
      <c r="O340" s="377"/>
      <c r="P340" s="377"/>
      <c r="Q340" s="377"/>
      <c r="R340" s="377"/>
    </row>
    <row r="341" spans="1:18" s="63" customFormat="1" x14ac:dyDescent="0.25">
      <c r="A341"/>
      <c r="B341" s="67"/>
      <c r="C341" s="68"/>
      <c r="D341" s="108"/>
      <c r="E341" s="108"/>
      <c r="F341" s="108"/>
      <c r="G341" s="108"/>
      <c r="H341" s="108"/>
      <c r="I341"/>
      <c r="J341" s="108"/>
      <c r="N341" s="377"/>
      <c r="O341" s="377"/>
      <c r="P341" s="377"/>
      <c r="Q341" s="377"/>
      <c r="R341" s="377"/>
    </row>
    <row r="342" spans="1:18" s="63" customFormat="1" x14ac:dyDescent="0.25">
      <c r="A342"/>
      <c r="B342" s="67" t="s">
        <v>534</v>
      </c>
      <c r="C342" s="68" t="s">
        <v>535</v>
      </c>
      <c r="D342" s="108"/>
      <c r="E342" s="108"/>
      <c r="F342" s="108"/>
      <c r="G342" s="108"/>
      <c r="H342" s="108"/>
      <c r="I342"/>
      <c r="J342" s="108"/>
      <c r="N342" s="377"/>
      <c r="O342" s="377"/>
      <c r="P342" s="377"/>
      <c r="Q342" s="377"/>
      <c r="R342" s="377"/>
    </row>
    <row r="343" spans="1:18" s="63" customFormat="1" x14ac:dyDescent="0.25">
      <c r="A343"/>
      <c r="B343" s="67" t="s">
        <v>536</v>
      </c>
      <c r="C343" s="68" t="s">
        <v>537</v>
      </c>
      <c r="D343" s="108"/>
      <c r="E343" s="108"/>
      <c r="F343" s="108"/>
      <c r="G343" s="108"/>
      <c r="H343" s="108"/>
      <c r="I343"/>
      <c r="J343" s="108"/>
      <c r="N343" s="377"/>
      <c r="O343" s="377"/>
      <c r="P343" s="377"/>
      <c r="Q343" s="377"/>
      <c r="R343" s="377"/>
    </row>
    <row r="344" spans="1:18" s="63" customFormat="1" x14ac:dyDescent="0.25">
      <c r="A344"/>
      <c r="B344" s="67"/>
      <c r="C344" s="68"/>
      <c r="D344" s="108"/>
      <c r="E344" s="108"/>
      <c r="F344" s="108"/>
      <c r="G344" s="108"/>
      <c r="H344" s="108"/>
      <c r="I344"/>
      <c r="J344" s="108"/>
      <c r="N344" s="377"/>
      <c r="O344" s="377"/>
      <c r="P344" s="377"/>
      <c r="Q344" s="377"/>
      <c r="R344" s="377"/>
    </row>
    <row r="345" spans="1:18" s="63" customFormat="1" x14ac:dyDescent="0.25">
      <c r="A345"/>
      <c r="B345" s="67"/>
      <c r="C345" s="68"/>
      <c r="D345" s="108"/>
      <c r="E345" s="108"/>
      <c r="F345" s="108"/>
      <c r="G345" s="108"/>
      <c r="H345" s="108"/>
      <c r="I345"/>
      <c r="J345" s="108"/>
      <c r="N345" s="377"/>
      <c r="O345" s="377"/>
      <c r="P345" s="377"/>
      <c r="Q345" s="377"/>
      <c r="R345" s="377"/>
    </row>
    <row r="346" spans="1:18" s="63" customFormat="1" x14ac:dyDescent="0.25">
      <c r="A346"/>
      <c r="B346" s="67" t="s">
        <v>538</v>
      </c>
      <c r="C346" s="68" t="s">
        <v>539</v>
      </c>
      <c r="D346" s="108"/>
      <c r="E346" s="108"/>
      <c r="F346" s="108"/>
      <c r="G346" s="108"/>
      <c r="H346" s="108"/>
      <c r="I346"/>
      <c r="J346" s="108"/>
      <c r="N346" s="377"/>
      <c r="O346" s="377"/>
      <c r="P346" s="377"/>
      <c r="Q346" s="377"/>
      <c r="R346" s="377"/>
    </row>
    <row r="347" spans="1:18" s="63" customFormat="1" x14ac:dyDescent="0.25">
      <c r="A347"/>
      <c r="B347" s="67" t="s">
        <v>546</v>
      </c>
      <c r="C347" s="68" t="s">
        <v>547</v>
      </c>
      <c r="D347" s="108"/>
      <c r="E347" s="108"/>
      <c r="F347" s="108"/>
      <c r="G347" s="108"/>
      <c r="H347" s="108"/>
      <c r="I347"/>
      <c r="J347" s="108"/>
      <c r="N347" s="377"/>
      <c r="O347" s="377"/>
      <c r="P347" s="377"/>
      <c r="Q347" s="377"/>
      <c r="R347" s="377"/>
    </row>
    <row r="348" spans="1:18" s="63" customFormat="1" x14ac:dyDescent="0.25">
      <c r="A348"/>
      <c r="B348" s="67" t="s">
        <v>550</v>
      </c>
      <c r="C348" s="68" t="s">
        <v>551</v>
      </c>
      <c r="D348" s="108"/>
      <c r="E348" s="108"/>
      <c r="F348" s="108"/>
      <c r="G348" s="108"/>
      <c r="H348" s="108"/>
      <c r="I348"/>
      <c r="J348" s="108"/>
      <c r="N348" s="377"/>
      <c r="O348" s="377"/>
      <c r="P348" s="377"/>
      <c r="Q348" s="377"/>
      <c r="R348" s="377"/>
    </row>
    <row r="349" spans="1:18" s="63" customFormat="1" x14ac:dyDescent="0.25">
      <c r="A349"/>
      <c r="B349" s="67" t="s">
        <v>555</v>
      </c>
      <c r="C349" s="68" t="s">
        <v>556</v>
      </c>
      <c r="D349" s="108"/>
      <c r="E349" s="108"/>
      <c r="F349" s="108"/>
      <c r="G349" s="108"/>
      <c r="H349" s="108"/>
      <c r="I349"/>
      <c r="J349" s="108"/>
      <c r="N349" s="377"/>
      <c r="O349" s="377"/>
      <c r="P349" s="377"/>
      <c r="Q349" s="377"/>
      <c r="R349" s="377"/>
    </row>
    <row r="350" spans="1:18" s="63" customFormat="1" x14ac:dyDescent="0.25">
      <c r="A350"/>
      <c r="B350" s="67" t="s">
        <v>558</v>
      </c>
      <c r="C350" s="68" t="s">
        <v>559</v>
      </c>
      <c r="D350" s="108"/>
      <c r="E350" s="108"/>
      <c r="F350" s="108"/>
      <c r="G350" s="108"/>
      <c r="H350" s="108"/>
      <c r="I350"/>
      <c r="J350" s="108"/>
      <c r="N350" s="377"/>
      <c r="O350" s="377"/>
      <c r="P350" s="377"/>
      <c r="Q350" s="377"/>
      <c r="R350" s="377"/>
    </row>
    <row r="351" spans="1:18" s="63" customFormat="1" x14ac:dyDescent="0.25">
      <c r="A351"/>
      <c r="B351" s="67" t="s">
        <v>561</v>
      </c>
      <c r="C351" s="68" t="s">
        <v>562</v>
      </c>
      <c r="D351" s="108"/>
      <c r="E351" s="108"/>
      <c r="F351" s="108"/>
      <c r="G351" s="108"/>
      <c r="H351" s="108"/>
      <c r="I351"/>
      <c r="J351" s="108"/>
      <c r="N351" s="377"/>
      <c r="O351" s="377"/>
      <c r="P351" s="377"/>
      <c r="Q351" s="377"/>
      <c r="R351" s="377"/>
    </row>
    <row r="352" spans="1:18" s="63" customFormat="1" x14ac:dyDescent="0.25">
      <c r="A352"/>
      <c r="B352" s="67" t="s">
        <v>564</v>
      </c>
      <c r="C352" s="68" t="s">
        <v>565</v>
      </c>
      <c r="D352" s="108"/>
      <c r="E352" s="108"/>
      <c r="F352" s="108"/>
      <c r="G352" s="108"/>
      <c r="H352" s="108"/>
      <c r="I352"/>
      <c r="J352" s="108"/>
      <c r="N352" s="377"/>
      <c r="O352" s="377"/>
      <c r="P352" s="377"/>
      <c r="Q352" s="377"/>
      <c r="R352" s="377"/>
    </row>
    <row r="353" spans="1:18" s="63" customFormat="1" x14ac:dyDescent="0.25">
      <c r="A353"/>
      <c r="B353" s="67" t="s">
        <v>567</v>
      </c>
      <c r="C353" s="68" t="s">
        <v>568</v>
      </c>
      <c r="D353" s="108"/>
      <c r="E353" s="108"/>
      <c r="F353" s="108"/>
      <c r="G353" s="108"/>
      <c r="H353" s="108"/>
      <c r="I353"/>
      <c r="J353" s="108"/>
      <c r="N353" s="377"/>
      <c r="O353" s="377"/>
      <c r="P353" s="377"/>
      <c r="Q353" s="377"/>
      <c r="R353" s="377"/>
    </row>
    <row r="354" spans="1:18" s="63" customFormat="1" x14ac:dyDescent="0.25">
      <c r="A354"/>
      <c r="B354" s="67" t="s">
        <v>570</v>
      </c>
      <c r="C354" s="68" t="s">
        <v>571</v>
      </c>
      <c r="D354" s="108"/>
      <c r="E354" s="108"/>
      <c r="F354" s="108"/>
      <c r="G354" s="108"/>
      <c r="H354" s="108"/>
      <c r="I354"/>
      <c r="J354" s="108"/>
      <c r="N354" s="377"/>
      <c r="O354" s="377"/>
      <c r="P354" s="377"/>
      <c r="Q354" s="377"/>
      <c r="R354" s="377"/>
    </row>
    <row r="355" spans="1:18" s="63" customFormat="1" x14ac:dyDescent="0.25">
      <c r="A355"/>
      <c r="B355" s="67"/>
      <c r="C355" s="68"/>
      <c r="H355" s="50"/>
      <c r="I355"/>
      <c r="N355" s="377"/>
      <c r="O355" s="377"/>
      <c r="P355" s="377"/>
      <c r="Q355" s="377"/>
      <c r="R355" s="377"/>
    </row>
    <row r="356" spans="1:18" s="63" customFormat="1" ht="14.25" customHeight="1" x14ac:dyDescent="0.25">
      <c r="A356"/>
      <c r="B356" s="67" t="s">
        <v>574</v>
      </c>
      <c r="C356" s="68" t="s">
        <v>575</v>
      </c>
      <c r="H356" s="50"/>
      <c r="I356"/>
      <c r="N356" s="377"/>
      <c r="O356" s="377"/>
      <c r="P356" s="377"/>
      <c r="Q356" s="377"/>
      <c r="R356" s="377"/>
    </row>
    <row r="357" spans="1:18" s="63" customFormat="1" x14ac:dyDescent="0.25">
      <c r="A357"/>
      <c r="B357" s="67" t="s">
        <v>578</v>
      </c>
      <c r="C357" s="68" t="s">
        <v>579</v>
      </c>
      <c r="H357" s="50"/>
      <c r="I357"/>
      <c r="N357" s="377"/>
      <c r="O357" s="377"/>
      <c r="P357" s="377"/>
      <c r="Q357" s="377"/>
      <c r="R357" s="377"/>
    </row>
    <row r="358" spans="1:18" s="63" customFormat="1" ht="14.25" customHeight="1" x14ac:dyDescent="0.25">
      <c r="A358"/>
      <c r="B358" s="67" t="s">
        <v>582</v>
      </c>
      <c r="C358" s="68" t="s">
        <v>583</v>
      </c>
      <c r="H358" s="50"/>
      <c r="I358"/>
      <c r="N358" s="377"/>
      <c r="O358" s="377"/>
      <c r="P358" s="377"/>
      <c r="Q358" s="377"/>
      <c r="R358" s="377"/>
    </row>
    <row r="359" spans="1:18" s="63" customFormat="1" x14ac:dyDescent="0.25">
      <c r="A359"/>
      <c r="B359" s="67" t="s">
        <v>586</v>
      </c>
      <c r="C359" s="68" t="s">
        <v>587</v>
      </c>
      <c r="H359" s="50"/>
      <c r="I359"/>
      <c r="N359" s="377"/>
      <c r="O359" s="377"/>
      <c r="P359" s="377"/>
      <c r="Q359" s="377"/>
      <c r="R359" s="377"/>
    </row>
    <row r="360" spans="1:18" s="63" customFormat="1" x14ac:dyDescent="0.25">
      <c r="A360"/>
      <c r="B360" s="67" t="s">
        <v>590</v>
      </c>
      <c r="C360" s="68" t="s">
        <v>591</v>
      </c>
      <c r="H360" s="50"/>
      <c r="I360"/>
      <c r="N360" s="377"/>
      <c r="O360" s="377"/>
      <c r="P360" s="377"/>
      <c r="Q360" s="377"/>
      <c r="R360" s="377"/>
    </row>
    <row r="361" spans="1:18" s="63" customFormat="1" x14ac:dyDescent="0.25">
      <c r="A361"/>
      <c r="B361" s="67" t="s">
        <v>400</v>
      </c>
      <c r="C361" s="68" t="s">
        <v>594</v>
      </c>
      <c r="H361" s="50"/>
      <c r="I361"/>
      <c r="N361" s="377"/>
      <c r="O361" s="377"/>
      <c r="P361" s="377"/>
      <c r="Q361" s="377"/>
      <c r="R361" s="377"/>
    </row>
    <row r="362" spans="1:18" s="63" customFormat="1" x14ac:dyDescent="0.25">
      <c r="A362"/>
      <c r="B362" s="67" t="s">
        <v>401</v>
      </c>
      <c r="C362" s="68" t="s">
        <v>597</v>
      </c>
      <c r="H362" s="50"/>
      <c r="I362"/>
      <c r="N362" s="377"/>
      <c r="O362" s="377"/>
      <c r="P362" s="377"/>
      <c r="Q362" s="377"/>
      <c r="R362" s="377"/>
    </row>
    <row r="363" spans="1:18" s="63" customFormat="1" x14ac:dyDescent="0.25">
      <c r="A363"/>
      <c r="B363" s="73" t="s">
        <v>599</v>
      </c>
      <c r="C363" s="74" t="s">
        <v>600</v>
      </c>
      <c r="H363" s="50"/>
      <c r="I363"/>
      <c r="N363" s="377"/>
      <c r="O363" s="377"/>
      <c r="P363" s="377"/>
      <c r="Q363" s="377"/>
      <c r="R363" s="377"/>
    </row>
    <row r="364" spans="1:18" s="63" customFormat="1" x14ac:dyDescent="0.25">
      <c r="A364"/>
      <c r="B364" s="67" t="s">
        <v>602</v>
      </c>
      <c r="C364" s="68" t="s">
        <v>603</v>
      </c>
      <c r="H364" s="50"/>
      <c r="I364"/>
      <c r="N364" s="377"/>
      <c r="O364" s="377"/>
      <c r="P364" s="377"/>
      <c r="Q364" s="377"/>
      <c r="R364" s="377"/>
    </row>
    <row r="365" spans="1:18" s="63" customFormat="1" x14ac:dyDescent="0.25">
      <c r="A365"/>
      <c r="B365" s="67" t="s">
        <v>605</v>
      </c>
      <c r="C365" s="68" t="s">
        <v>606</v>
      </c>
      <c r="H365" s="50"/>
      <c r="I365"/>
      <c r="N365" s="377"/>
      <c r="O365" s="377"/>
      <c r="P365" s="377"/>
      <c r="Q365" s="377"/>
      <c r="R365" s="377"/>
    </row>
    <row r="366" spans="1:18" s="63" customFormat="1" x14ac:dyDescent="0.25">
      <c r="A366"/>
      <c r="B366" s="67"/>
      <c r="C366" s="68"/>
      <c r="H366" s="50"/>
      <c r="I366"/>
      <c r="N366" s="377"/>
      <c r="O366" s="377"/>
      <c r="P366" s="377"/>
      <c r="Q366" s="377"/>
      <c r="R366" s="377"/>
    </row>
    <row r="367" spans="1:18" s="63" customFormat="1" x14ac:dyDescent="0.25">
      <c r="A367"/>
      <c r="B367" s="67" t="s">
        <v>610</v>
      </c>
      <c r="C367" s="68" t="s">
        <v>611</v>
      </c>
      <c r="H367" s="50"/>
      <c r="I367"/>
      <c r="N367" s="377"/>
      <c r="O367" s="377"/>
      <c r="P367" s="377"/>
      <c r="Q367" s="377"/>
      <c r="R367" s="377"/>
    </row>
    <row r="368" spans="1:18" s="63" customFormat="1" x14ac:dyDescent="0.25">
      <c r="A368"/>
      <c r="B368" s="67" t="s">
        <v>614</v>
      </c>
      <c r="C368" s="68" t="s">
        <v>615</v>
      </c>
      <c r="H368" s="50"/>
      <c r="I368"/>
      <c r="N368" s="377"/>
      <c r="O368" s="377"/>
      <c r="P368" s="377"/>
      <c r="Q368" s="377"/>
      <c r="R368" s="377"/>
    </row>
    <row r="369" spans="1:18" s="63" customFormat="1" x14ac:dyDescent="0.25">
      <c r="A369"/>
      <c r="B369" s="67" t="s">
        <v>618</v>
      </c>
      <c r="C369" s="68" t="s">
        <v>619</v>
      </c>
      <c r="H369" s="50"/>
      <c r="I369"/>
      <c r="N369" s="377"/>
      <c r="O369" s="377"/>
      <c r="P369" s="377"/>
      <c r="Q369" s="377"/>
      <c r="R369" s="377"/>
    </row>
    <row r="370" spans="1:18" s="63" customFormat="1" x14ac:dyDescent="0.25">
      <c r="A370"/>
      <c r="B370" s="67" t="s">
        <v>622</v>
      </c>
      <c r="C370" s="68" t="s">
        <v>623</v>
      </c>
      <c r="H370" s="50"/>
      <c r="I370"/>
      <c r="N370" s="377"/>
      <c r="O370" s="377"/>
      <c r="P370" s="377"/>
      <c r="Q370" s="377"/>
      <c r="R370" s="377"/>
    </row>
    <row r="371" spans="1:18" s="63" customFormat="1" x14ac:dyDescent="0.25">
      <c r="A371"/>
      <c r="B371" s="67" t="s">
        <v>627</v>
      </c>
      <c r="C371" s="68" t="s">
        <v>628</v>
      </c>
      <c r="H371" s="50"/>
      <c r="I371"/>
      <c r="N371" s="377"/>
      <c r="O371" s="377"/>
      <c r="P371" s="377"/>
      <c r="Q371" s="377"/>
      <c r="R371" s="377"/>
    </row>
    <row r="372" spans="1:18" s="63" customFormat="1" x14ac:dyDescent="0.25">
      <c r="A372"/>
      <c r="B372" s="67"/>
      <c r="C372" s="68"/>
      <c r="H372" s="50"/>
      <c r="I372"/>
      <c r="N372" s="377"/>
      <c r="O372" s="377"/>
      <c r="P372" s="377"/>
      <c r="Q372" s="377"/>
      <c r="R372" s="377"/>
    </row>
    <row r="373" spans="1:18" s="63" customFormat="1" x14ac:dyDescent="0.25">
      <c r="A373"/>
      <c r="B373" s="67" t="s">
        <v>631</v>
      </c>
      <c r="C373" s="68" t="s">
        <v>632</v>
      </c>
      <c r="H373" s="50"/>
      <c r="I373"/>
      <c r="N373" s="377"/>
      <c r="O373" s="377"/>
      <c r="P373" s="377"/>
      <c r="Q373" s="377"/>
      <c r="R373" s="377"/>
    </row>
    <row r="374" spans="1:18" s="63" customFormat="1" x14ac:dyDescent="0.25">
      <c r="A374"/>
      <c r="B374" s="961" t="s">
        <v>636</v>
      </c>
      <c r="C374" s="68" t="s">
        <v>637</v>
      </c>
      <c r="H374" s="50"/>
      <c r="I374"/>
      <c r="N374" s="377"/>
      <c r="O374" s="377"/>
      <c r="P374" s="377"/>
      <c r="Q374" s="377"/>
      <c r="R374" s="377"/>
    </row>
    <row r="375" spans="1:18" s="63" customFormat="1" x14ac:dyDescent="0.25">
      <c r="A375"/>
      <c r="B375" s="962"/>
      <c r="C375" s="68" t="s">
        <v>637</v>
      </c>
      <c r="H375" s="50"/>
      <c r="I375"/>
      <c r="N375" s="377"/>
      <c r="O375" s="377"/>
      <c r="P375" s="377"/>
      <c r="Q375" s="377"/>
      <c r="R375" s="377"/>
    </row>
    <row r="376" spans="1:18" s="63" customFormat="1" x14ac:dyDescent="0.25">
      <c r="A376"/>
      <c r="B376" s="67" t="s">
        <v>643</v>
      </c>
      <c r="C376" s="68" t="s">
        <v>644</v>
      </c>
      <c r="H376" s="50"/>
      <c r="I376"/>
      <c r="N376" s="377"/>
      <c r="O376" s="377"/>
      <c r="P376" s="377"/>
      <c r="Q376" s="377"/>
      <c r="R376" s="377"/>
    </row>
    <row r="377" spans="1:18" s="63" customFormat="1" x14ac:dyDescent="0.25">
      <c r="A377"/>
      <c r="B377" s="67" t="s">
        <v>647</v>
      </c>
      <c r="C377" s="68" t="s">
        <v>648</v>
      </c>
      <c r="H377" s="50"/>
      <c r="I377"/>
      <c r="N377" s="377"/>
      <c r="O377" s="377"/>
      <c r="P377" s="377"/>
      <c r="Q377" s="377"/>
      <c r="R377" s="377"/>
    </row>
    <row r="378" spans="1:18" s="63" customFormat="1" x14ac:dyDescent="0.25">
      <c r="A378"/>
      <c r="B378" s="67" t="s">
        <v>593</v>
      </c>
      <c r="C378" s="68" t="s">
        <v>652</v>
      </c>
      <c r="H378" s="50"/>
      <c r="I378"/>
      <c r="N378" s="377"/>
      <c r="O378" s="377"/>
      <c r="P378" s="377"/>
      <c r="Q378" s="377"/>
      <c r="R378" s="377"/>
    </row>
    <row r="379" spans="1:18" s="63" customFormat="1" ht="17.25" customHeight="1" x14ac:dyDescent="0.25">
      <c r="A379"/>
      <c r="B379" s="67" t="s">
        <v>654</v>
      </c>
      <c r="C379" s="68" t="s">
        <v>655</v>
      </c>
      <c r="H379" s="50"/>
      <c r="I379"/>
      <c r="N379" s="377"/>
      <c r="O379" s="377"/>
      <c r="P379" s="377"/>
      <c r="Q379" s="377"/>
      <c r="R379" s="377"/>
    </row>
    <row r="380" spans="1:18" s="63" customFormat="1" x14ac:dyDescent="0.25">
      <c r="A380"/>
      <c r="B380" s="67" t="s">
        <v>658</v>
      </c>
      <c r="C380" s="68" t="s">
        <v>659</v>
      </c>
      <c r="H380" s="50"/>
      <c r="I380"/>
      <c r="N380" s="377"/>
      <c r="O380" s="377"/>
      <c r="P380" s="377"/>
      <c r="Q380" s="377"/>
      <c r="R380" s="377"/>
    </row>
    <row r="381" spans="1:18" s="63" customFormat="1" x14ac:dyDescent="0.25">
      <c r="A381"/>
      <c r="B381" s="67" t="s">
        <v>660</v>
      </c>
      <c r="C381" s="68" t="s">
        <v>661</v>
      </c>
      <c r="H381" s="50"/>
      <c r="I381"/>
      <c r="N381" s="377"/>
      <c r="O381" s="377"/>
      <c r="P381" s="377"/>
      <c r="Q381" s="377"/>
      <c r="R381" s="377"/>
    </row>
    <row r="382" spans="1:18" s="63" customFormat="1" x14ac:dyDescent="0.25">
      <c r="A382"/>
      <c r="B382" s="67" t="s">
        <v>664</v>
      </c>
      <c r="C382" s="68" t="s">
        <v>665</v>
      </c>
      <c r="H382" s="50"/>
      <c r="I382"/>
      <c r="N382" s="377"/>
      <c r="O382" s="377"/>
      <c r="P382" s="377"/>
      <c r="Q382" s="377"/>
      <c r="R382" s="377"/>
    </row>
    <row r="383" spans="1:18" s="63" customFormat="1" x14ac:dyDescent="0.25">
      <c r="A383"/>
      <c r="B383" s="67" t="s">
        <v>667</v>
      </c>
      <c r="C383" s="68" t="s">
        <v>668</v>
      </c>
      <c r="H383" s="50"/>
      <c r="I383"/>
      <c r="N383" s="377"/>
      <c r="O383" s="377"/>
      <c r="P383" s="377"/>
      <c r="Q383" s="377"/>
      <c r="R383" s="377"/>
    </row>
    <row r="384" spans="1:18" s="63" customFormat="1" x14ac:dyDescent="0.25">
      <c r="A384" s="77"/>
      <c r="B384" s="71"/>
      <c r="C384" s="75"/>
      <c r="D384" s="75"/>
      <c r="E384" s="76"/>
      <c r="F384" s="76"/>
      <c r="G384" s="76"/>
      <c r="H384" s="83"/>
      <c r="I384"/>
      <c r="N384" s="377"/>
      <c r="O384" s="377"/>
      <c r="P384" s="377"/>
      <c r="Q384" s="377"/>
      <c r="R384" s="377"/>
    </row>
    <row r="385" spans="1:18" s="63" customFormat="1" x14ac:dyDescent="0.25">
      <c r="A385" s="77"/>
      <c r="B385" s="49"/>
      <c r="C385" s="42"/>
      <c r="D385" s="42"/>
      <c r="E385" s="78"/>
      <c r="F385" s="78"/>
      <c r="G385" s="78"/>
      <c r="H385" s="66"/>
      <c r="I385"/>
      <c r="N385" s="377"/>
      <c r="O385" s="377"/>
      <c r="P385" s="377"/>
      <c r="Q385" s="377"/>
      <c r="R385" s="377"/>
    </row>
    <row r="386" spans="1:18" s="63" customFormat="1" x14ac:dyDescent="0.25">
      <c r="A386" s="77"/>
      <c r="B386" s="49"/>
      <c r="C386" s="42"/>
      <c r="D386" s="42"/>
      <c r="E386" s="78"/>
      <c r="F386" s="78"/>
      <c r="G386" s="78"/>
      <c r="H386" s="66"/>
      <c r="I386"/>
      <c r="N386" s="377"/>
      <c r="O386" s="377"/>
      <c r="P386" s="377"/>
      <c r="Q386" s="377"/>
      <c r="R386" s="377"/>
    </row>
    <row r="387" spans="1:18" s="63" customFormat="1" x14ac:dyDescent="0.25">
      <c r="A387" s="77"/>
      <c r="B387" s="49"/>
      <c r="C387" s="42"/>
      <c r="D387" s="42"/>
      <c r="E387" s="79"/>
      <c r="F387" s="79"/>
      <c r="G387" s="79"/>
      <c r="H387" s="190"/>
      <c r="I387"/>
      <c r="N387" s="377"/>
      <c r="O387" s="377"/>
      <c r="P387" s="377"/>
      <c r="Q387" s="377"/>
      <c r="R387" s="377"/>
    </row>
    <row r="388" spans="1:18" s="63" customFormat="1" x14ac:dyDescent="0.25">
      <c r="A388" s="77"/>
      <c r="B388" s="49"/>
      <c r="C388" s="42"/>
      <c r="D388" s="42"/>
      <c r="E388" s="78"/>
      <c r="F388" s="78"/>
      <c r="G388" s="78"/>
      <c r="H388" s="66"/>
      <c r="I388"/>
      <c r="N388" s="377"/>
      <c r="O388" s="377"/>
      <c r="P388" s="377"/>
      <c r="Q388" s="377"/>
      <c r="R388" s="377"/>
    </row>
    <row r="389" spans="1:18" s="63" customFormat="1" x14ac:dyDescent="0.25">
      <c r="A389" s="77"/>
      <c r="B389" s="49"/>
      <c r="C389" s="42"/>
      <c r="D389" s="42"/>
      <c r="E389" s="78"/>
      <c r="F389" s="78"/>
      <c r="G389" s="78"/>
      <c r="H389" s="66"/>
      <c r="I389"/>
      <c r="N389" s="377"/>
      <c r="O389" s="377"/>
      <c r="P389" s="377"/>
      <c r="Q389" s="377"/>
      <c r="R389" s="377"/>
    </row>
    <row r="390" spans="1:18" s="63" customFormat="1" x14ac:dyDescent="0.25">
      <c r="A390" s="77"/>
      <c r="B390" s="49"/>
      <c r="C390" s="42"/>
      <c r="D390" s="42"/>
      <c r="E390" s="78"/>
      <c r="F390" s="78"/>
      <c r="G390" s="78"/>
      <c r="H390" s="66"/>
      <c r="I390"/>
      <c r="N390" s="377"/>
      <c r="O390" s="377"/>
      <c r="P390" s="377"/>
      <c r="Q390" s="377"/>
      <c r="R390" s="377"/>
    </row>
    <row r="391" spans="1:18" s="63" customFormat="1" x14ac:dyDescent="0.25">
      <c r="A391" s="77"/>
      <c r="B391" s="80"/>
      <c r="C391" s="80"/>
      <c r="D391" s="80"/>
      <c r="E391" s="81"/>
      <c r="F391" s="81"/>
      <c r="G391" s="81"/>
      <c r="H391" s="191"/>
      <c r="I391"/>
      <c r="N391" s="377"/>
      <c r="O391" s="377"/>
      <c r="P391" s="377"/>
      <c r="Q391" s="377"/>
      <c r="R391" s="377"/>
    </row>
    <row r="392" spans="1:18" s="63" customFormat="1" x14ac:dyDescent="0.25">
      <c r="A392" s="77"/>
      <c r="B392" s="49"/>
      <c r="C392" s="42"/>
      <c r="D392" s="42"/>
      <c r="E392" s="78"/>
      <c r="F392" s="78"/>
      <c r="G392" s="78"/>
      <c r="H392" s="66"/>
      <c r="I392"/>
      <c r="N392" s="377"/>
      <c r="O392" s="377"/>
      <c r="P392" s="377"/>
      <c r="Q392" s="377"/>
      <c r="R392" s="377"/>
    </row>
    <row r="393" spans="1:18" s="63" customFormat="1" x14ac:dyDescent="0.25">
      <c r="A393" s="77"/>
      <c r="B393" s="49"/>
      <c r="C393" s="42"/>
      <c r="D393" s="42"/>
      <c r="E393" s="78"/>
      <c r="F393" s="78"/>
      <c r="G393" s="78"/>
      <c r="H393" s="66"/>
      <c r="I393"/>
    </row>
    <row r="394" spans="1:18" s="63" customFormat="1" x14ac:dyDescent="0.25">
      <c r="A394" s="77"/>
      <c r="B394" s="49"/>
      <c r="C394" s="42"/>
      <c r="D394" s="42"/>
      <c r="E394" s="78"/>
      <c r="F394" s="78"/>
      <c r="G394" s="78"/>
      <c r="H394" s="66"/>
      <c r="I394"/>
    </row>
    <row r="395" spans="1:18" s="63" customFormat="1" x14ac:dyDescent="0.25">
      <c r="A395" s="77"/>
      <c r="B395" s="49"/>
      <c r="C395" s="42"/>
      <c r="D395" s="42"/>
      <c r="E395" s="78"/>
      <c r="F395" s="78"/>
      <c r="G395" s="78"/>
      <c r="H395" s="66"/>
      <c r="I395"/>
    </row>
    <row r="396" spans="1:18" s="63" customFormat="1" x14ac:dyDescent="0.25">
      <c r="A396" s="77"/>
      <c r="B396" s="49"/>
      <c r="C396" s="42"/>
      <c r="D396" s="42"/>
      <c r="E396" s="78"/>
      <c r="F396" s="78"/>
      <c r="G396" s="78"/>
      <c r="H396" s="66"/>
      <c r="I396"/>
    </row>
    <row r="397" spans="1:18" s="63" customFormat="1" x14ac:dyDescent="0.25">
      <c r="A397" s="77"/>
      <c r="B397" s="49"/>
      <c r="C397" s="42"/>
      <c r="D397" s="42"/>
      <c r="E397" s="78"/>
      <c r="F397" s="78"/>
      <c r="G397" s="78"/>
      <c r="H397" s="66"/>
      <c r="I397"/>
    </row>
    <row r="398" spans="1:18" s="63" customFormat="1" x14ac:dyDescent="0.25">
      <c r="A398" s="77"/>
      <c r="B398" s="49"/>
      <c r="C398" s="42"/>
      <c r="D398" s="42"/>
      <c r="E398" s="78"/>
      <c r="F398" s="78"/>
      <c r="G398" s="78"/>
      <c r="H398" s="66"/>
      <c r="I398"/>
    </row>
    <row r="399" spans="1:18" s="63" customFormat="1" x14ac:dyDescent="0.25">
      <c r="A399" s="77"/>
      <c r="B399" s="49"/>
      <c r="C399" s="42"/>
      <c r="D399" s="42"/>
      <c r="E399" s="78"/>
      <c r="F399" s="78"/>
      <c r="G399" s="78"/>
      <c r="H399" s="66"/>
      <c r="I399"/>
    </row>
    <row r="400" spans="1:18" s="63" customFormat="1" x14ac:dyDescent="0.25">
      <c r="A400"/>
      <c r="B400" s="49"/>
      <c r="C400" s="42"/>
      <c r="D400" s="42"/>
      <c r="E400" s="78"/>
      <c r="F400" s="78"/>
      <c r="G400" s="78"/>
      <c r="H400" s="66"/>
      <c r="I400"/>
    </row>
    <row r="401" spans="1:9" s="63" customFormat="1" x14ac:dyDescent="0.25">
      <c r="A401"/>
      <c r="B401" s="49"/>
      <c r="C401" s="42"/>
      <c r="D401" s="42"/>
      <c r="E401" s="78"/>
      <c r="F401" s="78"/>
      <c r="G401" s="78"/>
      <c r="H401" s="66"/>
      <c r="I401"/>
    </row>
    <row r="402" spans="1:9" s="63" customFormat="1" x14ac:dyDescent="0.25">
      <c r="A402"/>
      <c r="B402" s="49"/>
      <c r="C402" s="42"/>
      <c r="D402" s="42"/>
      <c r="E402" s="78"/>
      <c r="F402" s="78"/>
      <c r="G402" s="78"/>
      <c r="H402" s="66"/>
      <c r="I402"/>
    </row>
    <row r="403" spans="1:9" s="63" customFormat="1" x14ac:dyDescent="0.25">
      <c r="A403"/>
      <c r="B403" s="49"/>
      <c r="C403" s="42"/>
      <c r="D403" s="42"/>
      <c r="E403" s="78"/>
      <c r="F403" s="78"/>
      <c r="G403" s="78"/>
      <c r="H403" s="66"/>
      <c r="I403"/>
    </row>
    <row r="404" spans="1:9" s="63" customFormat="1" x14ac:dyDescent="0.25">
      <c r="A404"/>
      <c r="B404" s="49"/>
      <c r="C404" s="42"/>
      <c r="D404" s="42"/>
      <c r="E404" s="78"/>
      <c r="F404" s="78"/>
      <c r="G404" s="78"/>
      <c r="H404" s="66"/>
      <c r="I404"/>
    </row>
    <row r="405" spans="1:9" s="63" customFormat="1" x14ac:dyDescent="0.25">
      <c r="A405"/>
      <c r="B405" s="49"/>
      <c r="C405" s="42"/>
      <c r="D405" s="42"/>
      <c r="E405" s="78"/>
      <c r="F405" s="78"/>
      <c r="G405" s="78"/>
      <c r="H405" s="66"/>
      <c r="I405"/>
    </row>
    <row r="406" spans="1:9" s="63" customFormat="1" x14ac:dyDescent="0.25">
      <c r="A406"/>
      <c r="B406" s="49"/>
      <c r="C406" s="42"/>
      <c r="D406" s="42"/>
      <c r="E406" s="78"/>
      <c r="F406" s="78"/>
      <c r="G406" s="78"/>
      <c r="H406" s="66"/>
      <c r="I406"/>
    </row>
  </sheetData>
  <autoFilter ref="A8:I384" xr:uid="{00000000-0009-0000-0000-000003000000}"/>
  <mergeCells count="2">
    <mergeCell ref="B6:H6"/>
    <mergeCell ref="B374:B375"/>
  </mergeCells>
  <printOptions horizontalCentered="1"/>
  <pageMargins left="0.47244094488188981" right="0.23622047244094491" top="0.23622047244094491" bottom="0.35433070866141736" header="0.19685039370078741" footer="0.19685039370078741"/>
  <pageSetup paperSize="5" scale="85" orientation="portrait" r:id="rId1"/>
  <headerFooter differentFirst="1">
    <oddFooter>Page &amp;P of &amp;N</oddFooter>
  </headerFooter>
  <rowBreaks count="1" manualBreakCount="1">
    <brk id="385" min="1" max="5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F64A-CF25-456A-B860-544BEA54C8BB}">
  <sheetPr>
    <tabColor rgb="FF00B0F0"/>
  </sheetPr>
  <dimension ref="A1:I383"/>
  <sheetViews>
    <sheetView workbookViewId="0">
      <selection activeCell="H24" sqref="H24"/>
    </sheetView>
  </sheetViews>
  <sheetFormatPr defaultRowHeight="15" x14ac:dyDescent="0.25"/>
  <cols>
    <col min="1" max="1" width="5" style="856" customWidth="1"/>
    <col min="2" max="2" width="10.42578125" style="856" bestFit="1" customWidth="1"/>
    <col min="3" max="3" width="45.5703125" style="856" customWidth="1"/>
    <col min="4" max="4" width="22" style="856" customWidth="1"/>
    <col min="5" max="5" width="26.7109375" style="856" customWidth="1"/>
    <col min="6" max="6" width="18.42578125" style="856" bestFit="1" customWidth="1"/>
    <col min="7" max="7" width="23.42578125" style="856" customWidth="1"/>
    <col min="8" max="8" width="35.5703125" style="856" customWidth="1"/>
    <col min="9" max="9" width="38.140625" style="856" customWidth="1"/>
    <col min="10" max="16384" width="9.140625" style="856"/>
  </cols>
  <sheetData>
    <row r="1" spans="1:7" x14ac:dyDescent="0.25">
      <c r="A1" s="855" t="s">
        <v>22</v>
      </c>
      <c r="B1" s="855"/>
    </row>
    <row r="2" spans="1:7" x14ac:dyDescent="0.25">
      <c r="A2" s="855" t="s">
        <v>2520</v>
      </c>
      <c r="B2" s="855"/>
    </row>
    <row r="3" spans="1:7" x14ac:dyDescent="0.25">
      <c r="A3" s="855" t="s">
        <v>2785</v>
      </c>
      <c r="B3" s="855"/>
    </row>
    <row r="4" spans="1:7" x14ac:dyDescent="0.25">
      <c r="A4" s="855"/>
      <c r="B4" s="855"/>
    </row>
    <row r="5" spans="1:7" ht="15.75" thickBot="1" x14ac:dyDescent="0.3">
      <c r="A5" s="855"/>
      <c r="B5" s="855"/>
    </row>
    <row r="6" spans="1:7" ht="30.75" thickBot="1" x14ac:dyDescent="0.3">
      <c r="B6" s="857" t="s">
        <v>856</v>
      </c>
      <c r="C6" s="857" t="s">
        <v>53</v>
      </c>
      <c r="D6" s="858" t="s">
        <v>2521</v>
      </c>
      <c r="E6" s="857" t="s">
        <v>2522</v>
      </c>
      <c r="F6" s="857" t="s">
        <v>1601</v>
      </c>
      <c r="G6" s="857" t="s">
        <v>2469</v>
      </c>
    </row>
    <row r="7" spans="1:7" x14ac:dyDescent="0.25">
      <c r="B7" s="859"/>
      <c r="F7" s="856">
        <f>SUM(D7:E7)</f>
        <v>0</v>
      </c>
    </row>
    <row r="8" spans="1:7" x14ac:dyDescent="0.25">
      <c r="B8" s="859">
        <v>5049</v>
      </c>
      <c r="C8" s="856" t="s">
        <v>2523</v>
      </c>
      <c r="D8" s="856">
        <v>14539948.289999999</v>
      </c>
      <c r="F8" s="856">
        <f t="shared" ref="F8:F73" si="0">SUM(D8:E8)</f>
        <v>14539948.289999999</v>
      </c>
    </row>
    <row r="9" spans="1:7" x14ac:dyDescent="0.25">
      <c r="B9" s="859">
        <v>5050</v>
      </c>
      <c r="C9" s="856" t="s">
        <v>2524</v>
      </c>
      <c r="D9" s="856">
        <v>2782</v>
      </c>
      <c r="E9" s="856">
        <v>-2782</v>
      </c>
      <c r="F9" s="856">
        <f t="shared" si="0"/>
        <v>0</v>
      </c>
    </row>
    <row r="10" spans="1:7" x14ac:dyDescent="0.25">
      <c r="B10" s="859">
        <v>5063</v>
      </c>
      <c r="C10" s="856" t="s">
        <v>2525</v>
      </c>
      <c r="D10" s="856">
        <v>-172644</v>
      </c>
      <c r="F10" s="856">
        <f t="shared" si="0"/>
        <v>-172644</v>
      </c>
    </row>
    <row r="11" spans="1:7" x14ac:dyDescent="0.25">
      <c r="B11" s="859">
        <v>5114</v>
      </c>
      <c r="C11" s="856" t="s">
        <v>2526</v>
      </c>
      <c r="D11" s="856">
        <v>2536126.08</v>
      </c>
      <c r="F11" s="856">
        <f t="shared" si="0"/>
        <v>2536126.08</v>
      </c>
    </row>
    <row r="12" spans="1:7" hidden="1" x14ac:dyDescent="0.25">
      <c r="B12" s="859"/>
    </row>
    <row r="13" spans="1:7" x14ac:dyDescent="0.25">
      <c r="B13" s="859">
        <v>5124</v>
      </c>
      <c r="C13" s="856" t="s">
        <v>2527</v>
      </c>
      <c r="D13" s="856">
        <v>418820.27</v>
      </c>
      <c r="E13" s="856">
        <v>-418820.27</v>
      </c>
      <c r="F13" s="856">
        <f t="shared" si="0"/>
        <v>0</v>
      </c>
    </row>
    <row r="14" spans="1:7" x14ac:dyDescent="0.25">
      <c r="B14" s="859">
        <v>5176</v>
      </c>
      <c r="C14" s="856" t="s">
        <v>2528</v>
      </c>
      <c r="D14" s="856">
        <v>6551.95</v>
      </c>
      <c r="E14" s="856">
        <v>0</v>
      </c>
      <c r="F14" s="856">
        <f t="shared" si="0"/>
        <v>6551.95</v>
      </c>
    </row>
    <row r="15" spans="1:7" x14ac:dyDescent="0.25">
      <c r="B15" s="859">
        <v>5207</v>
      </c>
      <c r="C15" s="856" t="s">
        <v>2529</v>
      </c>
      <c r="D15" s="856">
        <v>4022352.19</v>
      </c>
      <c r="E15" s="856">
        <v>-4022352.19</v>
      </c>
      <c r="F15" s="856">
        <f t="shared" si="0"/>
        <v>0</v>
      </c>
    </row>
    <row r="16" spans="1:7" x14ac:dyDescent="0.25">
      <c r="B16" s="859">
        <v>5230</v>
      </c>
      <c r="C16" s="856" t="s">
        <v>2530</v>
      </c>
      <c r="D16" s="856">
        <v>520000</v>
      </c>
      <c r="E16" s="856">
        <v>-520000</v>
      </c>
      <c r="F16" s="856">
        <f t="shared" si="0"/>
        <v>0</v>
      </c>
    </row>
    <row r="17" spans="2:7" x14ac:dyDescent="0.25">
      <c r="B17" s="859">
        <v>5353</v>
      </c>
      <c r="C17" s="856" t="s">
        <v>2531</v>
      </c>
      <c r="D17" s="856">
        <v>1720975.34</v>
      </c>
      <c r="E17" s="856">
        <v>0</v>
      </c>
      <c r="F17" s="856">
        <f t="shared" si="0"/>
        <v>1720975.34</v>
      </c>
    </row>
    <row r="18" spans="2:7" x14ac:dyDescent="0.25">
      <c r="B18" s="859">
        <v>5357</v>
      </c>
      <c r="C18" s="856" t="s">
        <v>1629</v>
      </c>
      <c r="D18" s="856">
        <v>2313859.13</v>
      </c>
      <c r="E18" s="856">
        <v>0</v>
      </c>
      <c r="F18" s="856">
        <f t="shared" si="0"/>
        <v>2313859.13</v>
      </c>
    </row>
    <row r="19" spans="2:7" x14ac:dyDescent="0.25">
      <c r="B19" s="859">
        <v>5370</v>
      </c>
      <c r="C19" s="856" t="s">
        <v>1607</v>
      </c>
      <c r="D19" s="856">
        <v>9203757.6999999993</v>
      </c>
      <c r="E19" s="856">
        <v>-9203757.6999999993</v>
      </c>
      <c r="F19" s="856">
        <f t="shared" si="0"/>
        <v>0</v>
      </c>
    </row>
    <row r="20" spans="2:7" x14ac:dyDescent="0.25">
      <c r="B20" s="859">
        <v>5431</v>
      </c>
      <c r="C20" s="856" t="s">
        <v>2532</v>
      </c>
      <c r="D20" s="856">
        <v>2693035.71</v>
      </c>
      <c r="E20" s="856">
        <v>-2693035.71</v>
      </c>
      <c r="F20" s="856">
        <f t="shared" si="0"/>
        <v>0</v>
      </c>
    </row>
    <row r="21" spans="2:7" x14ac:dyDescent="0.25">
      <c r="B21" s="859">
        <v>5514</v>
      </c>
      <c r="C21" s="856" t="s">
        <v>1616</v>
      </c>
      <c r="D21" s="856">
        <v>-10212.39</v>
      </c>
      <c r="E21" s="856">
        <v>0</v>
      </c>
      <c r="F21" s="856">
        <f t="shared" si="0"/>
        <v>-10212.39</v>
      </c>
    </row>
    <row r="22" spans="2:7" x14ac:dyDescent="0.25">
      <c r="B22" s="859">
        <v>5701</v>
      </c>
      <c r="C22" s="856" t="s">
        <v>2533</v>
      </c>
      <c r="D22" s="856">
        <v>16408.150000000001</v>
      </c>
      <c r="E22" s="856">
        <v>0</v>
      </c>
      <c r="F22" s="856">
        <f t="shared" si="0"/>
        <v>16408.150000000001</v>
      </c>
    </row>
    <row r="23" spans="2:7" x14ac:dyDescent="0.25">
      <c r="B23" s="859">
        <v>5706</v>
      </c>
      <c r="C23" s="856" t="s">
        <v>2534</v>
      </c>
      <c r="D23" s="856">
        <v>120167.61</v>
      </c>
      <c r="E23" s="856">
        <v>-120167.61</v>
      </c>
      <c r="F23" s="856">
        <f t="shared" si="0"/>
        <v>0</v>
      </c>
    </row>
    <row r="24" spans="2:7" x14ac:dyDescent="0.25">
      <c r="B24" s="859">
        <v>5712</v>
      </c>
      <c r="C24" s="856" t="s">
        <v>2535</v>
      </c>
      <c r="D24" s="856">
        <v>12838.97</v>
      </c>
      <c r="E24" s="856">
        <v>-12838.97</v>
      </c>
      <c r="F24" s="856">
        <f t="shared" si="0"/>
        <v>0</v>
      </c>
    </row>
    <row r="25" spans="2:7" x14ac:dyDescent="0.25">
      <c r="B25" s="859">
        <v>5726</v>
      </c>
      <c r="C25" s="856" t="s">
        <v>2536</v>
      </c>
      <c r="D25" s="856">
        <v>106531.38</v>
      </c>
      <c r="E25" s="856">
        <v>-106531.38</v>
      </c>
      <c r="F25" s="856">
        <f t="shared" si="0"/>
        <v>0</v>
      </c>
    </row>
    <row r="26" spans="2:7" x14ac:dyDescent="0.25">
      <c r="B26" s="859">
        <v>5740</v>
      </c>
      <c r="C26" s="856" t="s">
        <v>2537</v>
      </c>
      <c r="D26" s="856">
        <v>4899744.57</v>
      </c>
      <c r="E26" s="856">
        <v>-4899744.57</v>
      </c>
      <c r="F26" s="856">
        <f t="shared" si="0"/>
        <v>0</v>
      </c>
    </row>
    <row r="27" spans="2:7" x14ac:dyDescent="0.25">
      <c r="B27" s="860">
        <v>5732</v>
      </c>
      <c r="C27" s="856" t="s">
        <v>1624</v>
      </c>
      <c r="E27" s="861">
        <v>0.04</v>
      </c>
      <c r="F27" s="861">
        <f t="shared" si="0"/>
        <v>0.04</v>
      </c>
      <c r="G27" s="861" t="s">
        <v>2788</v>
      </c>
    </row>
    <row r="28" spans="2:7" x14ac:dyDescent="0.25">
      <c r="B28" s="859">
        <v>5755</v>
      </c>
      <c r="C28" s="856" t="s">
        <v>2538</v>
      </c>
      <c r="D28" s="856">
        <v>13440.59</v>
      </c>
      <c r="E28" s="856">
        <v>0</v>
      </c>
      <c r="F28" s="856">
        <f t="shared" si="0"/>
        <v>13440.59</v>
      </c>
    </row>
    <row r="29" spans="2:7" x14ac:dyDescent="0.25">
      <c r="B29" s="859">
        <v>8124</v>
      </c>
      <c r="C29" s="856" t="s">
        <v>2539</v>
      </c>
      <c r="D29" s="856">
        <v>94344.35</v>
      </c>
      <c r="E29" s="856">
        <v>-94344.35</v>
      </c>
      <c r="F29" s="856">
        <f t="shared" si="0"/>
        <v>0</v>
      </c>
    </row>
    <row r="30" spans="2:7" x14ac:dyDescent="0.25">
      <c r="B30" s="859">
        <v>8125</v>
      </c>
      <c r="C30" s="856" t="s">
        <v>2540</v>
      </c>
      <c r="D30" s="856">
        <v>124181.81</v>
      </c>
      <c r="E30" s="856">
        <v>-124181.81</v>
      </c>
      <c r="F30" s="856">
        <f t="shared" si="0"/>
        <v>0</v>
      </c>
    </row>
    <row r="31" spans="2:7" x14ac:dyDescent="0.25">
      <c r="B31" s="859">
        <v>8142</v>
      </c>
      <c r="C31" s="856" t="s">
        <v>2541</v>
      </c>
      <c r="D31" s="856">
        <v>186346</v>
      </c>
      <c r="E31" s="856">
        <v>-186346</v>
      </c>
      <c r="F31" s="856">
        <f t="shared" si="0"/>
        <v>0</v>
      </c>
    </row>
    <row r="32" spans="2:7" x14ac:dyDescent="0.25">
      <c r="B32" s="859">
        <v>8144</v>
      </c>
      <c r="C32" s="856" t="s">
        <v>2542</v>
      </c>
      <c r="D32" s="856">
        <v>56036.17</v>
      </c>
      <c r="E32" s="856">
        <v>-56036.17</v>
      </c>
      <c r="F32" s="856">
        <f t="shared" si="0"/>
        <v>0</v>
      </c>
    </row>
    <row r="33" spans="2:7" x14ac:dyDescent="0.25">
      <c r="B33" s="859">
        <v>8146</v>
      </c>
      <c r="C33" s="856" t="s">
        <v>2543</v>
      </c>
      <c r="D33" s="856">
        <v>0</v>
      </c>
      <c r="E33" s="861">
        <v>-272203.59999999998</v>
      </c>
      <c r="F33" s="861">
        <f t="shared" si="0"/>
        <v>-272203.59999999998</v>
      </c>
      <c r="G33" s="861" t="s">
        <v>2788</v>
      </c>
    </row>
    <row r="34" spans="2:7" x14ac:dyDescent="0.25">
      <c r="B34" s="859">
        <v>8147</v>
      </c>
      <c r="C34" s="856" t="s">
        <v>2544</v>
      </c>
      <c r="D34" s="856">
        <v>18733.47</v>
      </c>
      <c r="E34" s="856">
        <v>-18733.47</v>
      </c>
      <c r="F34" s="856">
        <f t="shared" si="0"/>
        <v>0</v>
      </c>
    </row>
    <row r="35" spans="2:7" x14ac:dyDescent="0.25">
      <c r="B35" s="859">
        <v>8229</v>
      </c>
      <c r="C35" s="856" t="s">
        <v>2545</v>
      </c>
      <c r="D35" s="856">
        <v>9348.07</v>
      </c>
      <c r="F35" s="856">
        <f t="shared" si="0"/>
        <v>9348.07</v>
      </c>
    </row>
    <row r="36" spans="2:7" x14ac:dyDescent="0.25">
      <c r="B36" s="859">
        <v>8323</v>
      </c>
      <c r="C36" s="856" t="s">
        <v>2546</v>
      </c>
      <c r="D36" s="856">
        <v>157565.21</v>
      </c>
      <c r="E36" s="856">
        <v>-157565.21</v>
      </c>
      <c r="F36" s="856">
        <f t="shared" si="0"/>
        <v>0</v>
      </c>
    </row>
    <row r="37" spans="2:7" x14ac:dyDescent="0.25">
      <c r="B37" s="859">
        <v>8343</v>
      </c>
      <c r="C37" s="856" t="s">
        <v>2547</v>
      </c>
      <c r="D37" s="856">
        <v>0.01</v>
      </c>
      <c r="F37" s="856">
        <f t="shared" si="0"/>
        <v>0.01</v>
      </c>
    </row>
    <row r="38" spans="2:7" x14ac:dyDescent="0.25">
      <c r="B38" s="859">
        <v>8351</v>
      </c>
      <c r="C38" s="856" t="s">
        <v>2548</v>
      </c>
      <c r="D38" s="856">
        <v>17361.330000000002</v>
      </c>
      <c r="F38" s="856">
        <f t="shared" si="0"/>
        <v>17361.330000000002</v>
      </c>
    </row>
    <row r="39" spans="2:7" x14ac:dyDescent="0.25">
      <c r="B39" s="859">
        <v>8462</v>
      </c>
      <c r="C39" s="856" t="s">
        <v>2549</v>
      </c>
      <c r="D39" s="856">
        <v>26532.23</v>
      </c>
      <c r="E39" s="856">
        <v>-26532.23</v>
      </c>
      <c r="F39" s="856">
        <f t="shared" si="0"/>
        <v>0</v>
      </c>
    </row>
    <row r="40" spans="2:7" x14ac:dyDescent="0.25">
      <c r="B40" s="859">
        <v>8484</v>
      </c>
      <c r="C40" s="856" t="s">
        <v>2550</v>
      </c>
      <c r="D40" s="856">
        <v>2930135.96</v>
      </c>
      <c r="E40" s="856">
        <v>-2930135.96</v>
      </c>
      <c r="F40" s="856">
        <f t="shared" si="0"/>
        <v>0</v>
      </c>
    </row>
    <row r="41" spans="2:7" x14ac:dyDescent="0.25">
      <c r="B41" s="859">
        <v>8538</v>
      </c>
      <c r="C41" s="856" t="s">
        <v>2551</v>
      </c>
      <c r="D41" s="856">
        <v>3091310.41</v>
      </c>
      <c r="E41" s="856">
        <v>-3147493.95</v>
      </c>
      <c r="F41" s="856">
        <f t="shared" si="0"/>
        <v>-56183.540000000037</v>
      </c>
    </row>
    <row r="42" spans="2:7" x14ac:dyDescent="0.25">
      <c r="B42" s="859">
        <v>8568</v>
      </c>
      <c r="C42" s="856" t="s">
        <v>2552</v>
      </c>
      <c r="D42" s="856">
        <v>1198292.1399999999</v>
      </c>
      <c r="F42" s="856">
        <f t="shared" si="0"/>
        <v>1198292.1399999999</v>
      </c>
    </row>
    <row r="43" spans="2:7" x14ac:dyDescent="0.25">
      <c r="B43" s="859">
        <v>8581</v>
      </c>
      <c r="C43" s="856" t="s">
        <v>2553</v>
      </c>
      <c r="D43" s="856">
        <v>72600.009999999995</v>
      </c>
      <c r="F43" s="856">
        <f t="shared" si="0"/>
        <v>72600.009999999995</v>
      </c>
    </row>
    <row r="44" spans="2:7" x14ac:dyDescent="0.25">
      <c r="B44" s="859">
        <v>8631</v>
      </c>
      <c r="C44" s="856" t="s">
        <v>2554</v>
      </c>
      <c r="D44" s="856">
        <v>0</v>
      </c>
      <c r="E44" s="861">
        <v>-570984.4</v>
      </c>
      <c r="F44" s="861">
        <f t="shared" si="0"/>
        <v>-570984.4</v>
      </c>
      <c r="G44" s="861" t="s">
        <v>2788</v>
      </c>
    </row>
    <row r="45" spans="2:7" x14ac:dyDescent="0.25">
      <c r="B45" s="859">
        <v>8741</v>
      </c>
      <c r="C45" s="856" t="s">
        <v>2555</v>
      </c>
      <c r="D45" s="856">
        <v>-0.01</v>
      </c>
      <c r="F45" s="856">
        <f t="shared" si="0"/>
        <v>-0.01</v>
      </c>
    </row>
    <row r="46" spans="2:7" hidden="1" x14ac:dyDescent="0.25">
      <c r="B46" s="859">
        <v>5042</v>
      </c>
      <c r="C46" s="856" t="s">
        <v>2556</v>
      </c>
      <c r="D46" s="856">
        <v>0</v>
      </c>
      <c r="F46" s="856">
        <f t="shared" si="0"/>
        <v>0</v>
      </c>
    </row>
    <row r="47" spans="2:7" hidden="1" x14ac:dyDescent="0.25">
      <c r="B47" s="859">
        <v>5228</v>
      </c>
      <c r="C47" s="856" t="s">
        <v>1628</v>
      </c>
      <c r="D47" s="856">
        <v>0</v>
      </c>
      <c r="F47" s="856">
        <f t="shared" si="0"/>
        <v>0</v>
      </c>
    </row>
    <row r="48" spans="2:7" x14ac:dyDescent="0.25">
      <c r="B48" s="859">
        <v>5322</v>
      </c>
      <c r="C48" s="856" t="s">
        <v>2557</v>
      </c>
      <c r="D48" s="856">
        <v>5496294.7699999996</v>
      </c>
      <c r="F48" s="856">
        <f t="shared" si="0"/>
        <v>5496294.7699999996</v>
      </c>
    </row>
    <row r="49" spans="2:7" x14ac:dyDescent="0.25">
      <c r="B49" s="859">
        <v>5425</v>
      </c>
      <c r="C49" s="856" t="s">
        <v>2558</v>
      </c>
      <c r="D49" s="856">
        <v>830.3</v>
      </c>
      <c r="E49" s="861">
        <v>-35529.64</v>
      </c>
      <c r="F49" s="861">
        <f t="shared" si="0"/>
        <v>-34699.339999999997</v>
      </c>
      <c r="G49" s="861" t="s">
        <v>2788</v>
      </c>
    </row>
    <row r="50" spans="2:7" hidden="1" x14ac:dyDescent="0.25">
      <c r="B50" s="859">
        <v>5451</v>
      </c>
      <c r="C50" s="856" t="s">
        <v>2559</v>
      </c>
      <c r="D50" s="856">
        <v>0</v>
      </c>
      <c r="F50" s="856">
        <f t="shared" si="0"/>
        <v>0</v>
      </c>
    </row>
    <row r="51" spans="2:7" x14ac:dyDescent="0.25">
      <c r="B51" s="859">
        <v>5632</v>
      </c>
      <c r="C51" s="856" t="s">
        <v>1623</v>
      </c>
      <c r="D51" s="856">
        <v>5430.16</v>
      </c>
      <c r="F51" s="856">
        <f t="shared" si="0"/>
        <v>5430.16</v>
      </c>
    </row>
    <row r="52" spans="2:7" x14ac:dyDescent="0.25">
      <c r="B52" s="859">
        <v>8175</v>
      </c>
      <c r="C52" s="856" t="s">
        <v>2560</v>
      </c>
      <c r="D52" s="856">
        <v>-0.01</v>
      </c>
      <c r="F52" s="856">
        <f t="shared" si="0"/>
        <v>-0.01</v>
      </c>
    </row>
    <row r="53" spans="2:7" x14ac:dyDescent="0.25">
      <c r="B53" s="859">
        <v>8384</v>
      </c>
      <c r="C53" s="856" t="s">
        <v>2561</v>
      </c>
      <c r="D53" s="856">
        <v>0.1</v>
      </c>
      <c r="F53" s="856">
        <f t="shared" si="0"/>
        <v>0.1</v>
      </c>
    </row>
    <row r="54" spans="2:7" hidden="1" x14ac:dyDescent="0.25">
      <c r="B54" s="859">
        <v>8643</v>
      </c>
      <c r="C54" s="856" t="s">
        <v>2562</v>
      </c>
      <c r="D54" s="856">
        <v>0</v>
      </c>
      <c r="F54" s="856">
        <f t="shared" si="0"/>
        <v>0</v>
      </c>
    </row>
    <row r="55" spans="2:7" hidden="1" x14ac:dyDescent="0.25">
      <c r="B55" s="859">
        <v>8677</v>
      </c>
      <c r="C55" s="856" t="s">
        <v>2563</v>
      </c>
      <c r="D55" s="856">
        <v>0</v>
      </c>
      <c r="F55" s="856">
        <f t="shared" si="0"/>
        <v>0</v>
      </c>
    </row>
    <row r="56" spans="2:7" hidden="1" x14ac:dyDescent="0.25">
      <c r="B56" s="859">
        <v>8716</v>
      </c>
      <c r="C56" s="856" t="s">
        <v>2564</v>
      </c>
      <c r="D56" s="856">
        <v>0</v>
      </c>
      <c r="F56" s="856">
        <f t="shared" si="0"/>
        <v>0</v>
      </c>
    </row>
    <row r="57" spans="2:7" hidden="1" x14ac:dyDescent="0.25">
      <c r="B57" s="859">
        <v>8740</v>
      </c>
      <c r="C57" s="856" t="s">
        <v>2565</v>
      </c>
      <c r="D57" s="856">
        <v>0</v>
      </c>
      <c r="F57" s="856">
        <f t="shared" si="0"/>
        <v>0</v>
      </c>
    </row>
    <row r="58" spans="2:7" hidden="1" x14ac:dyDescent="0.25">
      <c r="B58" s="859">
        <v>8824</v>
      </c>
      <c r="C58" s="856" t="s">
        <v>2566</v>
      </c>
      <c r="D58" s="856">
        <v>0</v>
      </c>
      <c r="F58" s="856">
        <f t="shared" si="0"/>
        <v>0</v>
      </c>
    </row>
    <row r="59" spans="2:7" x14ac:dyDescent="0.25">
      <c r="B59" s="859">
        <v>8825</v>
      </c>
      <c r="C59" s="856" t="s">
        <v>2567</v>
      </c>
      <c r="D59" s="856">
        <v>-0.03</v>
      </c>
      <c r="F59" s="856">
        <f t="shared" si="0"/>
        <v>-0.03</v>
      </c>
    </row>
    <row r="60" spans="2:7" hidden="1" x14ac:dyDescent="0.25">
      <c r="B60" s="859">
        <v>8830</v>
      </c>
      <c r="C60" s="856" t="s">
        <v>2568</v>
      </c>
      <c r="D60" s="856">
        <v>0</v>
      </c>
      <c r="F60" s="856">
        <f t="shared" si="0"/>
        <v>0</v>
      </c>
    </row>
    <row r="61" spans="2:7" x14ac:dyDescent="0.25">
      <c r="B61" s="859">
        <v>8849</v>
      </c>
      <c r="C61" s="856" t="s">
        <v>2786</v>
      </c>
      <c r="D61" s="856">
        <v>-2976666.92</v>
      </c>
      <c r="E61" s="856">
        <v>0</v>
      </c>
      <c r="F61" s="856">
        <f>D61-E61</f>
        <v>-2976666.92</v>
      </c>
      <c r="G61" s="856" t="s">
        <v>2784</v>
      </c>
    </row>
    <row r="62" spans="2:7" hidden="1" x14ac:dyDescent="0.25">
      <c r="B62" s="859">
        <v>8850</v>
      </c>
      <c r="C62" s="856" t="s">
        <v>2569</v>
      </c>
      <c r="D62" s="856">
        <v>0</v>
      </c>
      <c r="F62" s="856">
        <f t="shared" si="0"/>
        <v>0</v>
      </c>
    </row>
    <row r="63" spans="2:7" x14ac:dyDescent="0.25">
      <c r="B63" s="859">
        <v>8964</v>
      </c>
      <c r="C63" s="856" t="s">
        <v>2570</v>
      </c>
      <c r="D63" s="856">
        <v>2251795.11</v>
      </c>
      <c r="E63" s="856">
        <v>-2251795.11</v>
      </c>
      <c r="F63" s="856">
        <f t="shared" si="0"/>
        <v>0</v>
      </c>
    </row>
    <row r="64" spans="2:7" hidden="1" x14ac:dyDescent="0.25">
      <c r="B64" s="859">
        <v>9043</v>
      </c>
      <c r="C64" s="856" t="s">
        <v>2571</v>
      </c>
      <c r="D64" s="856">
        <v>0</v>
      </c>
      <c r="F64" s="856">
        <f t="shared" si="0"/>
        <v>0</v>
      </c>
    </row>
    <row r="65" spans="2:6" hidden="1" x14ac:dyDescent="0.25">
      <c r="B65" s="859">
        <v>9076</v>
      </c>
      <c r="C65" s="856" t="s">
        <v>2572</v>
      </c>
      <c r="D65" s="856">
        <v>0</v>
      </c>
      <c r="F65" s="856">
        <f t="shared" si="0"/>
        <v>0</v>
      </c>
    </row>
    <row r="66" spans="2:6" hidden="1" x14ac:dyDescent="0.25">
      <c r="B66" s="859">
        <v>9095</v>
      </c>
      <c r="C66" s="856" t="s">
        <v>2573</v>
      </c>
      <c r="D66" s="856">
        <v>0</v>
      </c>
      <c r="F66" s="856">
        <f t="shared" si="0"/>
        <v>0</v>
      </c>
    </row>
    <row r="67" spans="2:6" hidden="1" x14ac:dyDescent="0.25">
      <c r="B67" s="859">
        <v>9129</v>
      </c>
      <c r="C67" s="856" t="s">
        <v>2574</v>
      </c>
      <c r="D67" s="856">
        <v>0</v>
      </c>
      <c r="F67" s="856">
        <f t="shared" si="0"/>
        <v>0</v>
      </c>
    </row>
    <row r="68" spans="2:6" hidden="1" x14ac:dyDescent="0.25">
      <c r="B68" s="859">
        <v>9279</v>
      </c>
      <c r="C68" s="856" t="s">
        <v>2575</v>
      </c>
      <c r="D68" s="856">
        <v>0</v>
      </c>
      <c r="F68" s="856">
        <f t="shared" si="0"/>
        <v>0</v>
      </c>
    </row>
    <row r="69" spans="2:6" x14ac:dyDescent="0.25">
      <c r="B69" s="859">
        <v>9346</v>
      </c>
      <c r="C69" s="856" t="s">
        <v>2576</v>
      </c>
      <c r="D69" s="856">
        <v>-1750</v>
      </c>
      <c r="F69" s="856">
        <f t="shared" si="0"/>
        <v>-1750</v>
      </c>
    </row>
    <row r="70" spans="2:6" x14ac:dyDescent="0.25">
      <c r="B70" s="859">
        <v>9379</v>
      </c>
      <c r="C70" s="856" t="s">
        <v>2577</v>
      </c>
      <c r="D70" s="856">
        <v>275892.84999999998</v>
      </c>
      <c r="F70" s="856">
        <f t="shared" si="0"/>
        <v>275892.84999999998</v>
      </c>
    </row>
    <row r="71" spans="2:6" x14ac:dyDescent="0.25">
      <c r="B71" s="859">
        <v>9417</v>
      </c>
      <c r="C71" s="856" t="s">
        <v>2578</v>
      </c>
      <c r="D71" s="856">
        <v>444583.6</v>
      </c>
      <c r="F71" s="856">
        <f t="shared" si="0"/>
        <v>444583.6</v>
      </c>
    </row>
    <row r="72" spans="2:6" x14ac:dyDescent="0.25">
      <c r="B72" s="859">
        <v>9426</v>
      </c>
      <c r="C72" s="856" t="s">
        <v>2579</v>
      </c>
      <c r="D72" s="856">
        <v>-0.54</v>
      </c>
      <c r="F72" s="856">
        <f t="shared" si="0"/>
        <v>-0.54</v>
      </c>
    </row>
    <row r="73" spans="2:6" x14ac:dyDescent="0.25">
      <c r="B73" s="859">
        <v>9439</v>
      </c>
      <c r="C73" s="856" t="s">
        <v>2580</v>
      </c>
      <c r="D73" s="856">
        <v>-2271.5</v>
      </c>
      <c r="F73" s="856">
        <f t="shared" si="0"/>
        <v>-2271.5</v>
      </c>
    </row>
    <row r="74" spans="2:6" hidden="1" x14ac:dyDescent="0.25">
      <c r="B74" s="859">
        <v>9462</v>
      </c>
      <c r="C74" s="856" t="s">
        <v>2581</v>
      </c>
      <c r="D74" s="856">
        <v>0</v>
      </c>
      <c r="F74" s="856">
        <f t="shared" ref="F74:F88" si="1">SUM(D74:E74)</f>
        <v>0</v>
      </c>
    </row>
    <row r="75" spans="2:6" hidden="1" x14ac:dyDescent="0.25">
      <c r="B75" s="859">
        <v>9477</v>
      </c>
      <c r="C75" s="856" t="s">
        <v>2582</v>
      </c>
      <c r="D75" s="856">
        <v>0</v>
      </c>
      <c r="F75" s="856">
        <f t="shared" si="1"/>
        <v>0</v>
      </c>
    </row>
    <row r="76" spans="2:6" x14ac:dyDescent="0.25">
      <c r="B76" s="859">
        <v>9490</v>
      </c>
      <c r="C76" s="856" t="s">
        <v>2583</v>
      </c>
      <c r="D76" s="856">
        <v>69897.59</v>
      </c>
      <c r="F76" s="856">
        <f t="shared" si="1"/>
        <v>69897.59</v>
      </c>
    </row>
    <row r="77" spans="2:6" hidden="1" x14ac:dyDescent="0.25">
      <c r="B77" s="859">
        <v>9491</v>
      </c>
      <c r="C77" s="856" t="s">
        <v>2584</v>
      </c>
      <c r="D77" s="856">
        <v>0</v>
      </c>
      <c r="F77" s="856">
        <f t="shared" si="1"/>
        <v>0</v>
      </c>
    </row>
    <row r="78" spans="2:6" hidden="1" x14ac:dyDescent="0.25">
      <c r="B78" s="859">
        <v>9507</v>
      </c>
      <c r="C78" s="856" t="s">
        <v>2585</v>
      </c>
      <c r="D78" s="856">
        <v>0</v>
      </c>
      <c r="F78" s="856">
        <f t="shared" si="1"/>
        <v>0</v>
      </c>
    </row>
    <row r="79" spans="2:6" x14ac:dyDescent="0.25">
      <c r="B79" s="859">
        <v>9510</v>
      </c>
      <c r="C79" s="856" t="s">
        <v>2586</v>
      </c>
      <c r="D79" s="856">
        <v>69897.600000000006</v>
      </c>
      <c r="F79" s="856">
        <f t="shared" si="1"/>
        <v>69897.600000000006</v>
      </c>
    </row>
    <row r="80" spans="2:6" hidden="1" x14ac:dyDescent="0.25">
      <c r="B80" s="859">
        <v>9523</v>
      </c>
      <c r="C80" s="856" t="s">
        <v>2587</v>
      </c>
      <c r="D80" s="856">
        <v>0</v>
      </c>
      <c r="F80" s="856">
        <f t="shared" si="1"/>
        <v>0</v>
      </c>
    </row>
    <row r="81" spans="1:7" x14ac:dyDescent="0.25">
      <c r="B81" s="859">
        <v>9560</v>
      </c>
      <c r="C81" s="856" t="s">
        <v>2588</v>
      </c>
      <c r="D81" s="856">
        <v>0.01</v>
      </c>
      <c r="F81" s="856">
        <f t="shared" si="1"/>
        <v>0.01</v>
      </c>
    </row>
    <row r="82" spans="1:7" x14ac:dyDescent="0.25">
      <c r="B82" s="859">
        <v>9567</v>
      </c>
      <c r="C82" s="856" t="s">
        <v>2589</v>
      </c>
      <c r="D82" s="856">
        <v>815610</v>
      </c>
      <c r="F82" s="856">
        <f t="shared" si="1"/>
        <v>815610</v>
      </c>
    </row>
    <row r="83" spans="1:7" x14ac:dyDescent="0.25">
      <c r="B83" s="859">
        <v>9627</v>
      </c>
      <c r="C83" s="856" t="s">
        <v>2590</v>
      </c>
      <c r="D83" s="856">
        <v>3190240</v>
      </c>
      <c r="F83" s="856">
        <f t="shared" si="1"/>
        <v>3190240</v>
      </c>
    </row>
    <row r="84" spans="1:7" x14ac:dyDescent="0.25">
      <c r="B84" s="859">
        <v>9591</v>
      </c>
      <c r="C84" s="856" t="s">
        <v>2787</v>
      </c>
      <c r="D84" s="856">
        <v>-2138187.2999999998</v>
      </c>
      <c r="E84" s="856">
        <v>0</v>
      </c>
      <c r="F84" s="856">
        <f t="shared" si="1"/>
        <v>-2138187.2999999998</v>
      </c>
      <c r="G84" s="856" t="s">
        <v>2784</v>
      </c>
    </row>
    <row r="85" spans="1:7" hidden="1" x14ac:dyDescent="0.25">
      <c r="B85" s="859">
        <v>9633</v>
      </c>
      <c r="C85" s="856" t="s">
        <v>2591</v>
      </c>
      <c r="D85" s="856">
        <v>0</v>
      </c>
      <c r="F85" s="856">
        <f t="shared" si="1"/>
        <v>0</v>
      </c>
    </row>
    <row r="86" spans="1:7" hidden="1" x14ac:dyDescent="0.25">
      <c r="B86" s="859">
        <v>9658</v>
      </c>
      <c r="C86" s="856" t="s">
        <v>2592</v>
      </c>
      <c r="D86" s="856">
        <v>0</v>
      </c>
      <c r="F86" s="856">
        <f t="shared" si="1"/>
        <v>0</v>
      </c>
    </row>
    <row r="87" spans="1:7" hidden="1" x14ac:dyDescent="0.25">
      <c r="B87" s="859">
        <v>9692</v>
      </c>
      <c r="C87" s="856" t="s">
        <v>2593</v>
      </c>
      <c r="D87" s="856">
        <v>0</v>
      </c>
      <c r="F87" s="856">
        <f t="shared" si="1"/>
        <v>0</v>
      </c>
    </row>
    <row r="88" spans="1:7" ht="15.75" thickBot="1" x14ac:dyDescent="0.3">
      <c r="B88" s="859">
        <v>9693</v>
      </c>
      <c r="C88" s="856" t="s">
        <v>2594</v>
      </c>
      <c r="D88" s="856">
        <v>594894</v>
      </c>
      <c r="F88" s="856">
        <f t="shared" si="1"/>
        <v>594894</v>
      </c>
    </row>
    <row r="89" spans="1:7" ht="15.75" thickBot="1" x14ac:dyDescent="0.3">
      <c r="B89" s="862" t="s">
        <v>671</v>
      </c>
      <c r="C89" s="863"/>
      <c r="D89" s="863">
        <f>SUM(D7:D88)</f>
        <v>59043760.490000002</v>
      </c>
      <c r="E89" s="863">
        <f>SUM(E7:E88)</f>
        <v>-31871912.260000002</v>
      </c>
      <c r="F89" s="864">
        <f>SUM(F7:F88)</f>
        <v>27171848.23</v>
      </c>
    </row>
    <row r="93" spans="1:7" ht="15.75" thickBot="1" x14ac:dyDescent="0.3">
      <c r="A93" s="994"/>
      <c r="B93" s="994"/>
      <c r="C93" s="994"/>
    </row>
    <row r="94" spans="1:7" ht="45.75" thickBot="1" x14ac:dyDescent="0.3">
      <c r="B94" s="865" t="s">
        <v>856</v>
      </c>
      <c r="C94" s="857" t="s">
        <v>53</v>
      </c>
      <c r="D94" s="858" t="s">
        <v>2595</v>
      </c>
      <c r="E94" s="857" t="s">
        <v>2522</v>
      </c>
      <c r="F94" s="866" t="s">
        <v>1601</v>
      </c>
    </row>
    <row r="95" spans="1:7" x14ac:dyDescent="0.25">
      <c r="A95" s="64"/>
      <c r="B95" s="64">
        <v>5045</v>
      </c>
      <c r="C95" s="64" t="s">
        <v>1625</v>
      </c>
      <c r="D95" s="856">
        <v>0.3</v>
      </c>
    </row>
    <row r="96" spans="1:7" x14ac:dyDescent="0.25">
      <c r="A96" s="64"/>
      <c r="B96" s="64">
        <v>5161</v>
      </c>
      <c r="C96" s="64" t="s">
        <v>1626</v>
      </c>
      <c r="D96" s="856">
        <v>0</v>
      </c>
    </row>
    <row r="97" spans="1:9" x14ac:dyDescent="0.25">
      <c r="A97" s="64"/>
      <c r="B97" s="64">
        <v>5193</v>
      </c>
      <c r="C97" s="64" t="s">
        <v>1627</v>
      </c>
      <c r="D97" s="856">
        <v>0</v>
      </c>
      <c r="E97" s="856">
        <v>0</v>
      </c>
    </row>
    <row r="98" spans="1:9" ht="15.75" thickBot="1" x14ac:dyDescent="0.3">
      <c r="A98" s="64"/>
      <c r="B98" s="64">
        <v>5363</v>
      </c>
      <c r="C98" s="64" t="s">
        <v>1630</v>
      </c>
      <c r="D98" s="856">
        <v>0</v>
      </c>
    </row>
    <row r="99" spans="1:9" ht="15.75" thickBot="1" x14ac:dyDescent="0.3">
      <c r="A99" s="64"/>
      <c r="B99" s="862" t="s">
        <v>671</v>
      </c>
      <c r="C99" s="867"/>
      <c r="D99" s="863">
        <f>SUM(D95:D98)</f>
        <v>0.3</v>
      </c>
      <c r="E99" s="863"/>
      <c r="F99" s="864"/>
    </row>
    <row r="100" spans="1:9" x14ac:dyDescent="0.25">
      <c r="A100" s="64"/>
      <c r="B100" s="64"/>
      <c r="C100" s="64"/>
    </row>
    <row r="101" spans="1:9" ht="15.75" thickBot="1" x14ac:dyDescent="0.3">
      <c r="A101" s="995"/>
      <c r="B101" s="995"/>
      <c r="C101" s="995"/>
      <c r="E101" s="855"/>
    </row>
    <row r="102" spans="1:9" ht="45.75" thickBot="1" x14ac:dyDescent="0.3">
      <c r="A102" s="64"/>
      <c r="B102" s="868" t="s">
        <v>856</v>
      </c>
      <c r="C102" s="869" t="s">
        <v>53</v>
      </c>
      <c r="D102" s="858" t="s">
        <v>2596</v>
      </c>
      <c r="E102" s="858" t="s">
        <v>2597</v>
      </c>
      <c r="F102" s="866" t="s">
        <v>1601</v>
      </c>
      <c r="H102" s="856" t="s">
        <v>2789</v>
      </c>
    </row>
    <row r="103" spans="1:9" x14ac:dyDescent="0.25">
      <c r="A103" s="64"/>
      <c r="B103" s="64">
        <v>5055</v>
      </c>
      <c r="C103" s="64" t="s">
        <v>2598</v>
      </c>
      <c r="D103" s="856">
        <v>442668.42</v>
      </c>
      <c r="E103" s="856">
        <v>-442668.42</v>
      </c>
      <c r="F103" s="856">
        <f t="shared" ref="F103:F125" si="2">SUM(D103:E103)</f>
        <v>0</v>
      </c>
      <c r="H103" s="856">
        <v>443630.22</v>
      </c>
      <c r="I103" s="856" t="s">
        <v>2790</v>
      </c>
    </row>
    <row r="104" spans="1:9" x14ac:dyDescent="0.25">
      <c r="A104" s="64"/>
      <c r="B104" s="64">
        <v>5113</v>
      </c>
      <c r="C104" s="64" t="s">
        <v>2599</v>
      </c>
      <c r="D104" s="856">
        <v>163141483.61000001</v>
      </c>
      <c r="E104" s="856">
        <v>-107853976.59</v>
      </c>
      <c r="F104" s="856">
        <f t="shared" si="2"/>
        <v>55287507.020000011</v>
      </c>
    </row>
    <row r="105" spans="1:9" x14ac:dyDescent="0.25">
      <c r="A105" s="64"/>
      <c r="B105" s="64">
        <v>5561</v>
      </c>
      <c r="C105" s="64" t="s">
        <v>2600</v>
      </c>
      <c r="D105" s="856">
        <v>615.6</v>
      </c>
      <c r="E105" s="856">
        <v>-615.6</v>
      </c>
      <c r="F105" s="856">
        <f t="shared" si="2"/>
        <v>0</v>
      </c>
      <c r="H105" s="856">
        <v>2341.64</v>
      </c>
    </row>
    <row r="106" spans="1:9" x14ac:dyDescent="0.25">
      <c r="A106" s="64"/>
      <c r="B106" s="64">
        <v>8090</v>
      </c>
      <c r="C106" s="64" t="s">
        <v>2601</v>
      </c>
      <c r="D106" s="856">
        <v>32292957.899999999</v>
      </c>
      <c r="E106" s="856">
        <v>-32292957.899999999</v>
      </c>
      <c r="F106" s="856">
        <f t="shared" si="2"/>
        <v>0</v>
      </c>
      <c r="H106" s="856">
        <v>50909356.719999999</v>
      </c>
      <c r="I106" s="856" t="s">
        <v>2602</v>
      </c>
    </row>
    <row r="107" spans="1:9" x14ac:dyDescent="0.25">
      <c r="A107" s="64"/>
      <c r="B107" s="64">
        <v>5042</v>
      </c>
      <c r="C107" s="64" t="s">
        <v>2556</v>
      </c>
      <c r="D107" s="856">
        <v>18091719.52</v>
      </c>
      <c r="E107" s="856">
        <v>-3545503.21</v>
      </c>
      <c r="F107" s="856">
        <f t="shared" si="2"/>
        <v>14546216.309999999</v>
      </c>
    </row>
    <row r="108" spans="1:9" x14ac:dyDescent="0.25">
      <c r="A108" s="64"/>
      <c r="B108" s="64">
        <v>5043</v>
      </c>
      <c r="C108" s="64" t="s">
        <v>2603</v>
      </c>
      <c r="D108" s="856">
        <v>24633661.52</v>
      </c>
      <c r="E108" s="856">
        <v>-19754249.800000001</v>
      </c>
      <c r="F108" s="856">
        <f t="shared" si="2"/>
        <v>4879411.7199999988</v>
      </c>
    </row>
    <row r="109" spans="1:9" x14ac:dyDescent="0.25">
      <c r="A109" s="64"/>
      <c r="B109" s="64">
        <v>5124</v>
      </c>
      <c r="C109" s="64" t="s">
        <v>2527</v>
      </c>
      <c r="D109" s="856">
        <v>2963.3</v>
      </c>
      <c r="E109" s="856">
        <v>-2870.7</v>
      </c>
      <c r="F109" s="856">
        <f t="shared" si="2"/>
        <v>92.600000000000364</v>
      </c>
      <c r="H109" s="856">
        <v>27210.639999999999</v>
      </c>
    </row>
    <row r="110" spans="1:9" x14ac:dyDescent="0.25">
      <c r="A110" s="64"/>
      <c r="B110" s="64">
        <v>5176</v>
      </c>
      <c r="C110" s="64" t="s">
        <v>2528</v>
      </c>
      <c r="D110" s="856">
        <v>5324.63</v>
      </c>
      <c r="E110" s="856">
        <v>0</v>
      </c>
      <c r="F110" s="856">
        <f t="shared" si="2"/>
        <v>5324.63</v>
      </c>
    </row>
    <row r="111" spans="1:9" x14ac:dyDescent="0.25">
      <c r="A111" s="64"/>
      <c r="B111" s="64">
        <v>5207</v>
      </c>
      <c r="C111" s="64" t="s">
        <v>2529</v>
      </c>
      <c r="D111" s="856">
        <v>279975.28000000003</v>
      </c>
      <c r="E111" s="856">
        <v>0</v>
      </c>
      <c r="F111" s="856">
        <f t="shared" si="2"/>
        <v>279975.28000000003</v>
      </c>
    </row>
    <row r="112" spans="1:9" x14ac:dyDescent="0.25">
      <c r="A112" s="64"/>
      <c r="B112" s="64">
        <v>5322</v>
      </c>
      <c r="C112" s="64" t="s">
        <v>2557</v>
      </c>
      <c r="D112" s="856">
        <v>209097.98</v>
      </c>
      <c r="E112" s="856">
        <v>-12499.93</v>
      </c>
      <c r="F112" s="856">
        <f t="shared" si="2"/>
        <v>196598.05000000002</v>
      </c>
    </row>
    <row r="113" spans="1:6" x14ac:dyDescent="0.25">
      <c r="A113" s="64"/>
      <c r="B113" s="64">
        <v>5353</v>
      </c>
      <c r="C113" s="64" t="s">
        <v>2531</v>
      </c>
      <c r="D113" s="856">
        <v>1026932.07</v>
      </c>
      <c r="E113" s="856">
        <v>-831171.23</v>
      </c>
      <c r="F113" s="856">
        <f t="shared" si="2"/>
        <v>195760.83999999997</v>
      </c>
    </row>
    <row r="114" spans="1:6" x14ac:dyDescent="0.25">
      <c r="A114" s="64"/>
      <c r="B114" s="64">
        <v>5425</v>
      </c>
      <c r="C114" s="64" t="s">
        <v>2558</v>
      </c>
      <c r="D114" s="856">
        <v>2754</v>
      </c>
      <c r="E114" s="856">
        <v>0</v>
      </c>
      <c r="F114" s="856">
        <f t="shared" si="2"/>
        <v>2754</v>
      </c>
    </row>
    <row r="115" spans="1:6" x14ac:dyDescent="0.25">
      <c r="A115" s="64"/>
      <c r="B115" s="64">
        <v>5451</v>
      </c>
      <c r="C115" s="64" t="s">
        <v>2559</v>
      </c>
      <c r="D115" s="856">
        <v>3305.34</v>
      </c>
      <c r="E115" s="856">
        <v>0</v>
      </c>
      <c r="F115" s="856">
        <f t="shared" si="2"/>
        <v>3305.34</v>
      </c>
    </row>
    <row r="116" spans="1:6" x14ac:dyDescent="0.25">
      <c r="A116" s="64"/>
      <c r="B116" s="64">
        <v>5514</v>
      </c>
      <c r="C116" s="64" t="s">
        <v>1616</v>
      </c>
      <c r="D116" s="856">
        <v>1533562.24</v>
      </c>
      <c r="E116" s="856">
        <v>0</v>
      </c>
      <c r="F116" s="856">
        <f t="shared" si="2"/>
        <v>1533562.24</v>
      </c>
    </row>
    <row r="117" spans="1:6" x14ac:dyDescent="0.25">
      <c r="A117" s="64"/>
      <c r="B117" s="64">
        <v>5755</v>
      </c>
      <c r="C117" s="64" t="s">
        <v>2538</v>
      </c>
      <c r="D117" s="856">
        <v>449.54</v>
      </c>
      <c r="E117" s="856">
        <v>0</v>
      </c>
      <c r="F117" s="856">
        <f t="shared" si="2"/>
        <v>449.54</v>
      </c>
    </row>
    <row r="118" spans="1:6" x14ac:dyDescent="0.25">
      <c r="A118" s="64"/>
      <c r="B118" s="64">
        <v>8229</v>
      </c>
      <c r="C118" s="64" t="s">
        <v>2545</v>
      </c>
      <c r="D118" s="856">
        <v>9877.66</v>
      </c>
      <c r="E118" s="856">
        <v>0</v>
      </c>
      <c r="F118" s="856">
        <f t="shared" si="2"/>
        <v>9877.66</v>
      </c>
    </row>
    <row r="119" spans="1:6" x14ac:dyDescent="0.25">
      <c r="A119" s="64"/>
      <c r="B119" s="64">
        <v>8462</v>
      </c>
      <c r="C119" s="64" t="s">
        <v>2549</v>
      </c>
      <c r="D119" s="856">
        <v>55746.67</v>
      </c>
      <c r="E119" s="856">
        <v>0</v>
      </c>
      <c r="F119" s="856">
        <f t="shared" si="2"/>
        <v>55746.67</v>
      </c>
    </row>
    <row r="120" spans="1:6" x14ac:dyDescent="0.25">
      <c r="A120" s="64"/>
      <c r="B120" s="64">
        <v>8701</v>
      </c>
      <c r="C120" s="64" t="s">
        <v>2604</v>
      </c>
      <c r="D120" s="856">
        <v>17825</v>
      </c>
      <c r="E120" s="856">
        <v>0</v>
      </c>
      <c r="F120" s="856">
        <f t="shared" si="2"/>
        <v>17825</v>
      </c>
    </row>
    <row r="121" spans="1:6" x14ac:dyDescent="0.25">
      <c r="A121" s="64"/>
      <c r="B121" s="64">
        <v>8702</v>
      </c>
      <c r="C121" s="64" t="s">
        <v>2605</v>
      </c>
      <c r="D121" s="856">
        <v>-13334.76</v>
      </c>
      <c r="E121" s="856">
        <v>0</v>
      </c>
      <c r="F121" s="856">
        <f t="shared" si="2"/>
        <v>-13334.76</v>
      </c>
    </row>
    <row r="122" spans="1:6" x14ac:dyDescent="0.25">
      <c r="A122" s="64"/>
      <c r="B122" s="64">
        <v>8824</v>
      </c>
      <c r="C122" s="64" t="s">
        <v>2566</v>
      </c>
      <c r="D122" s="856">
        <v>27780.720000000001</v>
      </c>
      <c r="E122" s="856">
        <v>0</v>
      </c>
      <c r="F122" s="856">
        <f t="shared" si="2"/>
        <v>27780.720000000001</v>
      </c>
    </row>
    <row r="123" spans="1:6" x14ac:dyDescent="0.25">
      <c r="A123" s="64"/>
      <c r="B123" s="64">
        <v>8887</v>
      </c>
      <c r="C123" s="64" t="s">
        <v>2606</v>
      </c>
      <c r="D123" s="856">
        <v>0</v>
      </c>
      <c r="E123" s="856">
        <v>0</v>
      </c>
      <c r="F123" s="856">
        <f t="shared" si="2"/>
        <v>0</v>
      </c>
    </row>
    <row r="124" spans="1:6" x14ac:dyDescent="0.25">
      <c r="A124" s="64"/>
      <c r="B124" s="64">
        <v>9082</v>
      </c>
      <c r="C124" s="64" t="s">
        <v>2607</v>
      </c>
      <c r="D124" s="856">
        <v>0</v>
      </c>
      <c r="E124" s="856">
        <v>0</v>
      </c>
      <c r="F124" s="856">
        <f t="shared" si="2"/>
        <v>0</v>
      </c>
    </row>
    <row r="125" spans="1:6" ht="15.75" thickBot="1" x14ac:dyDescent="0.3">
      <c r="A125" s="64"/>
      <c r="B125" s="64">
        <v>9439</v>
      </c>
      <c r="C125" s="64" t="s">
        <v>2580</v>
      </c>
      <c r="D125" s="856">
        <v>-3713.16</v>
      </c>
      <c r="E125" s="856">
        <v>0</v>
      </c>
      <c r="F125" s="856">
        <f t="shared" si="2"/>
        <v>-3713.16</v>
      </c>
    </row>
    <row r="126" spans="1:6" ht="15.75" thickBot="1" x14ac:dyDescent="0.3">
      <c r="A126" s="64"/>
      <c r="B126" s="870" t="s">
        <v>671</v>
      </c>
      <c r="C126" s="871"/>
      <c r="D126" s="872">
        <f>SUM(D103:D125)</f>
        <v>241761653.08000001</v>
      </c>
      <c r="E126" s="872">
        <f>SUM(E103:E125)</f>
        <v>-164736513.38</v>
      </c>
      <c r="F126" s="873">
        <f>SUM(F103:F125)</f>
        <v>77025139.700000003</v>
      </c>
    </row>
    <row r="127" spans="1:6" x14ac:dyDescent="0.25">
      <c r="A127" s="64"/>
      <c r="B127" s="874"/>
      <c r="C127" s="64"/>
      <c r="E127" s="855"/>
    </row>
    <row r="128" spans="1:6" x14ac:dyDescent="0.25">
      <c r="A128" s="64"/>
      <c r="B128" s="874"/>
      <c r="C128" s="64"/>
      <c r="E128" s="855"/>
    </row>
    <row r="129" spans="1:6" x14ac:dyDescent="0.25">
      <c r="A129" s="64"/>
      <c r="B129" s="64"/>
      <c r="C129" s="64"/>
    </row>
    <row r="130" spans="1:6" ht="15.75" thickBot="1" x14ac:dyDescent="0.3">
      <c r="A130" s="995"/>
      <c r="B130" s="995"/>
      <c r="C130" s="995"/>
      <c r="E130" s="855"/>
    </row>
    <row r="131" spans="1:6" ht="45.75" thickBot="1" x14ac:dyDescent="0.3">
      <c r="A131" s="64"/>
      <c r="B131" s="868" t="s">
        <v>856</v>
      </c>
      <c r="C131" s="869" t="s">
        <v>53</v>
      </c>
      <c r="D131" s="858" t="s">
        <v>2608</v>
      </c>
      <c r="E131" s="858" t="s">
        <v>2597</v>
      </c>
      <c r="F131" s="866" t="s">
        <v>1601</v>
      </c>
    </row>
    <row r="132" spans="1:6" x14ac:dyDescent="0.25">
      <c r="A132" s="64"/>
      <c r="B132" s="64">
        <v>18</v>
      </c>
      <c r="C132" s="64" t="s">
        <v>2609</v>
      </c>
      <c r="D132" s="856">
        <v>5349.16</v>
      </c>
      <c r="E132" s="856">
        <v>-5349.16</v>
      </c>
      <c r="F132" s="856">
        <f t="shared" ref="F132:F195" si="3">SUM(D132:E132)</f>
        <v>0</v>
      </c>
    </row>
    <row r="133" spans="1:6" x14ac:dyDescent="0.25">
      <c r="A133" s="64"/>
      <c r="B133" s="64">
        <v>30</v>
      </c>
      <c r="C133" s="64" t="s">
        <v>2610</v>
      </c>
      <c r="D133" s="856">
        <v>5685.1</v>
      </c>
      <c r="E133" s="856">
        <v>-5685.1</v>
      </c>
      <c r="F133" s="856">
        <f t="shared" si="3"/>
        <v>0</v>
      </c>
    </row>
    <row r="134" spans="1:6" x14ac:dyDescent="0.25">
      <c r="A134" s="64"/>
      <c r="B134" s="64">
        <v>47</v>
      </c>
      <c r="C134" s="64" t="s">
        <v>2611</v>
      </c>
      <c r="D134" s="856">
        <v>5808.33</v>
      </c>
      <c r="E134" s="856">
        <v>-5808.33</v>
      </c>
      <c r="F134" s="856">
        <f t="shared" si="3"/>
        <v>0</v>
      </c>
    </row>
    <row r="135" spans="1:6" x14ac:dyDescent="0.25">
      <c r="A135" s="64"/>
      <c r="B135" s="64">
        <v>60</v>
      </c>
      <c r="C135" s="64" t="s">
        <v>2612</v>
      </c>
      <c r="D135" s="856">
        <v>2261.63</v>
      </c>
      <c r="E135" s="856">
        <v>-2261.63</v>
      </c>
      <c r="F135" s="856">
        <f t="shared" si="3"/>
        <v>0</v>
      </c>
    </row>
    <row r="136" spans="1:6" x14ac:dyDescent="0.25">
      <c r="A136" s="64"/>
      <c r="B136" s="64">
        <v>75</v>
      </c>
      <c r="C136" s="64" t="s">
        <v>2613</v>
      </c>
      <c r="D136" s="856">
        <v>2923.45</v>
      </c>
      <c r="E136" s="856">
        <v>-2923.45</v>
      </c>
      <c r="F136" s="856">
        <f t="shared" si="3"/>
        <v>0</v>
      </c>
    </row>
    <row r="137" spans="1:6" x14ac:dyDescent="0.25">
      <c r="A137" s="64"/>
      <c r="B137" s="64">
        <v>99</v>
      </c>
      <c r="C137" s="64" t="s">
        <v>2614</v>
      </c>
      <c r="D137" s="856">
        <v>2448.92</v>
      </c>
      <c r="E137" s="856">
        <v>-2448.92</v>
      </c>
      <c r="F137" s="856">
        <f t="shared" si="3"/>
        <v>0</v>
      </c>
    </row>
    <row r="138" spans="1:6" x14ac:dyDescent="0.25">
      <c r="A138" s="64"/>
      <c r="B138" s="64">
        <v>122</v>
      </c>
      <c r="C138" s="64" t="s">
        <v>2615</v>
      </c>
      <c r="D138" s="856">
        <v>641.41999999999996</v>
      </c>
      <c r="E138" s="856">
        <v>-641.41999999999996</v>
      </c>
      <c r="F138" s="856">
        <f t="shared" si="3"/>
        <v>0</v>
      </c>
    </row>
    <row r="139" spans="1:6" x14ac:dyDescent="0.25">
      <c r="A139" s="64"/>
      <c r="B139" s="64">
        <v>124</v>
      </c>
      <c r="C139" s="64" t="s">
        <v>2616</v>
      </c>
      <c r="D139" s="856">
        <v>7179.13</v>
      </c>
      <c r="E139" s="856">
        <v>-7179.13</v>
      </c>
      <c r="F139" s="856">
        <f t="shared" si="3"/>
        <v>0</v>
      </c>
    </row>
    <row r="140" spans="1:6" x14ac:dyDescent="0.25">
      <c r="A140" s="64"/>
      <c r="B140" s="64">
        <v>158</v>
      </c>
      <c r="C140" s="64" t="s">
        <v>2617</v>
      </c>
      <c r="D140" s="856">
        <v>9325.1200000000008</v>
      </c>
      <c r="E140" s="856">
        <v>0</v>
      </c>
      <c r="F140" s="856">
        <f t="shared" si="3"/>
        <v>9325.1200000000008</v>
      </c>
    </row>
    <row r="141" spans="1:6" x14ac:dyDescent="0.25">
      <c r="A141" s="64"/>
      <c r="B141" s="64">
        <v>164</v>
      </c>
      <c r="C141" s="64" t="s">
        <v>2618</v>
      </c>
      <c r="D141" s="856">
        <v>1343.48</v>
      </c>
      <c r="E141" s="856">
        <v>-1343.48</v>
      </c>
      <c r="F141" s="856">
        <f t="shared" si="3"/>
        <v>0</v>
      </c>
    </row>
    <row r="142" spans="1:6" x14ac:dyDescent="0.25">
      <c r="A142" s="64"/>
      <c r="B142" s="64">
        <v>170</v>
      </c>
      <c r="C142" s="64" t="s">
        <v>2619</v>
      </c>
      <c r="D142" s="856">
        <v>3662.45</v>
      </c>
      <c r="E142" s="856">
        <v>-3662.45</v>
      </c>
      <c r="F142" s="856">
        <f t="shared" si="3"/>
        <v>0</v>
      </c>
    </row>
    <row r="143" spans="1:6" x14ac:dyDescent="0.25">
      <c r="A143" s="64"/>
      <c r="B143" s="64">
        <v>173</v>
      </c>
      <c r="C143" s="64" t="s">
        <v>2620</v>
      </c>
      <c r="D143" s="856">
        <v>3351.39</v>
      </c>
      <c r="E143" s="856">
        <v>-3351.39</v>
      </c>
      <c r="F143" s="856">
        <f t="shared" si="3"/>
        <v>0</v>
      </c>
    </row>
    <row r="144" spans="1:6" x14ac:dyDescent="0.25">
      <c r="A144" s="64"/>
      <c r="B144" s="64">
        <v>175</v>
      </c>
      <c r="C144" s="64" t="s">
        <v>2621</v>
      </c>
      <c r="D144" s="856">
        <v>6175.54</v>
      </c>
      <c r="E144" s="856">
        <v>-6175.54</v>
      </c>
      <c r="F144" s="856">
        <f t="shared" si="3"/>
        <v>0</v>
      </c>
    </row>
    <row r="145" spans="1:6" x14ac:dyDescent="0.25">
      <c r="A145" s="64"/>
      <c r="B145" s="64">
        <v>180</v>
      </c>
      <c r="C145" s="64" t="s">
        <v>2622</v>
      </c>
      <c r="D145" s="856">
        <v>272.07</v>
      </c>
      <c r="E145" s="856">
        <v>-272.07</v>
      </c>
      <c r="F145" s="856">
        <f t="shared" si="3"/>
        <v>0</v>
      </c>
    </row>
    <row r="146" spans="1:6" x14ac:dyDescent="0.25">
      <c r="A146" s="64"/>
      <c r="B146" s="64">
        <v>189</v>
      </c>
      <c r="C146" s="64" t="s">
        <v>2623</v>
      </c>
      <c r="D146" s="856">
        <v>1250.49</v>
      </c>
      <c r="E146" s="856">
        <v>0</v>
      </c>
      <c r="F146" s="856">
        <f t="shared" si="3"/>
        <v>1250.49</v>
      </c>
    </row>
    <row r="147" spans="1:6" x14ac:dyDescent="0.25">
      <c r="A147" s="64"/>
      <c r="B147" s="64">
        <v>191</v>
      </c>
      <c r="C147" s="64" t="s">
        <v>2624</v>
      </c>
      <c r="D147" s="856">
        <v>7809.99</v>
      </c>
      <c r="E147" s="856">
        <v>-7809.99</v>
      </c>
      <c r="F147" s="856">
        <f t="shared" si="3"/>
        <v>0</v>
      </c>
    </row>
    <row r="148" spans="1:6" x14ac:dyDescent="0.25">
      <c r="A148" s="64"/>
      <c r="B148" s="64">
        <v>195</v>
      </c>
      <c r="C148" s="64" t="s">
        <v>2625</v>
      </c>
      <c r="D148" s="856">
        <v>3946.28</v>
      </c>
      <c r="E148" s="856">
        <v>-3946.28</v>
      </c>
      <c r="F148" s="856">
        <f t="shared" si="3"/>
        <v>0</v>
      </c>
    </row>
    <row r="149" spans="1:6" x14ac:dyDescent="0.25">
      <c r="A149" s="64"/>
      <c r="B149" s="64">
        <v>196</v>
      </c>
      <c r="C149" s="64" t="s">
        <v>2626</v>
      </c>
      <c r="D149" s="856">
        <v>3551.02</v>
      </c>
      <c r="E149" s="856">
        <v>-3551.02</v>
      </c>
      <c r="F149" s="856">
        <f t="shared" si="3"/>
        <v>0</v>
      </c>
    </row>
    <row r="150" spans="1:6" x14ac:dyDescent="0.25">
      <c r="A150" s="64"/>
      <c r="B150" s="64">
        <v>204</v>
      </c>
      <c r="C150" s="64" t="s">
        <v>2627</v>
      </c>
      <c r="D150" s="856">
        <v>8624.83</v>
      </c>
      <c r="E150" s="856">
        <v>-8624.83</v>
      </c>
      <c r="F150" s="856">
        <f t="shared" si="3"/>
        <v>0</v>
      </c>
    </row>
    <row r="151" spans="1:6" x14ac:dyDescent="0.25">
      <c r="A151" s="64"/>
      <c r="B151" s="64">
        <v>205</v>
      </c>
      <c r="C151" s="64" t="s">
        <v>2628</v>
      </c>
      <c r="D151" s="856">
        <v>734.17</v>
      </c>
      <c r="E151" s="856">
        <v>-734.17</v>
      </c>
      <c r="F151" s="856">
        <f t="shared" si="3"/>
        <v>0</v>
      </c>
    </row>
    <row r="152" spans="1:6" x14ac:dyDescent="0.25">
      <c r="A152" s="64"/>
      <c r="B152" s="64">
        <v>210</v>
      </c>
      <c r="C152" s="64" t="s">
        <v>2629</v>
      </c>
      <c r="D152" s="856">
        <v>209.07</v>
      </c>
      <c r="E152" s="856">
        <v>-209.07</v>
      </c>
      <c r="F152" s="856">
        <f t="shared" si="3"/>
        <v>0</v>
      </c>
    </row>
    <row r="153" spans="1:6" x14ac:dyDescent="0.25">
      <c r="A153" s="64"/>
      <c r="B153" s="64">
        <v>233</v>
      </c>
      <c r="C153" s="64" t="s">
        <v>2630</v>
      </c>
      <c r="D153" s="856">
        <v>5190.5600000000004</v>
      </c>
      <c r="E153" s="856">
        <v>-5190.5600000000004</v>
      </c>
      <c r="F153" s="856">
        <f t="shared" si="3"/>
        <v>0</v>
      </c>
    </row>
    <row r="154" spans="1:6" x14ac:dyDescent="0.25">
      <c r="A154" s="64"/>
      <c r="B154" s="64">
        <v>235</v>
      </c>
      <c r="C154" s="64" t="s">
        <v>2631</v>
      </c>
      <c r="D154" s="856">
        <v>20353.39</v>
      </c>
      <c r="E154" s="856">
        <v>-20353.39</v>
      </c>
      <c r="F154" s="856">
        <f t="shared" si="3"/>
        <v>0</v>
      </c>
    </row>
    <row r="155" spans="1:6" x14ac:dyDescent="0.25">
      <c r="A155" s="64"/>
      <c r="B155" s="64">
        <v>256</v>
      </c>
      <c r="C155" s="64" t="s">
        <v>2632</v>
      </c>
      <c r="D155" s="856">
        <v>2959.49</v>
      </c>
      <c r="E155" s="856">
        <v>-2959.49</v>
      </c>
      <c r="F155" s="856">
        <f t="shared" si="3"/>
        <v>0</v>
      </c>
    </row>
    <row r="156" spans="1:6" x14ac:dyDescent="0.25">
      <c r="A156" s="64"/>
      <c r="B156" s="64">
        <v>272</v>
      </c>
      <c r="C156" s="64" t="s">
        <v>2633</v>
      </c>
      <c r="D156" s="856">
        <v>821.21</v>
      </c>
      <c r="E156" s="856">
        <v>-821.21</v>
      </c>
      <c r="F156" s="856">
        <f t="shared" si="3"/>
        <v>0</v>
      </c>
    </row>
    <row r="157" spans="1:6" x14ac:dyDescent="0.25">
      <c r="A157" s="64"/>
      <c r="B157" s="64">
        <v>273</v>
      </c>
      <c r="C157" s="64" t="s">
        <v>2634</v>
      </c>
      <c r="D157" s="856">
        <v>44.18</v>
      </c>
      <c r="E157" s="856">
        <v>0</v>
      </c>
      <c r="F157" s="856">
        <f t="shared" si="3"/>
        <v>44.18</v>
      </c>
    </row>
    <row r="158" spans="1:6" x14ac:dyDescent="0.25">
      <c r="A158" s="64"/>
      <c r="B158" s="64">
        <v>292</v>
      </c>
      <c r="C158" s="64" t="s">
        <v>2635</v>
      </c>
      <c r="D158" s="856">
        <v>2553.79</v>
      </c>
      <c r="E158" s="856">
        <v>-2553.79</v>
      </c>
      <c r="F158" s="856">
        <f t="shared" si="3"/>
        <v>0</v>
      </c>
    </row>
    <row r="159" spans="1:6" x14ac:dyDescent="0.25">
      <c r="A159" s="64"/>
      <c r="B159" s="64">
        <v>295</v>
      </c>
      <c r="C159" s="64" t="s">
        <v>2636</v>
      </c>
      <c r="D159" s="856">
        <v>2228.38</v>
      </c>
      <c r="E159" s="856">
        <v>-2228.38</v>
      </c>
      <c r="F159" s="856">
        <f t="shared" si="3"/>
        <v>0</v>
      </c>
    </row>
    <row r="160" spans="1:6" x14ac:dyDescent="0.25">
      <c r="A160" s="64"/>
      <c r="B160" s="64">
        <v>297</v>
      </c>
      <c r="C160" s="64" t="s">
        <v>2637</v>
      </c>
      <c r="D160" s="856">
        <v>522.19000000000005</v>
      </c>
      <c r="E160" s="856">
        <v>-522.19000000000005</v>
      </c>
      <c r="F160" s="856">
        <f t="shared" si="3"/>
        <v>0</v>
      </c>
    </row>
    <row r="161" spans="1:6" x14ac:dyDescent="0.25">
      <c r="A161" s="64"/>
      <c r="B161" s="64">
        <v>302</v>
      </c>
      <c r="C161" s="64" t="s">
        <v>2638</v>
      </c>
      <c r="D161" s="856">
        <v>1944</v>
      </c>
      <c r="F161" s="856">
        <f t="shared" si="3"/>
        <v>1944</v>
      </c>
    </row>
    <row r="162" spans="1:6" x14ac:dyDescent="0.25">
      <c r="A162" s="64"/>
      <c r="B162" s="64">
        <v>304</v>
      </c>
      <c r="C162" s="64" t="s">
        <v>2639</v>
      </c>
      <c r="D162" s="856">
        <v>506.89</v>
      </c>
      <c r="E162" s="856">
        <v>-506.89</v>
      </c>
      <c r="F162" s="856">
        <f t="shared" si="3"/>
        <v>0</v>
      </c>
    </row>
    <row r="163" spans="1:6" x14ac:dyDescent="0.25">
      <c r="A163" s="64"/>
      <c r="B163" s="64">
        <v>324</v>
      </c>
      <c r="C163" s="64" t="s">
        <v>2640</v>
      </c>
      <c r="D163" s="856">
        <v>120</v>
      </c>
      <c r="E163" s="856">
        <v>-120</v>
      </c>
      <c r="F163" s="856">
        <f t="shared" si="3"/>
        <v>0</v>
      </c>
    </row>
    <row r="164" spans="1:6" x14ac:dyDescent="0.25">
      <c r="A164" s="64"/>
      <c r="B164" s="64">
        <v>339</v>
      </c>
      <c r="C164" s="64" t="s">
        <v>2641</v>
      </c>
      <c r="D164" s="856">
        <v>961.58</v>
      </c>
      <c r="E164" s="856">
        <v>-961.58</v>
      </c>
      <c r="F164" s="856">
        <f t="shared" si="3"/>
        <v>0</v>
      </c>
    </row>
    <row r="165" spans="1:6" x14ac:dyDescent="0.25">
      <c r="A165" s="64"/>
      <c r="B165" s="64">
        <v>342</v>
      </c>
      <c r="C165" s="64" t="s">
        <v>2642</v>
      </c>
      <c r="D165" s="856">
        <v>105.02</v>
      </c>
      <c r="E165" s="856">
        <v>-105.02</v>
      </c>
      <c r="F165" s="856">
        <f t="shared" si="3"/>
        <v>0</v>
      </c>
    </row>
    <row r="166" spans="1:6" x14ac:dyDescent="0.25">
      <c r="A166" s="64"/>
      <c r="B166" s="64">
        <v>349</v>
      </c>
      <c r="C166" s="64" t="s">
        <v>2643</v>
      </c>
      <c r="D166" s="856">
        <v>29585.98</v>
      </c>
      <c r="E166" s="856">
        <v>-29585.98</v>
      </c>
      <c r="F166" s="856">
        <f t="shared" si="3"/>
        <v>0</v>
      </c>
    </row>
    <row r="167" spans="1:6" x14ac:dyDescent="0.25">
      <c r="A167" s="64"/>
      <c r="B167" s="64">
        <v>366</v>
      </c>
      <c r="C167" s="64" t="s">
        <v>2644</v>
      </c>
      <c r="D167" s="856">
        <v>92319</v>
      </c>
      <c r="E167" s="856">
        <v>-92319</v>
      </c>
      <c r="F167" s="856">
        <f t="shared" si="3"/>
        <v>0</v>
      </c>
    </row>
    <row r="168" spans="1:6" x14ac:dyDescent="0.25">
      <c r="A168" s="64"/>
      <c r="B168" s="64">
        <v>378</v>
      </c>
      <c r="C168" s="64" t="s">
        <v>2645</v>
      </c>
      <c r="D168" s="856">
        <v>27218.560000000001</v>
      </c>
      <c r="E168" s="856">
        <v>-27218.560000000001</v>
      </c>
      <c r="F168" s="856">
        <f t="shared" si="3"/>
        <v>0</v>
      </c>
    </row>
    <row r="169" spans="1:6" x14ac:dyDescent="0.25">
      <c r="A169" s="64"/>
      <c r="B169" s="64">
        <v>386</v>
      </c>
      <c r="C169" s="64" t="s">
        <v>2646</v>
      </c>
      <c r="D169" s="856">
        <v>0</v>
      </c>
      <c r="F169" s="856">
        <f t="shared" si="3"/>
        <v>0</v>
      </c>
    </row>
    <row r="170" spans="1:6" x14ac:dyDescent="0.25">
      <c r="A170" s="64"/>
      <c r="B170" s="64">
        <v>391</v>
      </c>
      <c r="C170" s="64" t="s">
        <v>2647</v>
      </c>
      <c r="D170" s="856">
        <v>11020.21</v>
      </c>
      <c r="E170" s="856">
        <v>-11020.21</v>
      </c>
      <c r="F170" s="856">
        <f t="shared" si="3"/>
        <v>0</v>
      </c>
    </row>
    <row r="171" spans="1:6" x14ac:dyDescent="0.25">
      <c r="A171" s="64"/>
      <c r="B171" s="64">
        <v>396</v>
      </c>
      <c r="C171" s="64" t="s">
        <v>2648</v>
      </c>
      <c r="D171" s="856">
        <v>2925.86</v>
      </c>
      <c r="E171" s="856">
        <v>-2925.86</v>
      </c>
      <c r="F171" s="856">
        <f t="shared" si="3"/>
        <v>0</v>
      </c>
    </row>
    <row r="172" spans="1:6" x14ac:dyDescent="0.25">
      <c r="A172" s="64"/>
      <c r="B172" s="64">
        <v>397</v>
      </c>
      <c r="C172" s="64" t="s">
        <v>2649</v>
      </c>
      <c r="D172" s="856">
        <v>26619.759999999998</v>
      </c>
      <c r="E172" s="856">
        <v>-26619.759999999998</v>
      </c>
      <c r="F172" s="856">
        <f t="shared" si="3"/>
        <v>0</v>
      </c>
    </row>
    <row r="173" spans="1:6" x14ac:dyDescent="0.25">
      <c r="A173" s="64"/>
      <c r="B173" s="64">
        <v>402</v>
      </c>
      <c r="C173" s="64" t="s">
        <v>2650</v>
      </c>
      <c r="D173" s="856">
        <v>14916.66</v>
      </c>
      <c r="E173" s="856">
        <v>-14916.66</v>
      </c>
      <c r="F173" s="856">
        <f t="shared" si="3"/>
        <v>0</v>
      </c>
    </row>
    <row r="174" spans="1:6" x14ac:dyDescent="0.25">
      <c r="A174" s="64"/>
      <c r="B174" s="64">
        <v>408</v>
      </c>
      <c r="C174" s="64" t="s">
        <v>2651</v>
      </c>
      <c r="D174" s="856">
        <v>93668.77</v>
      </c>
      <c r="F174" s="856">
        <f t="shared" si="3"/>
        <v>93668.77</v>
      </c>
    </row>
    <row r="175" spans="1:6" x14ac:dyDescent="0.25">
      <c r="A175" s="64"/>
      <c r="B175" s="64">
        <v>411</v>
      </c>
      <c r="C175" s="64" t="s">
        <v>2652</v>
      </c>
      <c r="D175" s="856">
        <v>47000</v>
      </c>
      <c r="F175" s="856">
        <f t="shared" si="3"/>
        <v>47000</v>
      </c>
    </row>
    <row r="176" spans="1:6" x14ac:dyDescent="0.25">
      <c r="A176" s="64"/>
      <c r="B176" s="64">
        <v>422</v>
      </c>
      <c r="C176" s="64" t="s">
        <v>2653</v>
      </c>
      <c r="D176" s="856">
        <v>24395.56</v>
      </c>
      <c r="F176" s="856">
        <f t="shared" si="3"/>
        <v>24395.56</v>
      </c>
    </row>
    <row r="177" spans="1:6" x14ac:dyDescent="0.25">
      <c r="A177" s="64"/>
      <c r="B177" s="64">
        <v>429</v>
      </c>
      <c r="C177" s="64" t="s">
        <v>2654</v>
      </c>
      <c r="D177" s="856">
        <v>1956.61</v>
      </c>
      <c r="F177" s="856">
        <f t="shared" si="3"/>
        <v>1956.61</v>
      </c>
    </row>
    <row r="178" spans="1:6" x14ac:dyDescent="0.25">
      <c r="A178" s="64"/>
      <c r="B178" s="64">
        <v>437</v>
      </c>
      <c r="C178" s="64" t="s">
        <v>2655</v>
      </c>
      <c r="D178" s="856">
        <v>9000</v>
      </c>
      <c r="E178" s="856">
        <v>-9000</v>
      </c>
      <c r="F178" s="856">
        <f t="shared" si="3"/>
        <v>0</v>
      </c>
    </row>
    <row r="179" spans="1:6" x14ac:dyDescent="0.25">
      <c r="A179" s="64"/>
      <c r="B179" s="64">
        <v>438</v>
      </c>
      <c r="C179" s="64" t="s">
        <v>2656</v>
      </c>
      <c r="D179" s="856">
        <v>9000</v>
      </c>
      <c r="E179" s="856">
        <v>-9000</v>
      </c>
      <c r="F179" s="856">
        <f t="shared" si="3"/>
        <v>0</v>
      </c>
    </row>
    <row r="180" spans="1:6" x14ac:dyDescent="0.25">
      <c r="A180" s="64"/>
      <c r="B180" s="64">
        <v>441</v>
      </c>
      <c r="C180" s="64" t="s">
        <v>2657</v>
      </c>
      <c r="D180" s="856">
        <v>2000</v>
      </c>
      <c r="E180" s="856">
        <v>-2000</v>
      </c>
      <c r="F180" s="856">
        <f t="shared" si="3"/>
        <v>0</v>
      </c>
    </row>
    <row r="181" spans="1:6" x14ac:dyDescent="0.25">
      <c r="A181" s="64"/>
      <c r="B181" s="64">
        <v>460</v>
      </c>
      <c r="C181" s="64" t="s">
        <v>2658</v>
      </c>
      <c r="D181" s="856">
        <v>20000</v>
      </c>
      <c r="E181" s="856">
        <v>-20000</v>
      </c>
      <c r="F181" s="856">
        <f t="shared" si="3"/>
        <v>0</v>
      </c>
    </row>
    <row r="182" spans="1:6" x14ac:dyDescent="0.25">
      <c r="A182" s="64"/>
      <c r="B182" s="64">
        <v>491</v>
      </c>
      <c r="C182" s="64" t="s">
        <v>2659</v>
      </c>
      <c r="D182" s="856">
        <v>0</v>
      </c>
      <c r="E182" s="856">
        <v>0</v>
      </c>
      <c r="F182" s="856">
        <f t="shared" si="3"/>
        <v>0</v>
      </c>
    </row>
    <row r="183" spans="1:6" x14ac:dyDescent="0.25">
      <c r="A183" s="64"/>
      <c r="B183" s="64">
        <v>520</v>
      </c>
      <c r="C183" s="64" t="s">
        <v>2660</v>
      </c>
      <c r="D183" s="856">
        <v>318.60000000000002</v>
      </c>
      <c r="E183" s="856">
        <v>-318.60000000000002</v>
      </c>
      <c r="F183" s="856">
        <f t="shared" si="3"/>
        <v>0</v>
      </c>
    </row>
    <row r="184" spans="1:6" x14ac:dyDescent="0.25">
      <c r="A184" s="64"/>
      <c r="B184" s="64">
        <v>5021</v>
      </c>
      <c r="C184" s="64" t="s">
        <v>1645</v>
      </c>
      <c r="D184" s="856">
        <v>170529.24</v>
      </c>
      <c r="F184" s="856">
        <f t="shared" si="3"/>
        <v>170529.24</v>
      </c>
    </row>
    <row r="185" spans="1:6" x14ac:dyDescent="0.25">
      <c r="A185" s="64"/>
      <c r="B185" s="64">
        <v>5042</v>
      </c>
      <c r="C185" s="64" t="s">
        <v>2556</v>
      </c>
      <c r="D185" s="856">
        <v>3545503.21</v>
      </c>
      <c r="F185" s="856">
        <f t="shared" si="3"/>
        <v>3545503.21</v>
      </c>
    </row>
    <row r="186" spans="1:6" x14ac:dyDescent="0.25">
      <c r="A186" s="64"/>
      <c r="B186" s="64">
        <v>5043</v>
      </c>
      <c r="C186" s="64" t="s">
        <v>2603</v>
      </c>
      <c r="D186" s="856">
        <v>19754249.800000001</v>
      </c>
      <c r="F186" s="856">
        <f t="shared" si="3"/>
        <v>19754249.800000001</v>
      </c>
    </row>
    <row r="187" spans="1:6" x14ac:dyDescent="0.25">
      <c r="A187" s="64"/>
      <c r="B187" s="64">
        <v>5045</v>
      </c>
      <c r="C187" s="64" t="s">
        <v>1625</v>
      </c>
      <c r="D187" s="856">
        <v>155747.51999999999</v>
      </c>
      <c r="F187" s="856">
        <f t="shared" si="3"/>
        <v>155747.51999999999</v>
      </c>
    </row>
    <row r="188" spans="1:6" x14ac:dyDescent="0.25">
      <c r="A188" s="64"/>
      <c r="B188" s="64">
        <v>5049</v>
      </c>
      <c r="C188" s="64" t="s">
        <v>2523</v>
      </c>
      <c r="D188" s="856">
        <v>-433960.56</v>
      </c>
      <c r="F188" s="856">
        <f t="shared" si="3"/>
        <v>-433960.56</v>
      </c>
    </row>
    <row r="189" spans="1:6" x14ac:dyDescent="0.25">
      <c r="A189" s="64"/>
      <c r="B189" s="64">
        <v>5052</v>
      </c>
      <c r="C189" s="64" t="s">
        <v>2661</v>
      </c>
      <c r="D189" s="856">
        <v>-1565714.09</v>
      </c>
      <c r="F189" s="856">
        <f t="shared" si="3"/>
        <v>-1565714.09</v>
      </c>
    </row>
    <row r="190" spans="1:6" x14ac:dyDescent="0.25">
      <c r="A190" s="64"/>
      <c r="B190" s="64">
        <v>5053</v>
      </c>
      <c r="C190" s="64" t="s">
        <v>2662</v>
      </c>
      <c r="D190" s="856">
        <v>36299146.350000001</v>
      </c>
      <c r="F190" s="856">
        <f t="shared" si="3"/>
        <v>36299146.350000001</v>
      </c>
    </row>
    <row r="191" spans="1:6" x14ac:dyDescent="0.25">
      <c r="A191" s="64"/>
      <c r="B191" s="64">
        <v>5055</v>
      </c>
      <c r="C191" s="64" t="s">
        <v>2598</v>
      </c>
      <c r="D191" s="856">
        <v>961.8</v>
      </c>
      <c r="E191" s="856">
        <v>-961.8</v>
      </c>
      <c r="F191" s="856">
        <f t="shared" si="3"/>
        <v>0</v>
      </c>
    </row>
    <row r="192" spans="1:6" x14ac:dyDescent="0.25">
      <c r="A192" s="64"/>
      <c r="B192" s="64">
        <v>5060</v>
      </c>
      <c r="C192" s="64" t="s">
        <v>2663</v>
      </c>
      <c r="D192" s="856">
        <v>5539.65</v>
      </c>
      <c r="E192" s="856">
        <v>-5539.65</v>
      </c>
      <c r="F192" s="856">
        <f t="shared" si="3"/>
        <v>0</v>
      </c>
    </row>
    <row r="193" spans="1:6" x14ac:dyDescent="0.25">
      <c r="A193" s="64"/>
      <c r="B193" s="64">
        <v>5063</v>
      </c>
      <c r="C193" s="64" t="s">
        <v>2525</v>
      </c>
      <c r="D193" s="856">
        <v>97559.19</v>
      </c>
      <c r="F193" s="856">
        <f t="shared" si="3"/>
        <v>97559.19</v>
      </c>
    </row>
    <row r="194" spans="1:6" x14ac:dyDescent="0.25">
      <c r="A194" s="64"/>
      <c r="B194" s="64">
        <v>5114</v>
      </c>
      <c r="C194" s="64" t="s">
        <v>2526</v>
      </c>
      <c r="D194" s="856">
        <v>136863.85</v>
      </c>
      <c r="F194" s="856">
        <f t="shared" si="3"/>
        <v>136863.85</v>
      </c>
    </row>
    <row r="195" spans="1:6" x14ac:dyDescent="0.25">
      <c r="A195" s="64"/>
      <c r="B195" s="64">
        <v>5117</v>
      </c>
      <c r="C195" s="64" t="s">
        <v>2664</v>
      </c>
      <c r="D195" s="856">
        <v>9580</v>
      </c>
      <c r="E195" s="856">
        <v>-9580</v>
      </c>
      <c r="F195" s="856">
        <f t="shared" si="3"/>
        <v>0</v>
      </c>
    </row>
    <row r="196" spans="1:6" x14ac:dyDescent="0.25">
      <c r="A196" s="64"/>
      <c r="B196" s="64">
        <v>5124</v>
      </c>
      <c r="C196" s="64" t="s">
        <v>2527</v>
      </c>
      <c r="D196" s="856">
        <v>75058.83</v>
      </c>
      <c r="E196" s="856">
        <v>-24339.94</v>
      </c>
      <c r="F196" s="856">
        <f t="shared" ref="F196:F259" si="4">SUM(D196:E196)</f>
        <v>50718.89</v>
      </c>
    </row>
    <row r="197" spans="1:6" x14ac:dyDescent="0.25">
      <c r="A197" s="64"/>
      <c r="B197" s="64">
        <v>5161</v>
      </c>
      <c r="C197" s="64" t="s">
        <v>1626</v>
      </c>
      <c r="D197" s="856">
        <v>183303.11</v>
      </c>
      <c r="F197" s="856">
        <f t="shared" si="4"/>
        <v>183303.11</v>
      </c>
    </row>
    <row r="198" spans="1:6" x14ac:dyDescent="0.25">
      <c r="A198" s="64"/>
      <c r="B198" s="64">
        <v>5176</v>
      </c>
      <c r="C198" s="64" t="s">
        <v>2528</v>
      </c>
      <c r="D198" s="856">
        <v>5093.2700000000004</v>
      </c>
      <c r="F198" s="856">
        <f t="shared" si="4"/>
        <v>5093.2700000000004</v>
      </c>
    </row>
    <row r="199" spans="1:6" x14ac:dyDescent="0.25">
      <c r="A199" s="64"/>
      <c r="B199" s="64">
        <v>5193</v>
      </c>
      <c r="C199" s="64" t="s">
        <v>1627</v>
      </c>
      <c r="D199" s="856">
        <v>142830.78</v>
      </c>
      <c r="F199" s="856">
        <f t="shared" si="4"/>
        <v>142830.78</v>
      </c>
    </row>
    <row r="200" spans="1:6" x14ac:dyDescent="0.25">
      <c r="A200" s="64"/>
      <c r="B200" s="64">
        <v>5196</v>
      </c>
      <c r="C200" s="64" t="s">
        <v>2665</v>
      </c>
      <c r="D200" s="856">
        <v>595.48</v>
      </c>
      <c r="E200" s="856">
        <v>-595.48</v>
      </c>
      <c r="F200" s="856">
        <f t="shared" si="4"/>
        <v>0</v>
      </c>
    </row>
    <row r="201" spans="1:6" x14ac:dyDescent="0.25">
      <c r="A201" s="64"/>
      <c r="B201" s="64">
        <v>5207</v>
      </c>
      <c r="C201" s="64" t="s">
        <v>2529</v>
      </c>
      <c r="D201" s="856">
        <v>43073.120000000003</v>
      </c>
      <c r="F201" s="856">
        <f t="shared" si="4"/>
        <v>43073.120000000003</v>
      </c>
    </row>
    <row r="202" spans="1:6" x14ac:dyDescent="0.25">
      <c r="A202" s="64"/>
      <c r="B202" s="64">
        <v>5228</v>
      </c>
      <c r="C202" s="64" t="s">
        <v>1628</v>
      </c>
      <c r="D202" s="856">
        <v>215104.05</v>
      </c>
      <c r="F202" s="856">
        <f t="shared" si="4"/>
        <v>215104.05</v>
      </c>
    </row>
    <row r="203" spans="1:6" x14ac:dyDescent="0.25">
      <c r="A203" s="64"/>
      <c r="B203" s="64">
        <v>5246</v>
      </c>
      <c r="C203" s="64" t="s">
        <v>2666</v>
      </c>
      <c r="D203" s="856">
        <v>50760</v>
      </c>
      <c r="E203" s="856">
        <v>-50760</v>
      </c>
      <c r="F203" s="856">
        <f t="shared" si="4"/>
        <v>0</v>
      </c>
    </row>
    <row r="204" spans="1:6" x14ac:dyDescent="0.25">
      <c r="A204" s="64"/>
      <c r="B204" s="64">
        <v>5250</v>
      </c>
      <c r="C204" s="64" t="s">
        <v>1602</v>
      </c>
      <c r="D204" s="856">
        <v>711.14</v>
      </c>
      <c r="E204" s="856">
        <v>-711.14</v>
      </c>
      <c r="F204" s="856">
        <f t="shared" si="4"/>
        <v>0</v>
      </c>
    </row>
    <row r="205" spans="1:6" x14ac:dyDescent="0.25">
      <c r="A205" s="64"/>
      <c r="B205" s="64">
        <v>5322</v>
      </c>
      <c r="C205" s="64" t="s">
        <v>2557</v>
      </c>
      <c r="D205" s="856">
        <v>12499.93</v>
      </c>
      <c r="F205" s="856">
        <f t="shared" si="4"/>
        <v>12499.93</v>
      </c>
    </row>
    <row r="206" spans="1:6" x14ac:dyDescent="0.25">
      <c r="A206" s="64"/>
      <c r="B206" s="64">
        <v>5353</v>
      </c>
      <c r="C206" s="64" t="s">
        <v>2531</v>
      </c>
      <c r="D206" s="856">
        <v>831171.23</v>
      </c>
      <c r="F206" s="856">
        <f t="shared" si="4"/>
        <v>831171.23</v>
      </c>
    </row>
    <row r="207" spans="1:6" x14ac:dyDescent="0.25">
      <c r="A207" s="64"/>
      <c r="B207" s="64">
        <v>5357</v>
      </c>
      <c r="C207" s="64" t="s">
        <v>1629</v>
      </c>
      <c r="D207" s="856">
        <v>494567.96</v>
      </c>
      <c r="F207" s="856">
        <f t="shared" si="4"/>
        <v>494567.96</v>
      </c>
    </row>
    <row r="208" spans="1:6" x14ac:dyDescent="0.25">
      <c r="A208" s="64"/>
      <c r="B208" s="64">
        <v>5363</v>
      </c>
      <c r="C208" s="64" t="s">
        <v>1630</v>
      </c>
      <c r="D208" s="856">
        <v>31920.57</v>
      </c>
      <c r="F208" s="856">
        <f t="shared" si="4"/>
        <v>31920.57</v>
      </c>
    </row>
    <row r="209" spans="1:6" x14ac:dyDescent="0.25">
      <c r="A209" s="64"/>
      <c r="B209" s="64">
        <v>5370</v>
      </c>
      <c r="C209" s="64" t="s">
        <v>1607</v>
      </c>
      <c r="D209" s="856">
        <v>2643127.4900000002</v>
      </c>
      <c r="E209" s="856">
        <v>-2367438.34</v>
      </c>
      <c r="F209" s="856">
        <f t="shared" si="4"/>
        <v>275689.15000000037</v>
      </c>
    </row>
    <row r="210" spans="1:6" x14ac:dyDescent="0.25">
      <c r="A210" s="64"/>
      <c r="B210" s="64">
        <v>5425</v>
      </c>
      <c r="C210" s="64" t="s">
        <v>2558</v>
      </c>
      <c r="D210" s="856">
        <v>1162.82</v>
      </c>
      <c r="F210" s="856">
        <f t="shared" si="4"/>
        <v>1162.82</v>
      </c>
    </row>
    <row r="211" spans="1:6" x14ac:dyDescent="0.25">
      <c r="A211" s="64"/>
      <c r="B211" s="64">
        <v>5451</v>
      </c>
      <c r="C211" s="64" t="s">
        <v>2559</v>
      </c>
      <c r="D211" s="856">
        <v>-3505.91</v>
      </c>
      <c r="F211" s="856">
        <f t="shared" si="4"/>
        <v>-3505.91</v>
      </c>
    </row>
    <row r="212" spans="1:6" x14ac:dyDescent="0.25">
      <c r="A212" s="64"/>
      <c r="B212" s="64">
        <v>5457</v>
      </c>
      <c r="C212" s="64" t="s">
        <v>2667</v>
      </c>
      <c r="D212" s="856">
        <v>100</v>
      </c>
      <c r="E212" s="856">
        <v>-100</v>
      </c>
      <c r="F212" s="856">
        <f t="shared" si="4"/>
        <v>0</v>
      </c>
    </row>
    <row r="213" spans="1:6" x14ac:dyDescent="0.25">
      <c r="A213" s="64"/>
      <c r="B213" s="64">
        <v>5462</v>
      </c>
      <c r="C213" s="64" t="s">
        <v>2668</v>
      </c>
      <c r="D213" s="856">
        <v>0.01</v>
      </c>
      <c r="E213" s="856">
        <v>0</v>
      </c>
      <c r="F213" s="856">
        <f t="shared" si="4"/>
        <v>0.01</v>
      </c>
    </row>
    <row r="214" spans="1:6" x14ac:dyDescent="0.25">
      <c r="A214" s="64"/>
      <c r="B214" s="64">
        <v>5471</v>
      </c>
      <c r="C214" s="64" t="s">
        <v>2669</v>
      </c>
      <c r="D214" s="856">
        <v>15277899.199999999</v>
      </c>
      <c r="E214" s="856">
        <v>-15277899.199999999</v>
      </c>
      <c r="F214" s="856">
        <f t="shared" si="4"/>
        <v>0</v>
      </c>
    </row>
    <row r="215" spans="1:6" x14ac:dyDescent="0.25">
      <c r="A215" s="64"/>
      <c r="B215" s="64">
        <v>5514</v>
      </c>
      <c r="C215" s="64" t="s">
        <v>1616</v>
      </c>
      <c r="D215" s="856">
        <v>0</v>
      </c>
      <c r="E215" s="856">
        <v>0</v>
      </c>
      <c r="F215" s="856">
        <f t="shared" si="4"/>
        <v>0</v>
      </c>
    </row>
    <row r="216" spans="1:6" x14ac:dyDescent="0.25">
      <c r="A216" s="64"/>
      <c r="B216" s="64">
        <v>5528</v>
      </c>
      <c r="C216" s="64" t="s">
        <v>2670</v>
      </c>
      <c r="D216" s="856">
        <v>392.5</v>
      </c>
      <c r="E216" s="856">
        <v>-392.5</v>
      </c>
      <c r="F216" s="856">
        <f t="shared" si="4"/>
        <v>0</v>
      </c>
    </row>
    <row r="217" spans="1:6" x14ac:dyDescent="0.25">
      <c r="A217" s="64"/>
      <c r="B217" s="64">
        <v>5561</v>
      </c>
      <c r="C217" s="64" t="s">
        <v>2600</v>
      </c>
      <c r="D217" s="856">
        <v>1726.04</v>
      </c>
      <c r="E217" s="856">
        <v>-1726.04</v>
      </c>
      <c r="F217" s="856">
        <f t="shared" si="4"/>
        <v>0</v>
      </c>
    </row>
    <row r="218" spans="1:6" x14ac:dyDescent="0.25">
      <c r="A218" s="64"/>
      <c r="B218" s="64">
        <v>5624</v>
      </c>
      <c r="C218" s="64" t="s">
        <v>2671</v>
      </c>
      <c r="D218" s="856">
        <v>20557.53</v>
      </c>
      <c r="E218" s="856">
        <v>0</v>
      </c>
      <c r="F218" s="856">
        <f t="shared" si="4"/>
        <v>20557.53</v>
      </c>
    </row>
    <row r="219" spans="1:6" x14ac:dyDescent="0.25">
      <c r="A219" s="64"/>
      <c r="B219" s="64">
        <v>5627</v>
      </c>
      <c r="C219" s="64" t="s">
        <v>2672</v>
      </c>
      <c r="D219" s="856">
        <v>-11263982.060000001</v>
      </c>
      <c r="E219" s="856">
        <v>0</v>
      </c>
      <c r="F219" s="856">
        <f t="shared" si="4"/>
        <v>-11263982.060000001</v>
      </c>
    </row>
    <row r="220" spans="1:6" x14ac:dyDescent="0.25">
      <c r="A220" s="64"/>
      <c r="B220" s="64">
        <v>5632</v>
      </c>
      <c r="C220" s="64" t="s">
        <v>1623</v>
      </c>
      <c r="D220" s="856">
        <v>68836.75</v>
      </c>
      <c r="E220" s="856">
        <v>0</v>
      </c>
      <c r="F220" s="856">
        <f t="shared" si="4"/>
        <v>68836.75</v>
      </c>
    </row>
    <row r="221" spans="1:6" x14ac:dyDescent="0.25">
      <c r="A221" s="64"/>
      <c r="B221" s="64">
        <v>5658</v>
      </c>
      <c r="C221" s="64" t="s">
        <v>2673</v>
      </c>
      <c r="D221" s="856">
        <v>708.16</v>
      </c>
      <c r="E221" s="856">
        <v>-708.16</v>
      </c>
      <c r="F221" s="856">
        <f t="shared" si="4"/>
        <v>0</v>
      </c>
    </row>
    <row r="222" spans="1:6" x14ac:dyDescent="0.25">
      <c r="A222" s="64"/>
      <c r="B222" s="64">
        <v>5670</v>
      </c>
      <c r="C222" s="64" t="s">
        <v>1644</v>
      </c>
      <c r="D222" s="856">
        <v>639376.68000000005</v>
      </c>
      <c r="E222" s="856">
        <v>0</v>
      </c>
      <c r="F222" s="856">
        <f t="shared" si="4"/>
        <v>639376.68000000005</v>
      </c>
    </row>
    <row r="223" spans="1:6" x14ac:dyDescent="0.25">
      <c r="A223" s="64"/>
      <c r="B223" s="64">
        <v>5701</v>
      </c>
      <c r="C223" s="64" t="s">
        <v>2533</v>
      </c>
      <c r="D223" s="856">
        <v>375296.87</v>
      </c>
      <c r="E223" s="856">
        <v>0</v>
      </c>
      <c r="F223" s="856">
        <f t="shared" si="4"/>
        <v>375296.87</v>
      </c>
    </row>
    <row r="224" spans="1:6" x14ac:dyDescent="0.25">
      <c r="A224" s="64"/>
      <c r="B224" s="64">
        <v>5712</v>
      </c>
      <c r="C224" s="64" t="s">
        <v>2535</v>
      </c>
      <c r="D224" s="856">
        <v>2346.06</v>
      </c>
      <c r="E224" s="856">
        <v>-2346.06</v>
      </c>
      <c r="F224" s="856">
        <f t="shared" si="4"/>
        <v>0</v>
      </c>
    </row>
    <row r="225" spans="1:7" x14ac:dyDescent="0.25">
      <c r="A225" s="64"/>
      <c r="B225" s="64">
        <v>5717</v>
      </c>
      <c r="C225" s="64" t="s">
        <v>2674</v>
      </c>
      <c r="D225" s="856">
        <v>143.5</v>
      </c>
      <c r="E225" s="856">
        <v>-143.5</v>
      </c>
      <c r="F225" s="856">
        <f t="shared" si="4"/>
        <v>0</v>
      </c>
    </row>
    <row r="226" spans="1:7" x14ac:dyDescent="0.25">
      <c r="A226" s="64"/>
      <c r="B226" s="64">
        <v>5723</v>
      </c>
      <c r="C226" s="64" t="s">
        <v>2675</v>
      </c>
      <c r="D226" s="856">
        <v>3396.7</v>
      </c>
      <c r="E226" s="856">
        <v>-3396.7</v>
      </c>
      <c r="F226" s="856">
        <f t="shared" si="4"/>
        <v>0</v>
      </c>
    </row>
    <row r="227" spans="1:7" x14ac:dyDescent="0.25">
      <c r="A227" s="64"/>
      <c r="B227" s="64">
        <v>5726</v>
      </c>
      <c r="C227" s="64" t="s">
        <v>2536</v>
      </c>
      <c r="D227" s="856">
        <v>114329.88</v>
      </c>
      <c r="E227" s="856">
        <v>-114329.88</v>
      </c>
      <c r="F227" s="856">
        <f t="shared" si="4"/>
        <v>0</v>
      </c>
    </row>
    <row r="228" spans="1:7" x14ac:dyDescent="0.25">
      <c r="A228" s="64"/>
      <c r="B228" s="64">
        <v>5732</v>
      </c>
      <c r="C228" s="64" t="s">
        <v>1624</v>
      </c>
      <c r="D228" s="856">
        <v>68422.33</v>
      </c>
      <c r="E228" s="856">
        <v>0</v>
      </c>
      <c r="F228" s="856">
        <f t="shared" si="4"/>
        <v>68422.33</v>
      </c>
    </row>
    <row r="229" spans="1:7" x14ac:dyDescent="0.25">
      <c r="A229" s="64"/>
      <c r="B229" s="64">
        <v>5733</v>
      </c>
      <c r="C229" s="64" t="s">
        <v>1617</v>
      </c>
      <c r="D229" s="856">
        <v>52882.1</v>
      </c>
      <c r="E229" s="856">
        <v>0</v>
      </c>
      <c r="F229" s="856">
        <f t="shared" si="4"/>
        <v>52882.1</v>
      </c>
    </row>
    <row r="230" spans="1:7" x14ac:dyDescent="0.25">
      <c r="A230" s="64"/>
      <c r="B230" s="64">
        <v>5735</v>
      </c>
      <c r="C230" s="64" t="s">
        <v>1611</v>
      </c>
      <c r="D230" s="856">
        <v>1884.75</v>
      </c>
      <c r="E230" s="856">
        <v>-1884.75</v>
      </c>
      <c r="F230" s="856">
        <f t="shared" si="4"/>
        <v>0</v>
      </c>
    </row>
    <row r="231" spans="1:7" x14ac:dyDescent="0.25">
      <c r="A231" s="64"/>
      <c r="B231" s="64">
        <v>5736</v>
      </c>
      <c r="C231" s="64" t="s">
        <v>2676</v>
      </c>
      <c r="D231" s="856">
        <v>565566.81000000006</v>
      </c>
      <c r="E231" s="856">
        <v>-565566.81000000006</v>
      </c>
      <c r="F231" s="856">
        <f t="shared" si="4"/>
        <v>0</v>
      </c>
    </row>
    <row r="232" spans="1:7" x14ac:dyDescent="0.25">
      <c r="A232" s="64"/>
      <c r="B232" s="64">
        <v>5740</v>
      </c>
      <c r="C232" s="64" t="s">
        <v>2537</v>
      </c>
      <c r="D232" s="856">
        <v>3830639.97</v>
      </c>
      <c r="E232" s="856">
        <v>-3830639.97</v>
      </c>
      <c r="F232" s="856">
        <f t="shared" si="4"/>
        <v>0</v>
      </c>
    </row>
    <row r="233" spans="1:7" x14ac:dyDescent="0.25">
      <c r="A233" s="64"/>
      <c r="B233" s="64">
        <v>5741</v>
      </c>
      <c r="C233" s="64" t="s">
        <v>1612</v>
      </c>
      <c r="D233" s="856">
        <v>4494.6400000000003</v>
      </c>
      <c r="E233" s="856">
        <v>-4494.6400000000003</v>
      </c>
      <c r="F233" s="856">
        <f t="shared" si="4"/>
        <v>0</v>
      </c>
    </row>
    <row r="234" spans="1:7" x14ac:dyDescent="0.25">
      <c r="A234" s="64"/>
      <c r="B234" s="64">
        <v>5755</v>
      </c>
      <c r="C234" s="64" t="s">
        <v>2538</v>
      </c>
      <c r="D234" s="856">
        <v>308.83999999999997</v>
      </c>
      <c r="E234" s="856">
        <v>0</v>
      </c>
      <c r="F234" s="856">
        <f t="shared" si="4"/>
        <v>308.83999999999997</v>
      </c>
    </row>
    <row r="235" spans="1:7" x14ac:dyDescent="0.25">
      <c r="A235" s="64"/>
      <c r="B235" s="64">
        <v>8044</v>
      </c>
      <c r="C235" s="64" t="s">
        <v>2677</v>
      </c>
      <c r="D235" s="856">
        <v>69127.23</v>
      </c>
      <c r="E235" s="856">
        <v>-69127.23</v>
      </c>
      <c r="F235" s="856">
        <f t="shared" si="4"/>
        <v>0</v>
      </c>
    </row>
    <row r="236" spans="1:7" x14ac:dyDescent="0.25">
      <c r="A236" s="64"/>
      <c r="B236" s="64">
        <v>8090</v>
      </c>
      <c r="C236" s="64" t="s">
        <v>2601</v>
      </c>
      <c r="D236" s="856">
        <v>21566484.59</v>
      </c>
      <c r="E236" s="856">
        <v>-18616398.82</v>
      </c>
      <c r="F236" s="856">
        <f t="shared" si="4"/>
        <v>2950085.7699999996</v>
      </c>
    </row>
    <row r="237" spans="1:7" x14ac:dyDescent="0.25">
      <c r="A237" s="64"/>
      <c r="B237" s="64">
        <v>8136</v>
      </c>
      <c r="C237" s="64" t="s">
        <v>2678</v>
      </c>
      <c r="D237" s="856">
        <v>512.02</v>
      </c>
      <c r="E237" s="856">
        <v>-512.02</v>
      </c>
      <c r="F237" s="856">
        <f t="shared" si="4"/>
        <v>0</v>
      </c>
    </row>
    <row r="238" spans="1:7" x14ac:dyDescent="0.25">
      <c r="A238" s="64"/>
      <c r="B238" s="64">
        <v>8142</v>
      </c>
      <c r="C238" s="64" t="s">
        <v>2541</v>
      </c>
      <c r="D238" s="856">
        <v>25235.42</v>
      </c>
      <c r="E238" s="856">
        <v>-25235.42</v>
      </c>
      <c r="F238" s="856">
        <f t="shared" si="4"/>
        <v>0</v>
      </c>
    </row>
    <row r="239" spans="1:7" x14ac:dyDescent="0.25">
      <c r="A239" s="64"/>
      <c r="B239" s="64">
        <v>8144</v>
      </c>
      <c r="C239" s="64" t="s">
        <v>2542</v>
      </c>
      <c r="D239" s="856">
        <v>55808.07</v>
      </c>
      <c r="E239" s="856">
        <v>-55808.07</v>
      </c>
      <c r="F239" s="856">
        <f t="shared" si="4"/>
        <v>0</v>
      </c>
    </row>
    <row r="240" spans="1:7" x14ac:dyDescent="0.25">
      <c r="A240" s="64"/>
      <c r="B240" s="64">
        <v>8146</v>
      </c>
      <c r="C240" s="64" t="s">
        <v>2543</v>
      </c>
      <c r="D240" s="856">
        <v>-28356.13</v>
      </c>
      <c r="E240" s="861">
        <v>-49634.16</v>
      </c>
      <c r="F240" s="861">
        <f t="shared" si="4"/>
        <v>-77990.290000000008</v>
      </c>
      <c r="G240" s="861" t="s">
        <v>2788</v>
      </c>
    </row>
    <row r="241" spans="1:6" x14ac:dyDescent="0.25">
      <c r="A241" s="64"/>
      <c r="B241" s="64">
        <v>8147</v>
      </c>
      <c r="C241" s="64" t="s">
        <v>2544</v>
      </c>
      <c r="D241" s="856">
        <v>-124.29</v>
      </c>
      <c r="E241" s="856">
        <v>0</v>
      </c>
      <c r="F241" s="856">
        <f t="shared" si="4"/>
        <v>-124.29</v>
      </c>
    </row>
    <row r="242" spans="1:6" x14ac:dyDescent="0.25">
      <c r="A242" s="64"/>
      <c r="B242" s="64">
        <v>8229</v>
      </c>
      <c r="C242" s="64" t="s">
        <v>2545</v>
      </c>
      <c r="D242" s="856">
        <v>5556.13</v>
      </c>
      <c r="E242" s="856">
        <v>0</v>
      </c>
      <c r="F242" s="856">
        <f t="shared" si="4"/>
        <v>5556.13</v>
      </c>
    </row>
    <row r="243" spans="1:6" x14ac:dyDescent="0.25">
      <c r="A243" s="64"/>
      <c r="B243" s="64">
        <v>8247</v>
      </c>
      <c r="C243" s="64" t="s">
        <v>2679</v>
      </c>
      <c r="D243" s="856">
        <v>535.71</v>
      </c>
      <c r="E243" s="856">
        <v>-535.71</v>
      </c>
      <c r="F243" s="856">
        <f t="shared" si="4"/>
        <v>0</v>
      </c>
    </row>
    <row r="244" spans="1:6" x14ac:dyDescent="0.25">
      <c r="A244" s="64"/>
      <c r="B244" s="64">
        <v>8323</v>
      </c>
      <c r="C244" s="64" t="s">
        <v>2546</v>
      </c>
      <c r="D244" s="856">
        <v>133662.24</v>
      </c>
      <c r="E244" s="856">
        <v>-133662.24</v>
      </c>
      <c r="F244" s="856">
        <f t="shared" si="4"/>
        <v>0</v>
      </c>
    </row>
    <row r="245" spans="1:6" x14ac:dyDescent="0.25">
      <c r="A245" s="64"/>
      <c r="B245" s="64">
        <v>8343</v>
      </c>
      <c r="C245" s="64" t="s">
        <v>2547</v>
      </c>
      <c r="D245" s="856">
        <v>254287.33</v>
      </c>
      <c r="E245" s="856">
        <v>0</v>
      </c>
      <c r="F245" s="856">
        <f t="shared" si="4"/>
        <v>254287.33</v>
      </c>
    </row>
    <row r="246" spans="1:6" x14ac:dyDescent="0.25">
      <c r="A246" s="64"/>
      <c r="B246" s="64">
        <v>8384</v>
      </c>
      <c r="C246" s="64" t="s">
        <v>2561</v>
      </c>
      <c r="D246" s="856">
        <v>7460.09</v>
      </c>
      <c r="E246" s="856">
        <v>0</v>
      </c>
      <c r="F246" s="856">
        <f t="shared" si="4"/>
        <v>7460.09</v>
      </c>
    </row>
    <row r="247" spans="1:6" x14ac:dyDescent="0.25">
      <c r="A247" s="64"/>
      <c r="B247" s="64">
        <v>8462</v>
      </c>
      <c r="C247" s="64" t="s">
        <v>2549</v>
      </c>
      <c r="D247" s="856">
        <v>-59241.440000000002</v>
      </c>
      <c r="E247" s="856">
        <v>0</v>
      </c>
      <c r="F247" s="856">
        <f t="shared" si="4"/>
        <v>-59241.440000000002</v>
      </c>
    </row>
    <row r="248" spans="1:6" x14ac:dyDescent="0.25">
      <c r="A248" s="64"/>
      <c r="B248" s="64">
        <v>8484</v>
      </c>
      <c r="C248" s="64" t="s">
        <v>2550</v>
      </c>
      <c r="D248" s="856">
        <v>273177.71999999997</v>
      </c>
      <c r="E248" s="856">
        <v>-273177.71999999997</v>
      </c>
      <c r="F248" s="856">
        <f t="shared" si="4"/>
        <v>0</v>
      </c>
    </row>
    <row r="249" spans="1:6" x14ac:dyDescent="0.25">
      <c r="A249" s="64"/>
      <c r="B249" s="64">
        <v>8551</v>
      </c>
      <c r="C249" s="64" t="s">
        <v>2680</v>
      </c>
      <c r="D249" s="856">
        <v>80017.81</v>
      </c>
      <c r="E249" s="856">
        <v>0</v>
      </c>
      <c r="F249" s="856">
        <f t="shared" si="4"/>
        <v>80017.81</v>
      </c>
    </row>
    <row r="250" spans="1:6" x14ac:dyDescent="0.25">
      <c r="A250" s="64"/>
      <c r="B250" s="64">
        <v>8631</v>
      </c>
      <c r="C250" s="64" t="s">
        <v>2554</v>
      </c>
      <c r="D250" s="856">
        <v>-28005.96</v>
      </c>
      <c r="E250" s="856">
        <v>0</v>
      </c>
      <c r="F250" s="856">
        <f t="shared" si="4"/>
        <v>-28005.96</v>
      </c>
    </row>
    <row r="251" spans="1:6" x14ac:dyDescent="0.25">
      <c r="A251" s="64"/>
      <c r="B251" s="64">
        <v>8643</v>
      </c>
      <c r="C251" s="64" t="s">
        <v>2562</v>
      </c>
      <c r="D251" s="856">
        <v>-2164.08</v>
      </c>
      <c r="E251" s="856">
        <v>0</v>
      </c>
      <c r="F251" s="856">
        <f t="shared" si="4"/>
        <v>-2164.08</v>
      </c>
    </row>
    <row r="252" spans="1:6" x14ac:dyDescent="0.25">
      <c r="A252" s="64"/>
      <c r="B252" s="64">
        <v>8702</v>
      </c>
      <c r="C252" s="64" t="s">
        <v>2605</v>
      </c>
      <c r="D252" s="856">
        <v>13334.76</v>
      </c>
      <c r="E252" s="856">
        <v>0</v>
      </c>
      <c r="F252" s="856">
        <f t="shared" si="4"/>
        <v>13334.76</v>
      </c>
    </row>
    <row r="253" spans="1:6" x14ac:dyDescent="0.25">
      <c r="A253" s="64"/>
      <c r="B253" s="64">
        <v>8784</v>
      </c>
      <c r="C253" s="64" t="s">
        <v>2681</v>
      </c>
      <c r="D253" s="856">
        <v>5034.17</v>
      </c>
      <c r="E253" s="856">
        <v>-5034.17</v>
      </c>
      <c r="F253" s="856">
        <f t="shared" si="4"/>
        <v>0</v>
      </c>
    </row>
    <row r="254" spans="1:6" x14ac:dyDescent="0.25">
      <c r="A254" s="64"/>
      <c r="B254" s="64">
        <v>8824</v>
      </c>
      <c r="C254" s="64" t="s">
        <v>2566</v>
      </c>
      <c r="D254" s="856">
        <v>13890.36</v>
      </c>
      <c r="E254" s="856">
        <v>0</v>
      </c>
      <c r="F254" s="856">
        <f t="shared" si="4"/>
        <v>13890.36</v>
      </c>
    </row>
    <row r="255" spans="1:6" x14ac:dyDescent="0.25">
      <c r="A255" s="64"/>
      <c r="B255" s="64">
        <v>8887</v>
      </c>
      <c r="C255" s="64" t="s">
        <v>2606</v>
      </c>
      <c r="D255" s="856">
        <v>0</v>
      </c>
      <c r="E255" s="856">
        <v>0</v>
      </c>
      <c r="F255" s="856">
        <f t="shared" si="4"/>
        <v>0</v>
      </c>
    </row>
    <row r="256" spans="1:6" x14ac:dyDescent="0.25">
      <c r="A256" s="64"/>
      <c r="B256" s="64">
        <v>9999</v>
      </c>
      <c r="C256" s="64" t="s">
        <v>1651</v>
      </c>
      <c r="D256" s="856">
        <v>95304.23</v>
      </c>
      <c r="E256" s="856">
        <v>-95304.23</v>
      </c>
      <c r="F256" s="856">
        <f t="shared" si="4"/>
        <v>0</v>
      </c>
    </row>
    <row r="257" spans="1:6" x14ac:dyDescent="0.25">
      <c r="A257" s="64"/>
      <c r="B257" s="64">
        <v>67</v>
      </c>
      <c r="C257" s="64" t="s">
        <v>2682</v>
      </c>
      <c r="D257" s="856">
        <v>0</v>
      </c>
      <c r="E257" s="856">
        <v>0</v>
      </c>
      <c r="F257" s="856">
        <f t="shared" si="4"/>
        <v>0</v>
      </c>
    </row>
    <row r="258" spans="1:6" x14ac:dyDescent="0.25">
      <c r="A258" s="64"/>
      <c r="B258" s="64">
        <v>365</v>
      </c>
      <c r="C258" s="64" t="s">
        <v>2683</v>
      </c>
      <c r="D258" s="856">
        <v>2352.6799999999998</v>
      </c>
      <c r="E258" s="856">
        <v>0</v>
      </c>
      <c r="F258" s="856">
        <f t="shared" si="4"/>
        <v>2352.6799999999998</v>
      </c>
    </row>
    <row r="259" spans="1:6" x14ac:dyDescent="0.25">
      <c r="A259" s="64"/>
      <c r="B259" s="64">
        <v>394</v>
      </c>
      <c r="C259" s="64" t="s">
        <v>2684</v>
      </c>
      <c r="D259" s="856">
        <v>4099</v>
      </c>
      <c r="E259" s="856">
        <v>0</v>
      </c>
      <c r="F259" s="856">
        <f t="shared" si="4"/>
        <v>4099</v>
      </c>
    </row>
    <row r="260" spans="1:6" x14ac:dyDescent="0.25">
      <c r="A260" s="64"/>
      <c r="B260" s="64">
        <v>412</v>
      </c>
      <c r="C260" s="64" t="s">
        <v>2685</v>
      </c>
      <c r="D260" s="856">
        <v>2528.13</v>
      </c>
      <c r="E260" s="856">
        <v>0</v>
      </c>
      <c r="F260" s="856">
        <f t="shared" ref="F260:F276" si="5">SUM(D260:E260)</f>
        <v>2528.13</v>
      </c>
    </row>
    <row r="261" spans="1:6" x14ac:dyDescent="0.25">
      <c r="A261" s="64"/>
      <c r="B261" s="64">
        <v>415</v>
      </c>
      <c r="C261" s="64" t="s">
        <v>2686</v>
      </c>
      <c r="D261" s="856">
        <v>33969.839999999997</v>
      </c>
      <c r="E261" s="856">
        <v>0</v>
      </c>
      <c r="F261" s="856">
        <f t="shared" si="5"/>
        <v>33969.839999999997</v>
      </c>
    </row>
    <row r="262" spans="1:6" x14ac:dyDescent="0.25">
      <c r="A262" s="64"/>
      <c r="B262" s="64">
        <v>571</v>
      </c>
      <c r="C262" s="64" t="s">
        <v>2687</v>
      </c>
      <c r="D262" s="856">
        <v>658.15</v>
      </c>
      <c r="E262" s="856">
        <v>0</v>
      </c>
      <c r="F262" s="856">
        <f t="shared" si="5"/>
        <v>658.15</v>
      </c>
    </row>
    <row r="263" spans="1:6" x14ac:dyDescent="0.25">
      <c r="A263" s="64"/>
      <c r="B263" s="64">
        <v>8215</v>
      </c>
      <c r="C263" s="64" t="s">
        <v>2688</v>
      </c>
      <c r="D263" s="856">
        <v>-34624.230000000003</v>
      </c>
      <c r="E263" s="856">
        <v>0</v>
      </c>
      <c r="F263" s="856">
        <f t="shared" si="5"/>
        <v>-34624.230000000003</v>
      </c>
    </row>
    <row r="264" spans="1:6" x14ac:dyDescent="0.25">
      <c r="A264" s="64"/>
      <c r="B264" s="64">
        <v>8581</v>
      </c>
      <c r="C264" s="64" t="s">
        <v>2553</v>
      </c>
      <c r="D264" s="856">
        <v>1980</v>
      </c>
      <c r="E264" s="856">
        <v>0</v>
      </c>
      <c r="F264" s="856">
        <f t="shared" si="5"/>
        <v>1980</v>
      </c>
    </row>
    <row r="265" spans="1:6" x14ac:dyDescent="0.25">
      <c r="A265" s="64"/>
      <c r="B265" s="64">
        <v>9043</v>
      </c>
      <c r="C265" s="64" t="s">
        <v>2571</v>
      </c>
      <c r="D265" s="856">
        <v>49700.56</v>
      </c>
      <c r="E265" s="856">
        <v>0</v>
      </c>
      <c r="F265" s="856">
        <f t="shared" si="5"/>
        <v>49700.56</v>
      </c>
    </row>
    <row r="266" spans="1:6" x14ac:dyDescent="0.25">
      <c r="A266" s="64"/>
      <c r="B266" s="64">
        <v>9111</v>
      </c>
      <c r="C266" s="64" t="s">
        <v>2689</v>
      </c>
      <c r="D266" s="856">
        <v>0</v>
      </c>
      <c r="E266" s="856">
        <v>0</v>
      </c>
      <c r="F266" s="856">
        <f t="shared" si="5"/>
        <v>0</v>
      </c>
    </row>
    <row r="267" spans="1:6" x14ac:dyDescent="0.25">
      <c r="A267" s="64"/>
      <c r="B267" s="64">
        <v>9129</v>
      </c>
      <c r="C267" s="64" t="s">
        <v>2574</v>
      </c>
      <c r="D267" s="856">
        <v>35497.230000000003</v>
      </c>
      <c r="F267" s="856">
        <f t="shared" si="5"/>
        <v>35497.230000000003</v>
      </c>
    </row>
    <row r="268" spans="1:6" x14ac:dyDescent="0.25">
      <c r="A268" s="64"/>
      <c r="B268" s="64">
        <v>9261</v>
      </c>
      <c r="C268" s="64" t="s">
        <v>2690</v>
      </c>
      <c r="D268" s="856">
        <v>1813.43</v>
      </c>
      <c r="F268" s="856">
        <f t="shared" si="5"/>
        <v>1813.43</v>
      </c>
    </row>
    <row r="269" spans="1:6" x14ac:dyDescent="0.25">
      <c r="A269" s="64"/>
      <c r="B269" s="64">
        <v>9404</v>
      </c>
      <c r="C269" s="64" t="s">
        <v>2691</v>
      </c>
      <c r="D269" s="856">
        <v>194056.51</v>
      </c>
      <c r="F269" s="856">
        <f t="shared" si="5"/>
        <v>194056.51</v>
      </c>
    </row>
    <row r="270" spans="1:6" x14ac:dyDescent="0.25">
      <c r="A270" s="64"/>
      <c r="B270" s="64">
        <v>9439</v>
      </c>
      <c r="C270" s="64" t="s">
        <v>2580</v>
      </c>
      <c r="D270" s="856">
        <v>-3704.24</v>
      </c>
      <c r="F270" s="856">
        <f t="shared" si="5"/>
        <v>-3704.24</v>
      </c>
    </row>
    <row r="271" spans="1:6" x14ac:dyDescent="0.25">
      <c r="A271" s="64"/>
      <c r="B271" s="64">
        <v>9490</v>
      </c>
      <c r="C271" s="64" t="s">
        <v>2583</v>
      </c>
      <c r="D271" s="856">
        <v>14550.3</v>
      </c>
      <c r="F271" s="856">
        <f t="shared" si="5"/>
        <v>14550.3</v>
      </c>
    </row>
    <row r="272" spans="1:6" x14ac:dyDescent="0.25">
      <c r="A272" s="64"/>
      <c r="B272" s="64">
        <v>9491</v>
      </c>
      <c r="C272" s="64" t="s">
        <v>2584</v>
      </c>
      <c r="D272" s="856">
        <v>209.73</v>
      </c>
      <c r="F272" s="856">
        <f t="shared" si="5"/>
        <v>209.73</v>
      </c>
    </row>
    <row r="273" spans="1:9" x14ac:dyDescent="0.25">
      <c r="A273" s="64"/>
      <c r="B273" s="64">
        <v>9507</v>
      </c>
      <c r="C273" s="64" t="s">
        <v>2585</v>
      </c>
      <c r="D273" s="856">
        <v>207777.14</v>
      </c>
      <c r="F273" s="856">
        <f t="shared" si="5"/>
        <v>207777.14</v>
      </c>
    </row>
    <row r="274" spans="1:9" x14ac:dyDescent="0.25">
      <c r="A274" s="64"/>
      <c r="B274" s="64">
        <v>9510</v>
      </c>
      <c r="C274" s="64" t="s">
        <v>2586</v>
      </c>
      <c r="D274" s="856">
        <v>28797.8</v>
      </c>
      <c r="F274" s="856">
        <f t="shared" si="5"/>
        <v>28797.8</v>
      </c>
    </row>
    <row r="275" spans="1:9" x14ac:dyDescent="0.25">
      <c r="A275" s="64"/>
      <c r="B275" s="64">
        <v>9523</v>
      </c>
      <c r="C275" s="64" t="s">
        <v>2587</v>
      </c>
      <c r="D275" s="856">
        <v>10518.92</v>
      </c>
      <c r="F275" s="856">
        <f t="shared" si="5"/>
        <v>10518.92</v>
      </c>
    </row>
    <row r="276" spans="1:9" ht="15.75" thickBot="1" x14ac:dyDescent="0.3">
      <c r="A276" s="64"/>
      <c r="B276" s="64">
        <v>9667</v>
      </c>
      <c r="C276" s="64" t="s">
        <v>2692</v>
      </c>
      <c r="D276" s="856">
        <v>424471202.39999998</v>
      </c>
      <c r="F276" s="856">
        <f t="shared" si="5"/>
        <v>424471202.39999998</v>
      </c>
    </row>
    <row r="277" spans="1:9" ht="15.75" thickBot="1" x14ac:dyDescent="0.3">
      <c r="B277" s="862" t="s">
        <v>671</v>
      </c>
      <c r="C277" s="872"/>
      <c r="D277" s="872">
        <f>SUM(D132:D276)</f>
        <v>520704535.71000004</v>
      </c>
      <c r="E277" s="863">
        <f>SUM(E132:E276)</f>
        <v>-41941208.909999996</v>
      </c>
      <c r="F277" s="873">
        <f>SUM(F132:F276)</f>
        <v>478763326.79999995</v>
      </c>
    </row>
    <row r="278" spans="1:9" x14ac:dyDescent="0.25">
      <c r="H278" s="856">
        <f>-E126-E277</f>
        <v>206677722.28999999</v>
      </c>
      <c r="I278" s="856" t="s">
        <v>2791</v>
      </c>
    </row>
    <row r="279" spans="1:9" x14ac:dyDescent="0.25">
      <c r="C279" s="996"/>
      <c r="D279" s="996"/>
      <c r="E279" s="855"/>
    </row>
    <row r="284" spans="1:9" x14ac:dyDescent="0.25">
      <c r="A284" s="994"/>
      <c r="B284" s="994"/>
      <c r="C284" s="994"/>
    </row>
    <row r="285" spans="1:9" ht="75" x14ac:dyDescent="0.25">
      <c r="B285" s="875" t="s">
        <v>856</v>
      </c>
      <c r="C285" s="876" t="s">
        <v>53</v>
      </c>
      <c r="D285" s="877" t="s">
        <v>2693</v>
      </c>
      <c r="E285" s="876" t="s">
        <v>2522</v>
      </c>
      <c r="F285" s="876" t="s">
        <v>1601</v>
      </c>
    </row>
    <row r="286" spans="1:9" x14ac:dyDescent="0.25">
      <c r="B286" s="64">
        <v>5138</v>
      </c>
      <c r="C286" s="856" t="s">
        <v>1621</v>
      </c>
      <c r="D286" s="856">
        <v>478648109.88999999</v>
      </c>
      <c r="E286" s="856">
        <v>-478648109.88999999</v>
      </c>
      <c r="F286" s="856">
        <f t="shared" ref="F286:F296" si="6">D286+E286</f>
        <v>0</v>
      </c>
    </row>
    <row r="287" spans="1:9" x14ac:dyDescent="0.25">
      <c r="B287" s="64">
        <v>5215</v>
      </c>
      <c r="C287" s="856" t="s">
        <v>1622</v>
      </c>
      <c r="D287" s="856">
        <v>158478869.00999999</v>
      </c>
      <c r="E287" s="856">
        <v>-158478869.00999999</v>
      </c>
      <c r="F287" s="856">
        <f t="shared" si="6"/>
        <v>0</v>
      </c>
    </row>
    <row r="288" spans="1:9" x14ac:dyDescent="0.25">
      <c r="B288" s="64">
        <v>5250</v>
      </c>
      <c r="C288" s="856" t="s">
        <v>1602</v>
      </c>
      <c r="D288" s="856">
        <v>825060</v>
      </c>
      <c r="E288" s="856">
        <v>-825060</v>
      </c>
      <c r="F288" s="856">
        <f t="shared" si="6"/>
        <v>0</v>
      </c>
    </row>
    <row r="289" spans="1:6" x14ac:dyDescent="0.25">
      <c r="B289" s="64">
        <v>5333</v>
      </c>
      <c r="C289" s="856" t="s">
        <v>1604</v>
      </c>
      <c r="D289" s="856">
        <v>10192000.02</v>
      </c>
      <c r="E289" s="856">
        <v>-10192000.02</v>
      </c>
      <c r="F289" s="856">
        <f t="shared" si="6"/>
        <v>0</v>
      </c>
    </row>
    <row r="290" spans="1:6" x14ac:dyDescent="0.25">
      <c r="B290" s="64">
        <v>5342</v>
      </c>
      <c r="C290" s="856" t="s">
        <v>2694</v>
      </c>
      <c r="D290" s="856">
        <v>44212316</v>
      </c>
      <c r="E290" s="856">
        <v>-44212316</v>
      </c>
      <c r="F290" s="856">
        <f t="shared" si="6"/>
        <v>0</v>
      </c>
    </row>
    <row r="291" spans="1:6" x14ac:dyDescent="0.25">
      <c r="B291" s="64">
        <v>5370</v>
      </c>
      <c r="C291" s="856" t="s">
        <v>1607</v>
      </c>
      <c r="D291" s="856">
        <v>291795254.39999998</v>
      </c>
      <c r="E291" s="856">
        <v>-291795254.39999998</v>
      </c>
      <c r="F291" s="856">
        <f t="shared" si="6"/>
        <v>0</v>
      </c>
    </row>
    <row r="292" spans="1:6" x14ac:dyDescent="0.25">
      <c r="B292" s="64">
        <v>5735</v>
      </c>
      <c r="C292" s="856" t="s">
        <v>1611</v>
      </c>
      <c r="D292" s="856">
        <v>13000000</v>
      </c>
      <c r="E292" s="856">
        <v>-13000000</v>
      </c>
      <c r="F292" s="856">
        <f t="shared" si="6"/>
        <v>0</v>
      </c>
    </row>
    <row r="293" spans="1:6" x14ac:dyDescent="0.25">
      <c r="B293" s="64">
        <v>5737</v>
      </c>
      <c r="C293" s="856" t="s">
        <v>1618</v>
      </c>
      <c r="D293" s="856">
        <v>56660401</v>
      </c>
      <c r="E293" s="856">
        <v>0</v>
      </c>
      <c r="F293" s="856">
        <f t="shared" si="6"/>
        <v>56660401</v>
      </c>
    </row>
    <row r="294" spans="1:6" x14ac:dyDescent="0.25">
      <c r="B294" s="64">
        <v>5386</v>
      </c>
      <c r="C294" s="856" t="s">
        <v>1608</v>
      </c>
      <c r="D294" s="856">
        <v>32763071.16</v>
      </c>
      <c r="E294" s="856">
        <v>-32763071.16</v>
      </c>
      <c r="F294" s="856">
        <f t="shared" si="6"/>
        <v>0</v>
      </c>
    </row>
    <row r="295" spans="1:6" x14ac:dyDescent="0.25">
      <c r="B295" s="64">
        <v>5457</v>
      </c>
      <c r="C295" s="856" t="s">
        <v>2667</v>
      </c>
      <c r="D295" s="856">
        <v>15000000</v>
      </c>
      <c r="E295" s="856">
        <v>-15000000</v>
      </c>
      <c r="F295" s="856">
        <f t="shared" si="6"/>
        <v>0</v>
      </c>
    </row>
    <row r="296" spans="1:6" ht="15.75" thickBot="1" x14ac:dyDescent="0.3">
      <c r="B296" s="64">
        <v>8945</v>
      </c>
      <c r="C296" s="856" t="s">
        <v>2695</v>
      </c>
      <c r="D296" s="856">
        <v>13239.84</v>
      </c>
      <c r="E296" s="856">
        <v>-13239.84</v>
      </c>
      <c r="F296" s="856">
        <f t="shared" si="6"/>
        <v>0</v>
      </c>
    </row>
    <row r="297" spans="1:6" ht="15.75" thickBot="1" x14ac:dyDescent="0.3">
      <c r="B297" s="862" t="s">
        <v>671</v>
      </c>
      <c r="C297" s="872"/>
      <c r="D297" s="872">
        <f>SUM(D286:D296)</f>
        <v>1101588321.3199999</v>
      </c>
      <c r="E297" s="863">
        <f>SUM(E286:E296)</f>
        <v>-1044927920.3199999</v>
      </c>
      <c r="F297" s="873">
        <v>0</v>
      </c>
    </row>
    <row r="298" spans="1:6" x14ac:dyDescent="0.25">
      <c r="B298" s="64"/>
    </row>
    <row r="299" spans="1:6" x14ac:dyDescent="0.25">
      <c r="A299" s="994"/>
      <c r="B299" s="994"/>
      <c r="C299" s="994"/>
    </row>
    <row r="300" spans="1:6" ht="45" x14ac:dyDescent="0.25">
      <c r="B300" s="875" t="s">
        <v>856</v>
      </c>
      <c r="C300" s="876" t="s">
        <v>53</v>
      </c>
      <c r="D300" s="877" t="s">
        <v>2696</v>
      </c>
      <c r="E300" s="877" t="s">
        <v>2697</v>
      </c>
      <c r="F300" s="876" t="s">
        <v>1601</v>
      </c>
    </row>
    <row r="301" spans="1:6" x14ac:dyDescent="0.25">
      <c r="B301" s="64">
        <v>18</v>
      </c>
      <c r="C301" s="856" t="s">
        <v>2609</v>
      </c>
      <c r="D301" s="856">
        <v>322779.65999999997</v>
      </c>
      <c r="E301" s="856">
        <v>-322779.65999999997</v>
      </c>
      <c r="F301" s="856">
        <f t="shared" ref="F301:F322" si="7">D301+E301</f>
        <v>0</v>
      </c>
    </row>
    <row r="302" spans="1:6" x14ac:dyDescent="0.25">
      <c r="B302" s="64">
        <v>30</v>
      </c>
      <c r="C302" s="856" t="s">
        <v>2610</v>
      </c>
      <c r="D302" s="856">
        <v>302847.77</v>
      </c>
      <c r="E302" s="856">
        <v>-302847.77</v>
      </c>
      <c r="F302" s="856">
        <f t="shared" si="7"/>
        <v>0</v>
      </c>
    </row>
    <row r="303" spans="1:6" x14ac:dyDescent="0.25">
      <c r="B303" s="64">
        <v>75</v>
      </c>
      <c r="C303" s="856" t="s">
        <v>2613</v>
      </c>
      <c r="D303" s="856">
        <v>264276.81</v>
      </c>
      <c r="E303" s="856">
        <v>-264276.81</v>
      </c>
      <c r="F303" s="856">
        <f t="shared" si="7"/>
        <v>0</v>
      </c>
    </row>
    <row r="304" spans="1:6" x14ac:dyDescent="0.25">
      <c r="B304" s="64">
        <v>94</v>
      </c>
      <c r="C304" s="856" t="s">
        <v>2698</v>
      </c>
      <c r="D304" s="856">
        <v>0</v>
      </c>
      <c r="E304" s="856">
        <v>0</v>
      </c>
      <c r="F304" s="856">
        <f t="shared" si="7"/>
        <v>0</v>
      </c>
    </row>
    <row r="305" spans="2:6" x14ac:dyDescent="0.25">
      <c r="B305" s="64">
        <v>122</v>
      </c>
      <c r="C305" s="856" t="s">
        <v>2615</v>
      </c>
      <c r="D305" s="856">
        <v>142749.14000000001</v>
      </c>
      <c r="E305" s="856">
        <v>-142749.14000000001</v>
      </c>
      <c r="F305" s="856">
        <f t="shared" si="7"/>
        <v>0</v>
      </c>
    </row>
    <row r="306" spans="2:6" x14ac:dyDescent="0.25">
      <c r="B306" s="64">
        <v>124</v>
      </c>
      <c r="C306" s="856" t="s">
        <v>2616</v>
      </c>
      <c r="D306" s="856">
        <v>372201.03</v>
      </c>
      <c r="E306" s="856">
        <v>-372201.03</v>
      </c>
      <c r="F306" s="856">
        <f t="shared" si="7"/>
        <v>0</v>
      </c>
    </row>
    <row r="307" spans="2:6" x14ac:dyDescent="0.25">
      <c r="B307" s="64">
        <v>170</v>
      </c>
      <c r="C307" s="856" t="s">
        <v>2619</v>
      </c>
      <c r="D307" s="856">
        <v>265190.01</v>
      </c>
      <c r="E307" s="856">
        <v>-265190.01</v>
      </c>
      <c r="F307" s="856">
        <f t="shared" si="7"/>
        <v>0</v>
      </c>
    </row>
    <row r="308" spans="2:6" x14ac:dyDescent="0.25">
      <c r="B308" s="64">
        <v>175</v>
      </c>
      <c r="C308" s="856" t="s">
        <v>2621</v>
      </c>
      <c r="D308" s="856">
        <v>378597.42</v>
      </c>
      <c r="E308" s="856">
        <v>-378597.42</v>
      </c>
      <c r="F308" s="856">
        <f t="shared" si="7"/>
        <v>0</v>
      </c>
    </row>
    <row r="309" spans="2:6" x14ac:dyDescent="0.25">
      <c r="B309" s="64">
        <v>189</v>
      </c>
      <c r="C309" s="856" t="s">
        <v>2623</v>
      </c>
      <c r="D309" s="856">
        <v>1211</v>
      </c>
      <c r="F309" s="856">
        <f t="shared" si="7"/>
        <v>1211</v>
      </c>
    </row>
    <row r="310" spans="2:6" x14ac:dyDescent="0.25">
      <c r="B310" s="64">
        <v>191</v>
      </c>
      <c r="C310" s="856" t="s">
        <v>2624</v>
      </c>
      <c r="D310" s="856">
        <v>164526.79999999999</v>
      </c>
      <c r="E310" s="856">
        <v>-164526.79999999999</v>
      </c>
      <c r="F310" s="856">
        <f t="shared" si="7"/>
        <v>0</v>
      </c>
    </row>
    <row r="311" spans="2:6" x14ac:dyDescent="0.25">
      <c r="B311" s="64">
        <v>195</v>
      </c>
      <c r="C311" s="856" t="s">
        <v>2625</v>
      </c>
      <c r="D311" s="856">
        <v>199302.51</v>
      </c>
      <c r="E311" s="856">
        <v>-199302.51</v>
      </c>
      <c r="F311" s="856">
        <f t="shared" si="7"/>
        <v>0</v>
      </c>
    </row>
    <row r="312" spans="2:6" x14ac:dyDescent="0.25">
      <c r="B312" s="64">
        <v>196</v>
      </c>
      <c r="C312" s="856" t="s">
        <v>2626</v>
      </c>
      <c r="D312" s="856">
        <v>287613.33</v>
      </c>
      <c r="E312" s="856">
        <v>-287613.33</v>
      </c>
      <c r="F312" s="856">
        <f t="shared" si="7"/>
        <v>0</v>
      </c>
    </row>
    <row r="313" spans="2:6" x14ac:dyDescent="0.25">
      <c r="B313" s="64">
        <v>204</v>
      </c>
      <c r="C313" s="856" t="s">
        <v>2627</v>
      </c>
      <c r="D313" s="856">
        <v>450260.1</v>
      </c>
      <c r="E313" s="856">
        <v>-450260.1</v>
      </c>
      <c r="F313" s="856">
        <f t="shared" si="7"/>
        <v>0</v>
      </c>
    </row>
    <row r="314" spans="2:6" x14ac:dyDescent="0.25">
      <c r="B314" s="64">
        <v>272</v>
      </c>
      <c r="C314" s="856" t="s">
        <v>2633</v>
      </c>
      <c r="D314" s="856">
        <v>120738.28</v>
      </c>
      <c r="E314" s="856">
        <v>-120738.28</v>
      </c>
      <c r="F314" s="856">
        <f t="shared" si="7"/>
        <v>0</v>
      </c>
    </row>
    <row r="315" spans="2:6" x14ac:dyDescent="0.25">
      <c r="B315" s="64">
        <v>292</v>
      </c>
      <c r="C315" s="856" t="s">
        <v>2635</v>
      </c>
      <c r="D315" s="856">
        <v>179263.93</v>
      </c>
      <c r="E315" s="856">
        <v>-179263.93</v>
      </c>
      <c r="F315" s="856">
        <f t="shared" si="7"/>
        <v>0</v>
      </c>
    </row>
    <row r="316" spans="2:6" x14ac:dyDescent="0.25">
      <c r="B316" s="64">
        <v>302</v>
      </c>
      <c r="C316" s="856" t="s">
        <v>2638</v>
      </c>
      <c r="D316" s="856">
        <v>100600.11</v>
      </c>
      <c r="F316" s="856">
        <f t="shared" si="7"/>
        <v>100600.11</v>
      </c>
    </row>
    <row r="317" spans="2:6" x14ac:dyDescent="0.25">
      <c r="B317" s="64">
        <v>378</v>
      </c>
      <c r="C317" s="856" t="s">
        <v>2645</v>
      </c>
      <c r="D317" s="856">
        <v>1440576.22</v>
      </c>
      <c r="E317" s="856">
        <v>-1440576.22</v>
      </c>
      <c r="F317" s="856">
        <f t="shared" si="7"/>
        <v>0</v>
      </c>
    </row>
    <row r="318" spans="2:6" x14ac:dyDescent="0.25">
      <c r="B318" s="64">
        <v>412</v>
      </c>
      <c r="C318" s="856" t="s">
        <v>2685</v>
      </c>
      <c r="D318" s="856">
        <v>456542.95</v>
      </c>
      <c r="F318" s="856">
        <f t="shared" si="7"/>
        <v>456542.95</v>
      </c>
    </row>
    <row r="319" spans="2:6" x14ac:dyDescent="0.25">
      <c r="B319" s="64">
        <v>47</v>
      </c>
      <c r="C319" s="856" t="s">
        <v>2611</v>
      </c>
      <c r="D319" s="856">
        <v>298519.15000000002</v>
      </c>
      <c r="F319" s="856">
        <f t="shared" si="7"/>
        <v>298519.15000000002</v>
      </c>
    </row>
    <row r="320" spans="2:6" x14ac:dyDescent="0.25">
      <c r="B320" s="64">
        <v>99</v>
      </c>
      <c r="C320" s="856" t="s">
        <v>2614</v>
      </c>
      <c r="D320" s="856">
        <v>167767.29</v>
      </c>
      <c r="E320" s="856">
        <v>-167767.29</v>
      </c>
      <c r="F320" s="856">
        <f t="shared" si="7"/>
        <v>0</v>
      </c>
    </row>
    <row r="321" spans="1:8" x14ac:dyDescent="0.25">
      <c r="B321" s="64">
        <v>233</v>
      </c>
      <c r="C321" s="856" t="s">
        <v>2630</v>
      </c>
      <c r="D321" s="856">
        <v>406539.24</v>
      </c>
      <c r="E321" s="856">
        <v>-406539.24</v>
      </c>
      <c r="F321" s="856">
        <f t="shared" si="7"/>
        <v>0</v>
      </c>
    </row>
    <row r="322" spans="1:8" ht="15.75" thickBot="1" x14ac:dyDescent="0.3">
      <c r="B322" s="64">
        <v>295</v>
      </c>
      <c r="C322" s="856" t="s">
        <v>2636</v>
      </c>
      <c r="D322" s="856">
        <v>134069.76000000001</v>
      </c>
      <c r="E322" s="856">
        <v>-134069.76000000001</v>
      </c>
      <c r="F322" s="856">
        <f t="shared" si="7"/>
        <v>0</v>
      </c>
    </row>
    <row r="323" spans="1:8" ht="15.75" thickBot="1" x14ac:dyDescent="0.3">
      <c r="B323" s="862" t="s">
        <v>671</v>
      </c>
      <c r="C323" s="863"/>
      <c r="D323" s="863">
        <f>SUM(D301:D322)</f>
        <v>6456172.5100000007</v>
      </c>
      <c r="E323" s="863">
        <f>SUM(E301:E322)</f>
        <v>-5599299.3000000007</v>
      </c>
      <c r="F323" s="864">
        <f>SUM(F301:F322)</f>
        <v>856873.21000000008</v>
      </c>
    </row>
    <row r="324" spans="1:8" x14ac:dyDescent="0.25">
      <c r="B324" s="64"/>
    </row>
    <row r="325" spans="1:8" x14ac:dyDescent="0.25">
      <c r="A325" s="994"/>
      <c r="B325" s="994"/>
      <c r="C325" s="994"/>
    </row>
    <row r="326" spans="1:8" ht="45" x14ac:dyDescent="0.25">
      <c r="B326" s="875" t="s">
        <v>856</v>
      </c>
      <c r="C326" s="876" t="s">
        <v>53</v>
      </c>
      <c r="D326" s="877" t="s">
        <v>2699</v>
      </c>
      <c r="E326" s="876" t="s">
        <v>2522</v>
      </c>
      <c r="F326" s="876" t="s">
        <v>1601</v>
      </c>
    </row>
    <row r="327" spans="1:8" x14ac:dyDescent="0.25">
      <c r="B327" s="64">
        <v>189</v>
      </c>
      <c r="C327" s="856" t="s">
        <v>2623</v>
      </c>
      <c r="D327" s="856">
        <v>2389.83</v>
      </c>
      <c r="E327" s="856">
        <v>0</v>
      </c>
      <c r="F327" s="856">
        <f t="shared" ref="F327:F332" si="8">D327+E327</f>
        <v>2389.83</v>
      </c>
    </row>
    <row r="328" spans="1:8" x14ac:dyDescent="0.25">
      <c r="B328" s="64">
        <v>191</v>
      </c>
      <c r="C328" s="856" t="s">
        <v>2624</v>
      </c>
      <c r="D328" s="856">
        <v>617282.92000000004</v>
      </c>
      <c r="E328" s="856">
        <v>-617282.92000000004</v>
      </c>
      <c r="F328" s="856">
        <f t="shared" si="8"/>
        <v>0</v>
      </c>
    </row>
    <row r="329" spans="1:8" x14ac:dyDescent="0.25">
      <c r="B329" s="64">
        <v>273</v>
      </c>
      <c r="C329" s="856" t="s">
        <v>2634</v>
      </c>
      <c r="D329" s="856">
        <v>0</v>
      </c>
      <c r="E329" s="856">
        <v>0</v>
      </c>
      <c r="F329" s="856">
        <f t="shared" si="8"/>
        <v>0</v>
      </c>
    </row>
    <row r="330" spans="1:8" x14ac:dyDescent="0.25">
      <c r="B330" s="64">
        <v>304</v>
      </c>
      <c r="C330" s="856" t="s">
        <v>2639</v>
      </c>
      <c r="D330" s="856">
        <v>395.34</v>
      </c>
      <c r="E330" s="856">
        <v>-395.34</v>
      </c>
      <c r="F330" s="856">
        <f t="shared" si="8"/>
        <v>0</v>
      </c>
    </row>
    <row r="331" spans="1:8" x14ac:dyDescent="0.25">
      <c r="B331" s="64">
        <v>412</v>
      </c>
      <c r="C331" s="856" t="s">
        <v>2685</v>
      </c>
      <c r="D331" s="856">
        <v>2586.65</v>
      </c>
      <c r="E331" s="856">
        <v>0</v>
      </c>
      <c r="F331" s="856">
        <f t="shared" si="8"/>
        <v>2586.65</v>
      </c>
    </row>
    <row r="332" spans="1:8" ht="15.75" thickBot="1" x14ac:dyDescent="0.3">
      <c r="B332" s="64">
        <v>107</v>
      </c>
      <c r="C332" s="856" t="s">
        <v>2700</v>
      </c>
      <c r="D332" s="856">
        <v>696.38</v>
      </c>
      <c r="E332" s="856">
        <v>-696.38</v>
      </c>
      <c r="F332" s="856">
        <f t="shared" si="8"/>
        <v>0</v>
      </c>
    </row>
    <row r="333" spans="1:8" ht="15.75" thickBot="1" x14ac:dyDescent="0.3">
      <c r="B333" s="862" t="s">
        <v>671</v>
      </c>
      <c r="C333" s="863"/>
      <c r="D333" s="878">
        <f>SUM(D327:D332)</f>
        <v>623351.12</v>
      </c>
      <c r="E333" s="878">
        <f>SUM(E327:E332)</f>
        <v>-618374.64</v>
      </c>
      <c r="F333" s="864">
        <f>SUM(F327:F332)</f>
        <v>4976.4799999999996</v>
      </c>
      <c r="H333" s="856">
        <f>E323+E333+E342</f>
        <v>-7039999.3000000007</v>
      </c>
    </row>
    <row r="334" spans="1:8" x14ac:dyDescent="0.25">
      <c r="B334" s="64"/>
    </row>
    <row r="335" spans="1:8" x14ac:dyDescent="0.25">
      <c r="A335" s="994"/>
      <c r="B335" s="994"/>
      <c r="C335" s="994"/>
    </row>
    <row r="336" spans="1:8" ht="45" x14ac:dyDescent="0.25">
      <c r="B336" s="875" t="s">
        <v>856</v>
      </c>
      <c r="C336" s="876" t="s">
        <v>53</v>
      </c>
      <c r="D336" s="877" t="s">
        <v>2701</v>
      </c>
      <c r="E336" s="876" t="s">
        <v>2522</v>
      </c>
      <c r="F336" s="876" t="s">
        <v>1601</v>
      </c>
    </row>
    <row r="337" spans="1:6" x14ac:dyDescent="0.25">
      <c r="B337" s="879" t="s">
        <v>2702</v>
      </c>
      <c r="C337" s="856" t="s">
        <v>2703</v>
      </c>
      <c r="D337" s="880">
        <v>146339.34</v>
      </c>
      <c r="E337" s="51">
        <v>0</v>
      </c>
      <c r="F337" s="51">
        <f>D337+E337</f>
        <v>146339.34</v>
      </c>
    </row>
    <row r="338" spans="1:6" x14ac:dyDescent="0.25">
      <c r="B338" s="879" t="s">
        <v>2704</v>
      </c>
      <c r="C338" s="856" t="s">
        <v>2631</v>
      </c>
      <c r="D338" s="880">
        <v>378000</v>
      </c>
      <c r="E338" s="51">
        <v>-378000</v>
      </c>
      <c r="F338" s="51">
        <f>D338+E338</f>
        <v>0</v>
      </c>
    </row>
    <row r="339" spans="1:6" x14ac:dyDescent="0.25">
      <c r="B339" s="879" t="s">
        <v>2705</v>
      </c>
      <c r="C339" s="856" t="s">
        <v>2632</v>
      </c>
      <c r="D339" s="880">
        <v>171212.2</v>
      </c>
      <c r="E339" s="51">
        <v>-171212.2</v>
      </c>
      <c r="F339" s="51">
        <f>D339+E339</f>
        <v>0</v>
      </c>
    </row>
    <row r="340" spans="1:6" x14ac:dyDescent="0.25">
      <c r="B340" s="879" t="s">
        <v>2706</v>
      </c>
      <c r="C340" s="856" t="s">
        <v>2649</v>
      </c>
      <c r="D340" s="880">
        <v>273113.15999999997</v>
      </c>
      <c r="E340" s="51">
        <v>-273113.15999999997</v>
      </c>
      <c r="F340" s="51">
        <f>D340+E340</f>
        <v>0</v>
      </c>
    </row>
    <row r="341" spans="1:6" ht="15.75" thickBot="1" x14ac:dyDescent="0.3">
      <c r="B341" s="879">
        <v>202</v>
      </c>
      <c r="C341" t="s">
        <v>2707</v>
      </c>
      <c r="D341" s="880">
        <v>0</v>
      </c>
      <c r="E341" s="51">
        <v>0</v>
      </c>
      <c r="F341" s="51"/>
    </row>
    <row r="342" spans="1:6" ht="15.75" thickBot="1" x14ac:dyDescent="0.3">
      <c r="B342" s="862" t="s">
        <v>671</v>
      </c>
      <c r="C342" s="863"/>
      <c r="D342" s="881">
        <f>SUM(D337:D341)</f>
        <v>968664.7</v>
      </c>
      <c r="E342" s="881">
        <f>SUM(E337:E341)</f>
        <v>-822325.35999999987</v>
      </c>
      <c r="F342" s="882">
        <f>SUM(F337:F340)</f>
        <v>146339.34</v>
      </c>
    </row>
    <row r="343" spans="1:6" x14ac:dyDescent="0.25">
      <c r="B343" s="64"/>
    </row>
    <row r="344" spans="1:6" x14ac:dyDescent="0.25">
      <c r="A344" s="994"/>
      <c r="B344" s="994"/>
      <c r="C344" s="994"/>
    </row>
    <row r="345" spans="1:6" ht="90" x14ac:dyDescent="0.25">
      <c r="B345" s="875" t="s">
        <v>856</v>
      </c>
      <c r="C345" s="876" t="s">
        <v>53</v>
      </c>
      <c r="D345" s="877" t="s">
        <v>2708</v>
      </c>
      <c r="E345" s="876" t="s">
        <v>2522</v>
      </c>
      <c r="F345" s="876" t="s">
        <v>1601</v>
      </c>
    </row>
    <row r="346" spans="1:6" x14ac:dyDescent="0.25">
      <c r="B346" s="883" t="s">
        <v>2709</v>
      </c>
      <c r="C346" s="856" t="s">
        <v>2523</v>
      </c>
      <c r="D346" s="880">
        <v>1468866.45</v>
      </c>
      <c r="E346" s="894">
        <v>0</v>
      </c>
      <c r="F346" s="51">
        <f t="shared" ref="F346:F360" si="9">D346+E346</f>
        <v>1468866.45</v>
      </c>
    </row>
    <row r="347" spans="1:6" x14ac:dyDescent="0.25">
      <c r="B347" s="883" t="s">
        <v>2710</v>
      </c>
      <c r="C347" s="856" t="s">
        <v>1621</v>
      </c>
      <c r="D347" s="880">
        <v>146648480.56</v>
      </c>
      <c r="E347" s="51">
        <f>-1248360-145400120.56</f>
        <v>-146648480.56</v>
      </c>
      <c r="F347" s="51">
        <f t="shared" si="9"/>
        <v>0</v>
      </c>
    </row>
    <row r="348" spans="1:6" x14ac:dyDescent="0.25">
      <c r="B348" s="883" t="s">
        <v>2711</v>
      </c>
      <c r="C348" s="856" t="s">
        <v>1622</v>
      </c>
      <c r="D348" s="880">
        <v>277304630.58999997</v>
      </c>
      <c r="E348" s="51">
        <f>-118082509.95-159222120.64</f>
        <v>-277304630.58999997</v>
      </c>
      <c r="F348" s="51">
        <f t="shared" si="9"/>
        <v>0</v>
      </c>
    </row>
    <row r="349" spans="1:6" x14ac:dyDescent="0.25">
      <c r="B349" s="883" t="s">
        <v>2712</v>
      </c>
      <c r="C349" s="856" t="s">
        <v>2669</v>
      </c>
      <c r="D349" s="880">
        <v>2313030.59</v>
      </c>
      <c r="E349" s="51">
        <v>-2313030.59</v>
      </c>
      <c r="F349" s="51">
        <f t="shared" si="9"/>
        <v>0</v>
      </c>
    </row>
    <row r="350" spans="1:6" x14ac:dyDescent="0.25">
      <c r="B350" s="883" t="s">
        <v>2713</v>
      </c>
      <c r="C350" s="856" t="s">
        <v>2714</v>
      </c>
      <c r="D350" s="880">
        <v>7520000</v>
      </c>
      <c r="E350" s="51">
        <v>-7520000</v>
      </c>
      <c r="F350" s="51">
        <f t="shared" si="9"/>
        <v>0</v>
      </c>
    </row>
    <row r="351" spans="1:6" x14ac:dyDescent="0.25">
      <c r="B351" s="883" t="s">
        <v>2715</v>
      </c>
      <c r="C351" s="856" t="s">
        <v>2716</v>
      </c>
      <c r="D351" s="880">
        <v>113602007.5</v>
      </c>
      <c r="E351" s="51">
        <v>-113602007.5</v>
      </c>
      <c r="F351" s="51">
        <f t="shared" si="9"/>
        <v>0</v>
      </c>
    </row>
    <row r="352" spans="1:6" x14ac:dyDescent="0.25">
      <c r="B352" s="883" t="s">
        <v>2717</v>
      </c>
      <c r="C352" s="856" t="s">
        <v>1634</v>
      </c>
      <c r="D352" s="880">
        <v>8550175.2799999993</v>
      </c>
      <c r="E352" s="51">
        <v>-8550175.2799999993</v>
      </c>
      <c r="F352" s="51">
        <f t="shared" si="9"/>
        <v>0</v>
      </c>
    </row>
    <row r="353" spans="2:6" x14ac:dyDescent="0.25">
      <c r="B353" s="883" t="s">
        <v>2718</v>
      </c>
      <c r="C353" s="856" t="s">
        <v>2719</v>
      </c>
      <c r="D353" s="880">
        <v>85259269.159999996</v>
      </c>
      <c r="E353" s="51">
        <v>-85259269.159999996</v>
      </c>
      <c r="F353" s="51">
        <f t="shared" si="9"/>
        <v>0</v>
      </c>
    </row>
    <row r="354" spans="2:6" x14ac:dyDescent="0.25">
      <c r="B354" s="883" t="s">
        <v>2720</v>
      </c>
      <c r="C354" s="856" t="s">
        <v>1604</v>
      </c>
      <c r="D354" s="880">
        <v>2538432.14</v>
      </c>
      <c r="E354" s="51">
        <v>-2538432.14</v>
      </c>
      <c r="F354" s="51">
        <f t="shared" si="9"/>
        <v>0</v>
      </c>
    </row>
    <row r="355" spans="2:6" x14ac:dyDescent="0.25">
      <c r="B355" s="883" t="s">
        <v>2721</v>
      </c>
      <c r="C355" s="856" t="s">
        <v>2694</v>
      </c>
      <c r="D355" s="880">
        <v>492571857.00999999</v>
      </c>
      <c r="E355" s="51">
        <v>-492571857.00999999</v>
      </c>
      <c r="F355" s="51">
        <f t="shared" si="9"/>
        <v>0</v>
      </c>
    </row>
    <row r="356" spans="2:6" x14ac:dyDescent="0.25">
      <c r="B356" s="883" t="s">
        <v>2722</v>
      </c>
      <c r="C356" s="856" t="s">
        <v>2723</v>
      </c>
      <c r="D356" s="880">
        <v>2942181.33</v>
      </c>
      <c r="E356" s="51">
        <v>-2942181.33</v>
      </c>
      <c r="F356" s="51">
        <f t="shared" si="9"/>
        <v>0</v>
      </c>
    </row>
    <row r="357" spans="2:6" x14ac:dyDescent="0.25">
      <c r="B357" s="883" t="s">
        <v>2724</v>
      </c>
      <c r="C357" s="856" t="s">
        <v>2725</v>
      </c>
      <c r="D357" s="880">
        <v>380508.57</v>
      </c>
      <c r="E357" s="51">
        <v>-380508.57</v>
      </c>
      <c r="F357" s="51">
        <f t="shared" si="9"/>
        <v>0</v>
      </c>
    </row>
    <row r="358" spans="2:6" x14ac:dyDescent="0.25">
      <c r="B358" s="883" t="s">
        <v>2726</v>
      </c>
      <c r="C358" s="856" t="s">
        <v>2727</v>
      </c>
      <c r="D358" s="880">
        <v>1188834.25</v>
      </c>
      <c r="E358" s="51">
        <v>-1188834.25</v>
      </c>
      <c r="F358" s="51">
        <f t="shared" si="9"/>
        <v>0</v>
      </c>
    </row>
    <row r="359" spans="2:6" x14ac:dyDescent="0.25">
      <c r="B359" s="883" t="s">
        <v>2728</v>
      </c>
      <c r="C359" s="856" t="s">
        <v>2729</v>
      </c>
      <c r="D359" s="880">
        <v>1155932.3400000001</v>
      </c>
      <c r="E359" s="51">
        <v>-1155932.3400000001</v>
      </c>
      <c r="F359" s="51">
        <f t="shared" si="9"/>
        <v>0</v>
      </c>
    </row>
    <row r="360" spans="2:6" ht="15.75" thickBot="1" x14ac:dyDescent="0.3">
      <c r="B360" s="883" t="s">
        <v>2730</v>
      </c>
      <c r="C360" s="856" t="s">
        <v>2731</v>
      </c>
      <c r="D360" s="880">
        <v>300000</v>
      </c>
      <c r="E360" s="51">
        <v>-300000</v>
      </c>
      <c r="F360" s="51">
        <f t="shared" si="9"/>
        <v>0</v>
      </c>
    </row>
    <row r="361" spans="2:6" ht="15.75" thickBot="1" x14ac:dyDescent="0.3">
      <c r="B361" s="862" t="s">
        <v>671</v>
      </c>
      <c r="C361" s="863"/>
      <c r="D361" s="884">
        <f>SUM(D346:D360)</f>
        <v>1143744205.7699995</v>
      </c>
      <c r="E361" s="884">
        <f>SUM(E346:E360)</f>
        <v>-1142275339.3199997</v>
      </c>
      <c r="F361" s="885">
        <f>SUM(F346:F360)</f>
        <v>1468866.45</v>
      </c>
    </row>
    <row r="362" spans="2:6" x14ac:dyDescent="0.25">
      <c r="B362" s="64"/>
    </row>
    <row r="363" spans="2:6" x14ac:dyDescent="0.25">
      <c r="B363" s="64"/>
      <c r="C363" s="997"/>
      <c r="D363" s="997"/>
      <c r="E363" s="998"/>
    </row>
    <row r="364" spans="2:6" x14ac:dyDescent="0.25">
      <c r="B364" s="64"/>
      <c r="C364" s="997"/>
      <c r="D364" s="997"/>
      <c r="E364" s="998"/>
    </row>
    <row r="365" spans="2:6" x14ac:dyDescent="0.25">
      <c r="B365" s="64"/>
      <c r="C365" s="997"/>
      <c r="D365" s="997"/>
      <c r="E365" s="998"/>
    </row>
    <row r="367" spans="2:6" ht="60" x14ac:dyDescent="0.25">
      <c r="B367" s="875" t="s">
        <v>856</v>
      </c>
      <c r="C367" s="876" t="s">
        <v>53</v>
      </c>
      <c r="D367" s="877" t="s">
        <v>2732</v>
      </c>
      <c r="E367" s="877" t="s">
        <v>2733</v>
      </c>
      <c r="F367" s="876" t="s">
        <v>1601</v>
      </c>
    </row>
    <row r="368" spans="2:6" x14ac:dyDescent="0.25">
      <c r="B368" s="879">
        <v>5023</v>
      </c>
      <c r="C368" s="856" t="s">
        <v>2734</v>
      </c>
      <c r="D368" s="880">
        <v>2750005.33</v>
      </c>
      <c r="E368" s="51">
        <v>-2750005.33</v>
      </c>
      <c r="F368" s="51">
        <f>D368+E368</f>
        <v>0</v>
      </c>
    </row>
    <row r="369" spans="2:6" x14ac:dyDescent="0.25">
      <c r="B369" s="879">
        <v>5286</v>
      </c>
      <c r="C369" s="856" t="s">
        <v>2735</v>
      </c>
      <c r="D369" s="880">
        <v>500699.3</v>
      </c>
      <c r="E369" s="51">
        <v>-500699.3</v>
      </c>
      <c r="F369" s="51">
        <f>D369+E369</f>
        <v>0</v>
      </c>
    </row>
    <row r="370" spans="2:6" ht="15.75" thickBot="1" x14ac:dyDescent="0.3">
      <c r="B370" s="879">
        <v>5300</v>
      </c>
      <c r="C370" s="856" t="s">
        <v>2736</v>
      </c>
      <c r="D370" s="880">
        <v>2172.75</v>
      </c>
      <c r="E370" s="51">
        <v>-2172.75</v>
      </c>
      <c r="F370" s="51">
        <f>D370+E370</f>
        <v>0</v>
      </c>
    </row>
    <row r="371" spans="2:6" ht="15.75" thickBot="1" x14ac:dyDescent="0.3">
      <c r="B371" s="862" t="s">
        <v>671</v>
      </c>
      <c r="C371" s="863"/>
      <c r="D371" s="881">
        <f>SUM(D368:D370)</f>
        <v>3252877.38</v>
      </c>
      <c r="E371" s="881">
        <f>SUM(E368:E370)</f>
        <v>-3252877.38</v>
      </c>
      <c r="F371" s="882">
        <f>SUM(F368:F370)</f>
        <v>0</v>
      </c>
    </row>
    <row r="376" spans="2:6" ht="60" x14ac:dyDescent="0.25">
      <c r="B376" s="875" t="s">
        <v>856</v>
      </c>
      <c r="C376" s="876" t="s">
        <v>53</v>
      </c>
      <c r="D376" s="877" t="s">
        <v>2737</v>
      </c>
      <c r="E376" s="877" t="s">
        <v>2738</v>
      </c>
      <c r="F376" s="876" t="s">
        <v>1601</v>
      </c>
    </row>
    <row r="377" spans="2:6" x14ac:dyDescent="0.25">
      <c r="B377" s="879">
        <v>5250</v>
      </c>
      <c r="C377" s="856" t="s">
        <v>1602</v>
      </c>
      <c r="D377" s="880">
        <v>642159.91</v>
      </c>
      <c r="E377" s="51">
        <v>-642159.91</v>
      </c>
      <c r="F377" s="51">
        <f>D377+E377</f>
        <v>0</v>
      </c>
    </row>
    <row r="378" spans="2:6" x14ac:dyDescent="0.25">
      <c r="B378" s="879">
        <v>5370</v>
      </c>
      <c r="C378" s="856" t="s">
        <v>2739</v>
      </c>
      <c r="D378" s="880">
        <v>11380295.960000001</v>
      </c>
      <c r="E378" s="51">
        <v>-11380295.960000001</v>
      </c>
      <c r="F378" s="51">
        <f>D378+E378</f>
        <v>0</v>
      </c>
    </row>
    <row r="379" spans="2:6" x14ac:dyDescent="0.25">
      <c r="B379" s="879">
        <v>5386</v>
      </c>
      <c r="C379" s="856" t="s">
        <v>2740</v>
      </c>
      <c r="D379" s="880">
        <v>4077263.28</v>
      </c>
      <c r="E379" s="51">
        <v>-4077263.28</v>
      </c>
      <c r="F379" s="51">
        <f>D379+E379</f>
        <v>0</v>
      </c>
    </row>
    <row r="380" spans="2:6" x14ac:dyDescent="0.25">
      <c r="B380" s="879">
        <v>5457</v>
      </c>
      <c r="C380" s="856" t="s">
        <v>2741</v>
      </c>
      <c r="D380" s="880">
        <v>1789912.16</v>
      </c>
      <c r="E380" s="51">
        <v>-1789912.16</v>
      </c>
      <c r="F380" s="51"/>
    </row>
    <row r="381" spans="2:6" x14ac:dyDescent="0.25">
      <c r="B381" s="879">
        <v>5735</v>
      </c>
      <c r="C381" s="856" t="s">
        <v>2742</v>
      </c>
      <c r="D381" s="880">
        <v>2219182.54</v>
      </c>
      <c r="E381" s="51">
        <v>-2219182.54</v>
      </c>
      <c r="F381" s="51"/>
    </row>
    <row r="382" spans="2:6" ht="15.75" thickBot="1" x14ac:dyDescent="0.3">
      <c r="B382" s="879">
        <v>5737</v>
      </c>
      <c r="C382" s="856" t="s">
        <v>2743</v>
      </c>
      <c r="D382" s="880">
        <v>16279307.57</v>
      </c>
      <c r="E382" s="51">
        <v>0</v>
      </c>
      <c r="F382" s="51"/>
    </row>
    <row r="383" spans="2:6" ht="15.75" thickBot="1" x14ac:dyDescent="0.3">
      <c r="B383" s="862" t="s">
        <v>671</v>
      </c>
      <c r="C383" s="863"/>
      <c r="D383" s="881">
        <f>SUM(D377:D382)</f>
        <v>36388121.420000002</v>
      </c>
      <c r="E383" s="881">
        <f>SUM(E377:E382)</f>
        <v>-20108813.849999998</v>
      </c>
      <c r="F383" s="882">
        <f>SUM(F377:F379)</f>
        <v>0</v>
      </c>
    </row>
  </sheetData>
  <mergeCells count="11">
    <mergeCell ref="A325:C325"/>
    <mergeCell ref="A335:C335"/>
    <mergeCell ref="A344:C344"/>
    <mergeCell ref="C363:D365"/>
    <mergeCell ref="E363:E365"/>
    <mergeCell ref="A299:C299"/>
    <mergeCell ref="A93:C93"/>
    <mergeCell ref="A101:C101"/>
    <mergeCell ref="A130:C130"/>
    <mergeCell ref="C279:D279"/>
    <mergeCell ref="A284:C284"/>
  </mergeCells>
  <pageMargins left="0.25" right="0.18" top="0.74803149606299213" bottom="0.74803149606299213" header="0.31496062992125984" footer="0.31496062992125984"/>
  <pageSetup paperSize="9" scale="65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7FE6-2E55-4C25-8512-C84C6415A574}">
  <sheetPr codeName="Sheet8">
    <tabColor rgb="FFFF0000"/>
  </sheetPr>
  <dimension ref="A1:T237"/>
  <sheetViews>
    <sheetView topLeftCell="A122" zoomScale="80" zoomScaleNormal="80" workbookViewId="0">
      <selection activeCell="C191" sqref="C191"/>
    </sheetView>
  </sheetViews>
  <sheetFormatPr defaultRowHeight="15" x14ac:dyDescent="0.25"/>
  <cols>
    <col min="1" max="1" width="5.140625" customWidth="1"/>
    <col min="2" max="2" width="7.42578125" customWidth="1"/>
    <col min="3" max="3" width="52.7109375" customWidth="1"/>
    <col min="4" max="4" width="31.28515625" customWidth="1"/>
    <col min="5" max="6" width="17.140625" customWidth="1"/>
    <col min="7" max="7" width="20" customWidth="1"/>
    <col min="8" max="8" width="20.7109375" customWidth="1"/>
    <col min="9" max="10" width="23.42578125" customWidth="1"/>
    <col min="11" max="11" width="22.5703125" customWidth="1"/>
    <col min="12" max="14" width="24.42578125" hidden="1" customWidth="1"/>
    <col min="15" max="15" width="14.140625" customWidth="1"/>
    <col min="16" max="17" width="29.5703125" customWidth="1"/>
    <col min="18" max="18" width="30.140625" customWidth="1"/>
    <col min="19" max="19" width="19.28515625" customWidth="1"/>
    <col min="20" max="20" width="20.5703125" customWidth="1"/>
  </cols>
  <sheetData>
    <row r="1" spans="1:20" x14ac:dyDescent="0.25">
      <c r="A1" s="133" t="s">
        <v>22</v>
      </c>
      <c r="B1" s="133"/>
      <c r="C1" s="133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20" x14ac:dyDescent="0.25">
      <c r="A2" s="133" t="s">
        <v>794</v>
      </c>
      <c r="B2" s="133"/>
      <c r="C2" s="133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20" x14ac:dyDescent="0.25">
      <c r="A3" s="133" t="s">
        <v>1388</v>
      </c>
      <c r="B3" s="133"/>
      <c r="C3" s="13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20" ht="15.75" thickBot="1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20" ht="15" customHeight="1" x14ac:dyDescent="0.25">
      <c r="A5" s="141" t="s">
        <v>902</v>
      </c>
      <c r="B5" s="1014" t="s">
        <v>856</v>
      </c>
      <c r="C5" s="1006" t="s">
        <v>711</v>
      </c>
      <c r="D5" s="1000" t="s">
        <v>712</v>
      </c>
      <c r="E5" s="1006" t="s">
        <v>713</v>
      </c>
      <c r="F5" s="1000" t="s">
        <v>1656</v>
      </c>
      <c r="G5" s="1000" t="s">
        <v>1655</v>
      </c>
      <c r="H5" s="1006" t="s">
        <v>1497</v>
      </c>
      <c r="I5" s="1000" t="s">
        <v>1126</v>
      </c>
      <c r="J5" s="1000" t="s">
        <v>1393</v>
      </c>
      <c r="K5" s="1002" t="s">
        <v>797</v>
      </c>
      <c r="L5" s="1000" t="s">
        <v>1657</v>
      </c>
      <c r="M5" s="539" t="s">
        <v>1658</v>
      </c>
      <c r="N5" s="539" t="s">
        <v>1660</v>
      </c>
      <c r="O5" s="1010" t="s">
        <v>1516</v>
      </c>
      <c r="P5" s="1010"/>
      <c r="Q5" s="1010"/>
      <c r="R5" s="1010"/>
      <c r="S5" s="1010"/>
      <c r="T5" s="1011"/>
    </row>
    <row r="6" spans="1:20" ht="29.25" customHeight="1" thickBot="1" x14ac:dyDescent="0.3">
      <c r="A6" s="144" t="s">
        <v>878</v>
      </c>
      <c r="B6" s="1015"/>
      <c r="C6" s="1007"/>
      <c r="D6" s="1001"/>
      <c r="E6" s="1007"/>
      <c r="F6" s="1001"/>
      <c r="G6" s="1001"/>
      <c r="H6" s="1007"/>
      <c r="I6" s="1001"/>
      <c r="J6" s="1001"/>
      <c r="K6" s="1003"/>
      <c r="L6" s="1001"/>
      <c r="M6" s="540" t="s">
        <v>1659</v>
      </c>
      <c r="N6" s="540" t="s">
        <v>1661</v>
      </c>
      <c r="O6" s="522"/>
      <c r="P6" s="521" t="s">
        <v>1526</v>
      </c>
      <c r="Q6" s="522" t="s">
        <v>1582</v>
      </c>
      <c r="R6" s="523"/>
      <c r="S6" s="523"/>
      <c r="T6" s="524"/>
    </row>
    <row r="7" spans="1:20" ht="15.75" thickBot="1" x14ac:dyDescent="0.3">
      <c r="A7" s="52"/>
      <c r="B7" s="52"/>
      <c r="C7" s="118" t="s">
        <v>180</v>
      </c>
      <c r="D7" s="86"/>
      <c r="E7" s="86"/>
      <c r="F7" s="86"/>
      <c r="G7" s="52"/>
      <c r="H7" s="52"/>
      <c r="I7" s="52"/>
      <c r="J7" s="52"/>
      <c r="K7" s="52"/>
      <c r="L7" s="52"/>
      <c r="M7" s="52"/>
      <c r="N7" s="52"/>
      <c r="O7" s="179"/>
    </row>
    <row r="8" spans="1:20" ht="15.75" thickBot="1" x14ac:dyDescent="0.3">
      <c r="A8" s="52"/>
      <c r="B8" s="212"/>
      <c r="C8" s="119" t="s">
        <v>914</v>
      </c>
      <c r="D8" s="86"/>
      <c r="E8" s="86"/>
      <c r="F8" s="86"/>
      <c r="G8" s="52"/>
      <c r="H8" s="52"/>
      <c r="I8" s="52"/>
      <c r="J8" s="52"/>
      <c r="K8" s="52"/>
      <c r="L8" s="52"/>
      <c r="M8" s="52"/>
      <c r="N8" s="52"/>
      <c r="O8" s="50"/>
    </row>
    <row r="9" spans="1:20" ht="14.25" customHeight="1" thickBot="1" x14ac:dyDescent="0.3">
      <c r="A9" s="52"/>
      <c r="B9" s="212"/>
      <c r="C9" s="212"/>
      <c r="D9" s="86"/>
      <c r="E9" s="86"/>
      <c r="F9" s="86"/>
      <c r="G9" s="52"/>
      <c r="H9" s="52"/>
      <c r="I9" s="52"/>
      <c r="J9" s="52"/>
      <c r="K9" s="52"/>
      <c r="L9" s="52"/>
      <c r="M9" s="52"/>
      <c r="N9" s="52"/>
      <c r="O9" s="50"/>
    </row>
    <row r="10" spans="1:20" ht="33" customHeight="1" thickBot="1" x14ac:dyDescent="0.3">
      <c r="A10" s="52"/>
      <c r="B10" s="212"/>
      <c r="C10" s="119" t="s">
        <v>895</v>
      </c>
      <c r="D10" s="86"/>
      <c r="E10" s="86"/>
      <c r="F10" s="86"/>
      <c r="G10" s="52"/>
      <c r="H10" s="52"/>
      <c r="I10" s="52"/>
      <c r="J10" s="52"/>
      <c r="K10" s="52"/>
      <c r="L10" s="52"/>
      <c r="M10" s="52"/>
      <c r="N10" s="52"/>
    </row>
    <row r="11" spans="1:20" ht="39.75" customHeight="1" x14ac:dyDescent="0.25">
      <c r="A11" s="124">
        <v>1</v>
      </c>
      <c r="B11" s="124">
        <v>7067</v>
      </c>
      <c r="C11" s="213" t="s">
        <v>815</v>
      </c>
      <c r="D11" s="214">
        <v>121218</v>
      </c>
      <c r="E11" s="215">
        <v>50137.95</v>
      </c>
      <c r="F11" s="544">
        <f>I11/E11</f>
        <v>45000</v>
      </c>
      <c r="G11" s="216">
        <f>J11/E11</f>
        <v>54000</v>
      </c>
      <c r="H11" s="226">
        <v>12534000</v>
      </c>
      <c r="I11" s="226">
        <v>2256207750</v>
      </c>
      <c r="J11" s="226">
        <f>E11*T11</f>
        <v>2707449300</v>
      </c>
      <c r="K11" s="218">
        <f>J11-I11</f>
        <v>451241550</v>
      </c>
      <c r="L11" s="740">
        <f>K11/I11</f>
        <v>0.2</v>
      </c>
      <c r="M11" s="741">
        <f>J11-H11</f>
        <v>2694915300</v>
      </c>
      <c r="N11" s="550"/>
      <c r="O11" s="179"/>
      <c r="P11" s="747" t="s">
        <v>1678</v>
      </c>
      <c r="Q11" s="747" t="s">
        <v>1664</v>
      </c>
      <c r="R11" t="s">
        <v>1668</v>
      </c>
      <c r="S11" s="761" t="s">
        <v>1669</v>
      </c>
      <c r="T11" s="50">
        <f>162000/3</f>
        <v>54000</v>
      </c>
    </row>
    <row r="12" spans="1:20" ht="17.25" customHeight="1" x14ac:dyDescent="0.25">
      <c r="A12" s="124">
        <v>2</v>
      </c>
      <c r="B12" s="124">
        <v>7043</v>
      </c>
      <c r="C12" s="220" t="s">
        <v>820</v>
      </c>
      <c r="D12" s="221">
        <v>2122183</v>
      </c>
      <c r="E12" s="222">
        <v>5011.1099999999997</v>
      </c>
      <c r="F12" s="544">
        <v>300.79000000000002</v>
      </c>
      <c r="G12" s="216">
        <f>J12/E12</f>
        <v>101000</v>
      </c>
      <c r="H12" s="226">
        <v>13295767</v>
      </c>
      <c r="I12" s="226">
        <f>E12*F12</f>
        <v>1507291.7768999999</v>
      </c>
      <c r="J12" s="226">
        <f>E12*101000</f>
        <v>506122109.99999994</v>
      </c>
      <c r="K12" s="218">
        <f>J12-I12</f>
        <v>504614818.22309995</v>
      </c>
      <c r="L12" s="547">
        <f>K12/I12</f>
        <v>334.78243957578377</v>
      </c>
      <c r="M12" s="550">
        <f>J12-H12</f>
        <v>492826342.99999994</v>
      </c>
      <c r="N12" s="550"/>
      <c r="P12" s="102" t="s">
        <v>1571</v>
      </c>
      <c r="Q12" t="s">
        <v>1572</v>
      </c>
    </row>
    <row r="13" spans="1:20" ht="18" customHeight="1" x14ac:dyDescent="0.25">
      <c r="A13" s="124">
        <v>3</v>
      </c>
      <c r="B13" s="124">
        <v>7068</v>
      </c>
      <c r="C13" s="220" t="s">
        <v>816</v>
      </c>
      <c r="D13" s="214" t="s">
        <v>737</v>
      </c>
      <c r="E13" s="215">
        <v>1318</v>
      </c>
      <c r="F13" s="544">
        <f>I13/E13</f>
        <v>112000</v>
      </c>
      <c r="G13" s="216">
        <f>J13/E13</f>
        <v>110000</v>
      </c>
      <c r="H13" s="226">
        <v>791000</v>
      </c>
      <c r="I13" s="226">
        <v>147616000</v>
      </c>
      <c r="J13" s="226">
        <v>144980000</v>
      </c>
      <c r="K13" s="218">
        <f t="shared" ref="K13:K76" si="0">J13-I13</f>
        <v>-2636000</v>
      </c>
      <c r="L13" s="743">
        <f>K13/I13</f>
        <v>-1.7857142857142856E-2</v>
      </c>
      <c r="M13" s="742">
        <f>J13-H13</f>
        <v>144189000</v>
      </c>
      <c r="N13" s="757"/>
      <c r="P13" s="102" t="s">
        <v>1571</v>
      </c>
      <c r="Q13" t="s">
        <v>1577</v>
      </c>
      <c r="T13" s="179"/>
    </row>
    <row r="14" spans="1:20" ht="15.75" thickBot="1" x14ac:dyDescent="0.3">
      <c r="A14" s="124"/>
      <c r="B14" s="223"/>
      <c r="C14" s="224"/>
      <c r="D14" s="225"/>
      <c r="E14" s="215"/>
      <c r="F14" s="215"/>
      <c r="G14" s="226"/>
      <c r="H14" s="226"/>
      <c r="I14" s="226"/>
      <c r="J14" s="226"/>
      <c r="K14" s="218">
        <f t="shared" si="0"/>
        <v>0</v>
      </c>
      <c r="L14" s="547"/>
      <c r="M14" s="550"/>
      <c r="N14" s="550"/>
    </row>
    <row r="15" spans="1:20" ht="15.75" thickBot="1" x14ac:dyDescent="0.3">
      <c r="A15" s="124"/>
      <c r="B15" s="223"/>
      <c r="C15" s="137" t="s">
        <v>913</v>
      </c>
      <c r="D15" s="225"/>
      <c r="E15" s="215"/>
      <c r="F15" s="215"/>
      <c r="G15" s="226"/>
      <c r="H15" s="226"/>
      <c r="I15" s="226"/>
      <c r="J15" s="226"/>
      <c r="K15" s="218">
        <f t="shared" si="0"/>
        <v>0</v>
      </c>
      <c r="L15" s="547"/>
      <c r="M15" s="550"/>
      <c r="N15" s="550"/>
      <c r="T15" s="179"/>
    </row>
    <row r="16" spans="1:20" x14ac:dyDescent="0.25">
      <c r="A16" s="124">
        <v>4</v>
      </c>
      <c r="B16" s="124">
        <v>7041</v>
      </c>
      <c r="C16" s="213" t="s">
        <v>803</v>
      </c>
      <c r="D16" s="221" t="s">
        <v>818</v>
      </c>
      <c r="E16" s="227">
        <v>2579</v>
      </c>
      <c r="F16" s="544">
        <f>I16/E16</f>
        <v>413000</v>
      </c>
      <c r="G16" s="216">
        <f>J16/E16</f>
        <v>416000</v>
      </c>
      <c r="H16" s="226">
        <v>5289895.87</v>
      </c>
      <c r="I16" s="226">
        <v>1065127000</v>
      </c>
      <c r="J16" s="226">
        <v>1072864000</v>
      </c>
      <c r="K16" s="218">
        <f t="shared" si="0"/>
        <v>7737000</v>
      </c>
      <c r="L16" s="547">
        <f>K16/I16</f>
        <v>7.2639225181598066E-3</v>
      </c>
      <c r="M16" s="550">
        <f>J16-H16</f>
        <v>1067574104.13</v>
      </c>
      <c r="N16" s="550"/>
      <c r="P16" s="102" t="s">
        <v>1525</v>
      </c>
      <c r="Q16" t="s">
        <v>1530</v>
      </c>
    </row>
    <row r="17" spans="1:17" x14ac:dyDescent="0.25">
      <c r="A17" s="124">
        <v>5</v>
      </c>
      <c r="B17" s="124">
        <v>7042</v>
      </c>
      <c r="C17" s="220" t="s">
        <v>804</v>
      </c>
      <c r="D17" s="214" t="s">
        <v>819</v>
      </c>
      <c r="E17" s="215">
        <v>1002</v>
      </c>
      <c r="F17" s="544">
        <f>I17/E17</f>
        <v>570000</v>
      </c>
      <c r="G17" s="216">
        <f>J17/E17</f>
        <v>600000</v>
      </c>
      <c r="H17" s="226">
        <v>2809732.95</v>
      </c>
      <c r="I17" s="226">
        <v>571140000</v>
      </c>
      <c r="J17" s="226">
        <v>601200000</v>
      </c>
      <c r="K17" s="218">
        <f t="shared" si="0"/>
        <v>30060000</v>
      </c>
      <c r="L17" s="547">
        <f>K17/I17</f>
        <v>5.2631578947368418E-2</v>
      </c>
      <c r="M17" s="550">
        <f>J17-H17</f>
        <v>598390267.04999995</v>
      </c>
      <c r="N17" s="550"/>
      <c r="P17" s="102" t="s">
        <v>1571</v>
      </c>
      <c r="Q17" t="s">
        <v>1578</v>
      </c>
    </row>
    <row r="18" spans="1:17" x14ac:dyDescent="0.25">
      <c r="A18" s="124">
        <v>6</v>
      </c>
      <c r="B18" s="124">
        <v>7065</v>
      </c>
      <c r="C18" s="220" t="s">
        <v>826</v>
      </c>
      <c r="D18" s="221" t="s">
        <v>903</v>
      </c>
      <c r="E18" s="222">
        <v>1526</v>
      </c>
      <c r="F18" s="544">
        <f>I18/E18</f>
        <v>286199.2136304063</v>
      </c>
      <c r="G18" s="216">
        <f>J18/E18</f>
        <v>287601.5727391874</v>
      </c>
      <c r="H18" s="226">
        <v>1373000</v>
      </c>
      <c r="I18" s="226">
        <v>436740000</v>
      </c>
      <c r="J18" s="226">
        <v>438880000</v>
      </c>
      <c r="K18" s="218">
        <f t="shared" si="0"/>
        <v>2140000</v>
      </c>
      <c r="L18" s="547">
        <f>K18/I18</f>
        <v>4.8999404680130053E-3</v>
      </c>
      <c r="M18" s="550">
        <f>J18-H18</f>
        <v>437507000</v>
      </c>
      <c r="N18" s="550"/>
      <c r="P18" s="102" t="s">
        <v>1527</v>
      </c>
      <c r="Q18" t="s">
        <v>1531</v>
      </c>
    </row>
    <row r="19" spans="1:17" x14ac:dyDescent="0.25">
      <c r="A19" s="124">
        <v>7</v>
      </c>
      <c r="B19" s="124">
        <v>7064</v>
      </c>
      <c r="C19" s="220" t="s">
        <v>806</v>
      </c>
      <c r="D19" s="214" t="s">
        <v>837</v>
      </c>
      <c r="E19" s="215">
        <f>570+686</f>
        <v>1256</v>
      </c>
      <c r="F19" s="544">
        <f>I19/E19</f>
        <v>227000</v>
      </c>
      <c r="G19" s="216">
        <f>J19/E19</f>
        <v>230000</v>
      </c>
      <c r="H19" s="226">
        <v>691000</v>
      </c>
      <c r="I19" s="226">
        <v>285112000</v>
      </c>
      <c r="J19" s="226">
        <v>288880000</v>
      </c>
      <c r="K19" s="218">
        <f t="shared" si="0"/>
        <v>3768000</v>
      </c>
      <c r="L19" s="547">
        <f>K19/I19</f>
        <v>1.3215859030837005E-2</v>
      </c>
      <c r="M19" s="550">
        <f>J19-H19</f>
        <v>288189000</v>
      </c>
      <c r="N19" s="550"/>
      <c r="P19" s="102" t="s">
        <v>1571</v>
      </c>
      <c r="Q19" t="s">
        <v>1579</v>
      </c>
    </row>
    <row r="20" spans="1:17" ht="15.75" thickBot="1" x14ac:dyDescent="0.3">
      <c r="A20" s="124"/>
      <c r="B20" s="223"/>
      <c r="C20" s="224"/>
      <c r="D20" s="225"/>
      <c r="E20" s="215"/>
      <c r="F20" s="215"/>
      <c r="G20" s="226"/>
      <c r="H20" s="226"/>
      <c r="I20" s="226"/>
      <c r="J20" s="226"/>
      <c r="K20" s="218">
        <f t="shared" si="0"/>
        <v>0</v>
      </c>
      <c r="L20" s="547"/>
      <c r="M20" s="550"/>
      <c r="N20" s="550"/>
    </row>
    <row r="21" spans="1:17" ht="15.75" thickBot="1" x14ac:dyDescent="0.3">
      <c r="A21" s="124"/>
      <c r="B21" s="223"/>
      <c r="C21" s="137" t="s">
        <v>896</v>
      </c>
      <c r="D21" s="225"/>
      <c r="E21" s="215"/>
      <c r="F21" s="215"/>
      <c r="G21" s="226"/>
      <c r="H21" s="226"/>
      <c r="I21" s="226"/>
      <c r="J21" s="226"/>
      <c r="K21" s="218">
        <f t="shared" si="0"/>
        <v>0</v>
      </c>
      <c r="L21" s="547"/>
      <c r="M21" s="550"/>
      <c r="N21" s="550"/>
    </row>
    <row r="22" spans="1:17" ht="17.25" customHeight="1" x14ac:dyDescent="0.25">
      <c r="A22" s="124">
        <v>8</v>
      </c>
      <c r="B22" s="124">
        <v>7088</v>
      </c>
      <c r="C22" s="228" t="s">
        <v>821</v>
      </c>
      <c r="D22" s="221" t="s">
        <v>822</v>
      </c>
      <c r="E22" s="222">
        <v>12687</v>
      </c>
      <c r="F22" s="544">
        <f>I22/E22</f>
        <v>489000</v>
      </c>
      <c r="G22" s="216">
        <f>J22/E22</f>
        <v>491100.02364625206</v>
      </c>
      <c r="H22" s="226">
        <v>355236000</v>
      </c>
      <c r="I22" s="226">
        <v>6203943000</v>
      </c>
      <c r="J22" s="226">
        <v>6230586000</v>
      </c>
      <c r="K22" s="218">
        <f t="shared" si="0"/>
        <v>26643000</v>
      </c>
      <c r="L22" s="547">
        <f>K22/I22</f>
        <v>4.2945268839510616E-3</v>
      </c>
      <c r="M22" s="550">
        <f>J22-H22</f>
        <v>5875350000</v>
      </c>
      <c r="N22" s="550"/>
      <c r="P22" s="102" t="s">
        <v>1569</v>
      </c>
      <c r="Q22" t="s">
        <v>1570</v>
      </c>
    </row>
    <row r="23" spans="1:17" ht="15.75" thickBot="1" x14ac:dyDescent="0.3">
      <c r="A23" s="124"/>
      <c r="B23" s="223"/>
      <c r="C23" s="224"/>
      <c r="D23" s="229"/>
      <c r="E23" s="222"/>
      <c r="F23" s="222"/>
      <c r="G23" s="226"/>
      <c r="H23" s="226"/>
      <c r="I23" s="226"/>
      <c r="J23" s="226"/>
      <c r="K23" s="218">
        <f t="shared" si="0"/>
        <v>0</v>
      </c>
      <c r="L23" s="547"/>
      <c r="M23" s="550"/>
      <c r="N23" s="550"/>
      <c r="O23" s="51"/>
      <c r="Q23" s="51"/>
    </row>
    <row r="24" spans="1:17" ht="15.75" thickBot="1" x14ac:dyDescent="0.3">
      <c r="A24" s="70"/>
      <c r="B24" s="127"/>
      <c r="C24" s="137" t="s">
        <v>897</v>
      </c>
      <c r="D24" s="136"/>
      <c r="E24" s="70"/>
      <c r="F24" s="70"/>
      <c r="G24" s="195"/>
      <c r="H24" s="195"/>
      <c r="I24" s="195"/>
      <c r="J24" s="195"/>
      <c r="K24" s="218">
        <f t="shared" si="0"/>
        <v>0</v>
      </c>
      <c r="L24" s="547"/>
      <c r="M24" s="550"/>
      <c r="N24" s="550"/>
      <c r="O24" s="179"/>
      <c r="Q24" s="179"/>
    </row>
    <row r="25" spans="1:17" ht="21" customHeight="1" x14ac:dyDescent="0.25">
      <c r="A25" s="124">
        <v>9</v>
      </c>
      <c r="B25" s="124">
        <v>7066</v>
      </c>
      <c r="C25" s="213" t="s">
        <v>828</v>
      </c>
      <c r="D25" s="221" t="s">
        <v>717</v>
      </c>
      <c r="E25" s="222">
        <v>1895</v>
      </c>
      <c r="F25" s="544">
        <f>I25/E25</f>
        <v>294000</v>
      </c>
      <c r="G25" s="216">
        <f>J25/E25</f>
        <v>320800</v>
      </c>
      <c r="H25" s="226">
        <v>1327000</v>
      </c>
      <c r="I25" s="226">
        <v>557130000</v>
      </c>
      <c r="J25" s="226">
        <v>607916000</v>
      </c>
      <c r="K25" s="218">
        <f t="shared" si="0"/>
        <v>50786000</v>
      </c>
      <c r="L25" s="547">
        <f>K25/I25</f>
        <v>9.1156462585034015E-2</v>
      </c>
      <c r="M25" s="550">
        <f>J25-H25</f>
        <v>606589000</v>
      </c>
      <c r="N25" s="550"/>
      <c r="P25" s="102" t="s">
        <v>1527</v>
      </c>
      <c r="Q25" t="s">
        <v>1532</v>
      </c>
    </row>
    <row r="26" spans="1:17" ht="15.75" thickBot="1" x14ac:dyDescent="0.3">
      <c r="A26" s="124"/>
      <c r="B26" s="124"/>
      <c r="C26" s="230"/>
      <c r="D26" s="221"/>
      <c r="E26" s="222"/>
      <c r="F26" s="222"/>
      <c r="G26" s="226"/>
      <c r="H26" s="226"/>
      <c r="I26" s="226"/>
      <c r="J26" s="226"/>
      <c r="K26" s="218">
        <f t="shared" si="0"/>
        <v>0</v>
      </c>
      <c r="L26" s="547"/>
      <c r="M26" s="550"/>
      <c r="N26" s="550"/>
    </row>
    <row r="27" spans="1:17" ht="15.75" thickBot="1" x14ac:dyDescent="0.3">
      <c r="A27" s="70"/>
      <c r="B27" s="127"/>
      <c r="C27" s="137" t="s">
        <v>898</v>
      </c>
      <c r="D27" s="136"/>
      <c r="E27" s="70"/>
      <c r="F27" s="70"/>
      <c r="G27" s="195"/>
      <c r="H27" s="195"/>
      <c r="I27" s="195"/>
      <c r="J27" s="195"/>
      <c r="K27" s="218">
        <f t="shared" si="0"/>
        <v>0</v>
      </c>
      <c r="L27" s="547"/>
      <c r="M27" s="550"/>
      <c r="N27" s="550"/>
    </row>
    <row r="28" spans="1:17" ht="18" customHeight="1" x14ac:dyDescent="0.25">
      <c r="A28" s="124">
        <v>10</v>
      </c>
      <c r="B28" s="124">
        <v>7072</v>
      </c>
      <c r="C28" s="213" t="s">
        <v>827</v>
      </c>
      <c r="D28" s="221">
        <v>218982</v>
      </c>
      <c r="E28" s="231">
        <v>1012.5</v>
      </c>
      <c r="F28" s="544">
        <f>I28/E28</f>
        <v>197000</v>
      </c>
      <c r="G28" s="216">
        <f>J28/E28</f>
        <v>200000</v>
      </c>
      <c r="H28" s="226">
        <v>506000</v>
      </c>
      <c r="I28" s="226">
        <v>199462500</v>
      </c>
      <c r="J28" s="226">
        <v>202500000</v>
      </c>
      <c r="K28" s="218">
        <f t="shared" si="0"/>
        <v>3037500</v>
      </c>
      <c r="L28" s="547">
        <f>K28/I28</f>
        <v>1.5228426395939087E-2</v>
      </c>
      <c r="M28" s="550">
        <f>J28-H28</f>
        <v>201994000</v>
      </c>
      <c r="N28" s="550"/>
      <c r="P28" s="102" t="s">
        <v>1571</v>
      </c>
      <c r="Q28" t="s">
        <v>1580</v>
      </c>
    </row>
    <row r="29" spans="1:17" ht="18" customHeight="1" x14ac:dyDescent="0.25">
      <c r="A29" s="124">
        <v>11</v>
      </c>
      <c r="B29" s="124">
        <v>9148</v>
      </c>
      <c r="C29" s="232" t="s">
        <v>810</v>
      </c>
      <c r="D29" s="233">
        <v>69615</v>
      </c>
      <c r="E29" s="215">
        <v>623</v>
      </c>
      <c r="F29" s="544">
        <f>I29/E29</f>
        <v>63996.789727126808</v>
      </c>
      <c r="G29" s="216">
        <f>J29/E29</f>
        <v>72199.036918138037</v>
      </c>
      <c r="H29" s="226">
        <v>130830</v>
      </c>
      <c r="I29" s="226">
        <v>39870000</v>
      </c>
      <c r="J29" s="226">
        <v>44980000</v>
      </c>
      <c r="K29" s="218">
        <f t="shared" si="0"/>
        <v>5110000</v>
      </c>
      <c r="L29" s="547">
        <f>K29/I29</f>
        <v>0.12816654125909205</v>
      </c>
      <c r="M29" s="550">
        <f>J29-H29</f>
        <v>44849170</v>
      </c>
      <c r="N29" s="550"/>
      <c r="P29" s="102" t="s">
        <v>1527</v>
      </c>
      <c r="Q29" t="s">
        <v>1529</v>
      </c>
    </row>
    <row r="30" spans="1:17" ht="15.75" thickBot="1" x14ac:dyDescent="0.3">
      <c r="A30" s="124"/>
      <c r="B30" s="124"/>
      <c r="C30" s="234"/>
      <c r="D30" s="233"/>
      <c r="E30" s="215"/>
      <c r="F30" s="215"/>
      <c r="G30" s="226"/>
      <c r="H30" s="226"/>
      <c r="I30" s="226"/>
      <c r="J30" s="226"/>
      <c r="K30" s="218">
        <f t="shared" si="0"/>
        <v>0</v>
      </c>
      <c r="L30" s="547"/>
      <c r="M30" s="550"/>
      <c r="N30" s="550"/>
    </row>
    <row r="31" spans="1:17" ht="15.75" customHeight="1" thickBot="1" x14ac:dyDescent="0.3">
      <c r="A31" s="70"/>
      <c r="B31" s="127"/>
      <c r="C31" s="137" t="s">
        <v>899</v>
      </c>
      <c r="D31" s="136"/>
      <c r="E31" s="70"/>
      <c r="F31" s="70"/>
      <c r="G31" s="195"/>
      <c r="H31" s="195"/>
      <c r="I31" s="195"/>
      <c r="J31" s="195"/>
      <c r="K31" s="218">
        <f t="shared" si="0"/>
        <v>0</v>
      </c>
      <c r="L31" s="547"/>
      <c r="M31" s="550"/>
      <c r="N31" s="550"/>
    </row>
    <row r="32" spans="1:17" ht="18.75" customHeight="1" x14ac:dyDescent="0.25">
      <c r="A32" s="124">
        <v>12</v>
      </c>
      <c r="B32" s="124">
        <v>7071</v>
      </c>
      <c r="C32" s="213" t="s">
        <v>829</v>
      </c>
      <c r="D32" s="221" t="s">
        <v>904</v>
      </c>
      <c r="E32" s="222">
        <v>824</v>
      </c>
      <c r="F32" s="544">
        <f>I32/E32</f>
        <v>247002.42718446601</v>
      </c>
      <c r="G32" s="216">
        <f>J32/E32</f>
        <v>253701.45631067961</v>
      </c>
      <c r="H32" s="226">
        <v>659000</v>
      </c>
      <c r="I32" s="226">
        <v>203530000</v>
      </c>
      <c r="J32" s="226">
        <v>209050000</v>
      </c>
      <c r="K32" s="218">
        <f t="shared" si="0"/>
        <v>5520000</v>
      </c>
      <c r="L32" s="547">
        <f>K32/I32</f>
        <v>2.7121308897951162E-2</v>
      </c>
      <c r="M32" s="550">
        <f>J32-H32</f>
        <v>208391000</v>
      </c>
      <c r="N32" s="550"/>
      <c r="P32" s="102" t="s">
        <v>1527</v>
      </c>
      <c r="Q32" t="s">
        <v>1528</v>
      </c>
    </row>
    <row r="33" spans="1:18" ht="15.75" customHeight="1" thickBot="1" x14ac:dyDescent="0.3">
      <c r="A33" s="124"/>
      <c r="B33" s="124"/>
      <c r="C33" s="230"/>
      <c r="D33" s="221"/>
      <c r="E33" s="222"/>
      <c r="F33" s="222"/>
      <c r="G33" s="226"/>
      <c r="H33" s="226"/>
      <c r="I33" s="226"/>
      <c r="J33" s="226"/>
      <c r="K33" s="218">
        <f t="shared" si="0"/>
        <v>0</v>
      </c>
      <c r="L33" s="547"/>
      <c r="M33" s="550"/>
      <c r="N33" s="550"/>
    </row>
    <row r="34" spans="1:18" ht="15.75" customHeight="1" thickBot="1" x14ac:dyDescent="0.3">
      <c r="A34" s="124"/>
      <c r="B34" s="223"/>
      <c r="C34" s="137" t="s">
        <v>900</v>
      </c>
      <c r="D34" s="229"/>
      <c r="E34" s="788"/>
      <c r="F34" s="222"/>
      <c r="G34" s="226"/>
      <c r="H34" s="226"/>
      <c r="I34" s="226"/>
      <c r="J34" s="226"/>
      <c r="K34" s="218">
        <f t="shared" si="0"/>
        <v>0</v>
      </c>
      <c r="L34" s="547"/>
      <c r="M34" s="550"/>
      <c r="N34" s="550"/>
    </row>
    <row r="35" spans="1:18" ht="45.75" customHeight="1" x14ac:dyDescent="0.25">
      <c r="A35" s="124">
        <v>13</v>
      </c>
      <c r="B35" s="124">
        <v>7046</v>
      </c>
      <c r="C35" s="228" t="s">
        <v>824</v>
      </c>
      <c r="D35" s="785" t="s">
        <v>825</v>
      </c>
      <c r="E35" s="789">
        <v>25319</v>
      </c>
      <c r="F35" s="780">
        <f>1740530000/39851</f>
        <v>43675.942887255027</v>
      </c>
      <c r="G35" s="1004">
        <f>1596760000/39851</f>
        <v>40068.254247070334</v>
      </c>
      <c r="H35" s="475">
        <v>12911757.300000001</v>
      </c>
      <c r="I35" s="226">
        <v>1740530000</v>
      </c>
      <c r="J35" s="226">
        <f>2189784000-28729000</f>
        <v>2161055000</v>
      </c>
      <c r="K35" s="218">
        <f t="shared" si="0"/>
        <v>420525000</v>
      </c>
      <c r="L35" s="547">
        <f>K35/I35</f>
        <v>0.24160744141152407</v>
      </c>
      <c r="M35" s="550">
        <f>J35-H35</f>
        <v>2148143242.6999998</v>
      </c>
      <c r="N35" s="550"/>
      <c r="O35" s="179"/>
      <c r="P35" s="102" t="s">
        <v>1527</v>
      </c>
      <c r="Q35" t="s">
        <v>1666</v>
      </c>
      <c r="R35" s="179"/>
    </row>
    <row r="36" spans="1:18" ht="17.25" customHeight="1" thickBot="1" x14ac:dyDescent="0.3">
      <c r="A36" s="124"/>
      <c r="B36" s="223"/>
      <c r="C36" s="220"/>
      <c r="D36" s="786"/>
      <c r="E36" s="790">
        <v>14532</v>
      </c>
      <c r="F36" s="787"/>
      <c r="G36" s="1005"/>
      <c r="H36" s="404"/>
      <c r="I36" s="259"/>
      <c r="J36" s="259"/>
      <c r="K36" s="218">
        <f t="shared" si="0"/>
        <v>0</v>
      </c>
      <c r="L36" s="547"/>
      <c r="M36" s="550"/>
      <c r="N36" s="550"/>
      <c r="R36" s="179"/>
    </row>
    <row r="37" spans="1:18" ht="15.75" customHeight="1" thickBot="1" x14ac:dyDescent="0.3">
      <c r="A37" s="124"/>
      <c r="B37" s="223"/>
      <c r="C37" s="220"/>
      <c r="D37" s="237"/>
      <c r="E37" s="240">
        <f>SUM(E35:E36)</f>
        <v>39851</v>
      </c>
      <c r="F37" s="541"/>
      <c r="G37" s="226"/>
      <c r="H37" s="226"/>
      <c r="I37" s="226"/>
      <c r="J37" s="226"/>
      <c r="K37" s="218">
        <f t="shared" si="0"/>
        <v>0</v>
      </c>
      <c r="L37" s="547"/>
      <c r="M37" s="550"/>
      <c r="N37" s="550"/>
      <c r="R37" s="179"/>
    </row>
    <row r="38" spans="1:18" ht="15.75" customHeight="1" thickBot="1" x14ac:dyDescent="0.3">
      <c r="A38" s="124"/>
      <c r="B38" s="223"/>
      <c r="C38" s="241"/>
      <c r="D38" s="242"/>
      <c r="E38" s="243"/>
      <c r="F38" s="243"/>
      <c r="G38" s="226"/>
      <c r="H38" s="226"/>
      <c r="I38" s="226"/>
      <c r="J38" s="226"/>
      <c r="K38" s="218">
        <f t="shared" si="0"/>
        <v>0</v>
      </c>
      <c r="L38" s="547"/>
      <c r="M38" s="550"/>
      <c r="N38" s="550"/>
    </row>
    <row r="39" spans="1:18" ht="17.25" customHeight="1" thickBot="1" x14ac:dyDescent="0.3">
      <c r="A39" s="124"/>
      <c r="B39" s="223"/>
      <c r="C39" s="137" t="s">
        <v>901</v>
      </c>
      <c r="D39" s="237"/>
      <c r="E39" s="215"/>
      <c r="F39" s="215"/>
      <c r="G39" s="226"/>
      <c r="H39" s="226"/>
      <c r="I39" s="226"/>
      <c r="J39" s="226"/>
      <c r="K39" s="218">
        <f t="shared" si="0"/>
        <v>0</v>
      </c>
      <c r="L39" s="547"/>
      <c r="M39" s="550"/>
      <c r="N39" s="550"/>
    </row>
    <row r="40" spans="1:18" ht="18.75" customHeight="1" x14ac:dyDescent="0.25">
      <c r="A40" s="124">
        <v>14</v>
      </c>
      <c r="B40" s="124">
        <v>9146</v>
      </c>
      <c r="C40" s="232" t="s">
        <v>809</v>
      </c>
      <c r="D40" s="233" t="s">
        <v>729</v>
      </c>
      <c r="E40" s="215">
        <v>1426</v>
      </c>
      <c r="F40" s="544">
        <f>I40/E40</f>
        <v>31500.70126227209</v>
      </c>
      <c r="G40" s="216">
        <f>J40/E40</f>
        <v>51199.158485273496</v>
      </c>
      <c r="H40" s="226">
        <v>1600201.33</v>
      </c>
      <c r="I40" s="226">
        <v>44920000</v>
      </c>
      <c r="J40" s="226">
        <v>73010000</v>
      </c>
      <c r="K40" s="218">
        <f t="shared" si="0"/>
        <v>28090000</v>
      </c>
      <c r="L40" s="547">
        <f>K40/I40</f>
        <v>0.62533392698130008</v>
      </c>
      <c r="M40" s="550">
        <f>J40-H40</f>
        <v>71409798.670000002</v>
      </c>
      <c r="N40" s="550"/>
      <c r="P40" s="102" t="s">
        <v>1527</v>
      </c>
      <c r="Q40" t="s">
        <v>1533</v>
      </c>
    </row>
    <row r="41" spans="1:18" ht="15" customHeight="1" thickBot="1" x14ac:dyDescent="0.3">
      <c r="A41" s="124"/>
      <c r="B41" s="124"/>
      <c r="C41" s="244"/>
      <c r="D41" s="221"/>
      <c r="E41" s="222"/>
      <c r="F41" s="222"/>
      <c r="G41" s="226"/>
      <c r="H41" s="226"/>
      <c r="I41" s="226"/>
      <c r="J41" s="226"/>
      <c r="K41" s="218">
        <f t="shared" si="0"/>
        <v>0</v>
      </c>
      <c r="L41" s="547"/>
      <c r="M41" s="550"/>
      <c r="N41" s="550"/>
    </row>
    <row r="42" spans="1:18" ht="16.5" customHeight="1" thickBot="1" x14ac:dyDescent="0.3">
      <c r="A42" s="124"/>
      <c r="B42" s="223"/>
      <c r="C42" s="245" t="s">
        <v>840</v>
      </c>
      <c r="D42" s="229"/>
      <c r="E42" s="222"/>
      <c r="F42" s="222"/>
      <c r="G42" s="226"/>
      <c r="H42" s="226"/>
      <c r="I42" s="226"/>
      <c r="J42" s="226"/>
      <c r="K42" s="218">
        <f t="shared" si="0"/>
        <v>0</v>
      </c>
      <c r="L42" s="547"/>
      <c r="M42" s="550"/>
      <c r="N42" s="550"/>
    </row>
    <row r="43" spans="1:18" ht="18" customHeight="1" x14ac:dyDescent="0.25">
      <c r="A43" s="124">
        <v>15</v>
      </c>
      <c r="B43" s="124">
        <v>7061</v>
      </c>
      <c r="C43" s="246" t="s">
        <v>830</v>
      </c>
      <c r="D43" s="214">
        <v>96851</v>
      </c>
      <c r="E43" s="215">
        <v>6277</v>
      </c>
      <c r="F43" s="544">
        <f>I43/E43</f>
        <v>1102.4374701290426</v>
      </c>
      <c r="G43" s="216">
        <f>J43/E43</f>
        <v>1102.4374701290426</v>
      </c>
      <c r="H43" s="226">
        <v>63000</v>
      </c>
      <c r="I43" s="226">
        <v>6920000</v>
      </c>
      <c r="J43" s="226">
        <v>6920000</v>
      </c>
      <c r="K43" s="218">
        <f t="shared" si="0"/>
        <v>0</v>
      </c>
      <c r="L43" s="547">
        <f>K43/I43</f>
        <v>0</v>
      </c>
      <c r="M43" s="550">
        <f>J43-H43</f>
        <v>6857000</v>
      </c>
      <c r="N43" s="550"/>
      <c r="P43" s="102" t="s">
        <v>1527</v>
      </c>
      <c r="Q43" t="s">
        <v>1534</v>
      </c>
    </row>
    <row r="44" spans="1:18" ht="15" customHeight="1" thickBot="1" x14ac:dyDescent="0.3">
      <c r="A44" s="124"/>
      <c r="B44" s="124"/>
      <c r="C44" s="244"/>
      <c r="D44" s="214"/>
      <c r="E44" s="215"/>
      <c r="F44" s="215"/>
      <c r="G44" s="226"/>
      <c r="H44" s="226"/>
      <c r="I44" s="226"/>
      <c r="J44" s="226"/>
      <c r="K44" s="218">
        <f t="shared" si="0"/>
        <v>0</v>
      </c>
      <c r="L44" s="547"/>
      <c r="M44" s="550"/>
      <c r="N44" s="550"/>
    </row>
    <row r="45" spans="1:18" ht="18.75" customHeight="1" thickBot="1" x14ac:dyDescent="0.3">
      <c r="A45" s="124"/>
      <c r="B45" s="223"/>
      <c r="C45" s="245" t="s">
        <v>857</v>
      </c>
      <c r="D45" s="229"/>
      <c r="E45" s="222"/>
      <c r="F45" s="222"/>
      <c r="G45" s="226"/>
      <c r="H45" s="226"/>
      <c r="I45" s="226"/>
      <c r="J45" s="226"/>
      <c r="K45" s="218">
        <f t="shared" si="0"/>
        <v>0</v>
      </c>
      <c r="L45" s="547"/>
      <c r="M45" s="550"/>
      <c r="N45" s="550"/>
    </row>
    <row r="46" spans="1:18" ht="19.5" customHeight="1" x14ac:dyDescent="0.25">
      <c r="A46" s="124">
        <v>16</v>
      </c>
      <c r="B46" s="124">
        <v>8457</v>
      </c>
      <c r="C46" s="246" t="s">
        <v>722</v>
      </c>
      <c r="D46" s="214" t="s">
        <v>723</v>
      </c>
      <c r="E46" s="215">
        <v>5231</v>
      </c>
      <c r="F46" s="544">
        <f t="shared" ref="F46:F53" si="1">I46/E46</f>
        <v>8000.3823360734086</v>
      </c>
      <c r="G46" s="216">
        <f t="shared" ref="G46:G53" si="2">J46/E46</f>
        <v>10300.133817625692</v>
      </c>
      <c r="H46" s="226">
        <v>710623</v>
      </c>
      <c r="I46" s="226">
        <v>41850000</v>
      </c>
      <c r="J46" s="226">
        <v>53880000</v>
      </c>
      <c r="K46" s="218">
        <f t="shared" si="0"/>
        <v>12030000</v>
      </c>
      <c r="L46" s="547">
        <f t="shared" ref="L46:L53" si="3">K46/I46</f>
        <v>0.28745519713261647</v>
      </c>
      <c r="M46" s="550">
        <f>J46-H46</f>
        <v>53169377</v>
      </c>
      <c r="N46" s="550"/>
      <c r="P46" s="102" t="s">
        <v>1527</v>
      </c>
      <c r="Q46" t="s">
        <v>1535</v>
      </c>
    </row>
    <row r="47" spans="1:18" ht="33" customHeight="1" x14ac:dyDescent="0.25">
      <c r="A47" s="124">
        <v>17</v>
      </c>
      <c r="B47" s="124">
        <v>7076</v>
      </c>
      <c r="C47" s="214" t="s">
        <v>879</v>
      </c>
      <c r="D47" s="247" t="s">
        <v>862</v>
      </c>
      <c r="E47" s="215">
        <v>877</v>
      </c>
      <c r="F47" s="544">
        <f t="shared" si="1"/>
        <v>1687.5712656784492</v>
      </c>
      <c r="G47" s="216">
        <f t="shared" si="2"/>
        <v>2428.7343215507412</v>
      </c>
      <c r="H47" s="226">
        <v>0</v>
      </c>
      <c r="I47" s="475">
        <v>1480000</v>
      </c>
      <c r="J47" s="475">
        <v>2130000</v>
      </c>
      <c r="K47" s="218">
        <f t="shared" si="0"/>
        <v>650000</v>
      </c>
      <c r="L47" s="547">
        <f t="shared" si="3"/>
        <v>0.4391891891891892</v>
      </c>
      <c r="M47" s="550">
        <f>J47-H47</f>
        <v>2130000</v>
      </c>
      <c r="N47" s="550"/>
      <c r="O47" s="519"/>
      <c r="P47" s="102" t="s">
        <v>1527</v>
      </c>
      <c r="Q47" t="s">
        <v>1536</v>
      </c>
    </row>
    <row r="48" spans="1:18" ht="24" customHeight="1" x14ac:dyDescent="0.25">
      <c r="A48" s="124"/>
      <c r="B48" s="124"/>
      <c r="C48" s="214" t="s">
        <v>880</v>
      </c>
      <c r="D48" s="247" t="s">
        <v>758</v>
      </c>
      <c r="E48" s="215">
        <v>600</v>
      </c>
      <c r="F48" s="544">
        <f t="shared" si="1"/>
        <v>4300</v>
      </c>
      <c r="G48" s="216">
        <f t="shared" si="2"/>
        <v>5500</v>
      </c>
      <c r="H48" s="226">
        <v>0</v>
      </c>
      <c r="I48" s="475">
        <v>2580000</v>
      </c>
      <c r="J48" s="475">
        <v>3300000</v>
      </c>
      <c r="K48" s="218">
        <f t="shared" si="0"/>
        <v>720000</v>
      </c>
      <c r="L48" s="547">
        <f t="shared" si="3"/>
        <v>0.27906976744186046</v>
      </c>
      <c r="M48" s="550">
        <f>J48-H48</f>
        <v>3300000</v>
      </c>
      <c r="N48" s="550"/>
      <c r="O48" s="519"/>
      <c r="P48" s="102" t="s">
        <v>1527</v>
      </c>
      <c r="Q48" t="s">
        <v>1537</v>
      </c>
    </row>
    <row r="49" spans="1:17" ht="18.75" customHeight="1" x14ac:dyDescent="0.25">
      <c r="A49" s="124"/>
      <c r="B49" s="124"/>
      <c r="C49" s="214" t="s">
        <v>881</v>
      </c>
      <c r="D49" s="247" t="s">
        <v>863</v>
      </c>
      <c r="E49" s="215">
        <v>340</v>
      </c>
      <c r="F49" s="544">
        <f t="shared" si="1"/>
        <v>4294.1176470588234</v>
      </c>
      <c r="G49" s="216">
        <f t="shared" si="2"/>
        <v>4205.8823529411766</v>
      </c>
      <c r="H49" s="226">
        <v>6135.2</v>
      </c>
      <c r="I49" s="475">
        <v>1460000</v>
      </c>
      <c r="J49" s="475">
        <v>1430000</v>
      </c>
      <c r="K49" s="218">
        <f t="shared" si="0"/>
        <v>-30000</v>
      </c>
      <c r="L49" s="547">
        <f t="shared" si="3"/>
        <v>-2.0547945205479451E-2</v>
      </c>
      <c r="M49" s="550">
        <f>J49-H49</f>
        <v>1423864.8</v>
      </c>
      <c r="N49" s="550"/>
      <c r="O49" s="519"/>
      <c r="P49" s="102" t="s">
        <v>1527</v>
      </c>
      <c r="Q49" t="s">
        <v>1538</v>
      </c>
    </row>
    <row r="50" spans="1:17" ht="21.75" customHeight="1" x14ac:dyDescent="0.25">
      <c r="A50" s="124"/>
      <c r="B50" s="124"/>
      <c r="C50" s="214" t="s">
        <v>882</v>
      </c>
      <c r="D50" s="247" t="s">
        <v>864</v>
      </c>
      <c r="E50" s="215">
        <v>1139</v>
      </c>
      <c r="F50" s="544">
        <f t="shared" si="1"/>
        <v>10500.438981562775</v>
      </c>
      <c r="G50" s="216">
        <f t="shared" si="2"/>
        <v>10798.946444249341</v>
      </c>
      <c r="H50" s="226">
        <v>56370.7</v>
      </c>
      <c r="I50" s="475">
        <v>11960000</v>
      </c>
      <c r="J50" s="475">
        <v>12300000</v>
      </c>
      <c r="K50" s="218">
        <f t="shared" si="0"/>
        <v>340000</v>
      </c>
      <c r="L50" s="547">
        <f t="shared" si="3"/>
        <v>2.8428093645484948E-2</v>
      </c>
      <c r="M50" s="550">
        <f>J50-H50</f>
        <v>12243629.300000001</v>
      </c>
      <c r="N50" s="550"/>
      <c r="O50" s="519"/>
      <c r="P50" s="102" t="s">
        <v>1527</v>
      </c>
      <c r="Q50" t="s">
        <v>1539</v>
      </c>
    </row>
    <row r="51" spans="1:17" ht="21.75" customHeight="1" x14ac:dyDescent="0.25">
      <c r="A51" s="124"/>
      <c r="B51" s="124"/>
      <c r="C51" s="214"/>
      <c r="D51" s="247"/>
      <c r="E51" s="215"/>
      <c r="F51" s="215"/>
      <c r="G51" s="226"/>
      <c r="H51" s="259"/>
      <c r="I51" s="259"/>
      <c r="J51" s="259"/>
      <c r="K51" s="218">
        <f t="shared" si="0"/>
        <v>0</v>
      </c>
      <c r="L51" s="547"/>
      <c r="M51" s="550"/>
      <c r="N51" s="550"/>
    </row>
    <row r="52" spans="1:17" ht="18" customHeight="1" x14ac:dyDescent="0.25">
      <c r="A52" s="124">
        <v>18</v>
      </c>
      <c r="B52" s="124">
        <v>7070</v>
      </c>
      <c r="C52" s="251" t="s">
        <v>740</v>
      </c>
      <c r="D52" s="221" t="s">
        <v>741</v>
      </c>
      <c r="E52" s="252">
        <v>1526</v>
      </c>
      <c r="F52" s="544">
        <f t="shared" si="1"/>
        <v>25229.357798165136</v>
      </c>
      <c r="G52" s="216">
        <f t="shared" si="2"/>
        <v>29102.228047182176</v>
      </c>
      <c r="H52" s="226">
        <v>168000</v>
      </c>
      <c r="I52" s="226">
        <v>38500000</v>
      </c>
      <c r="J52" s="226">
        <v>44410000</v>
      </c>
      <c r="K52" s="218">
        <f t="shared" si="0"/>
        <v>5910000</v>
      </c>
      <c r="L52" s="547">
        <f t="shared" si="3"/>
        <v>0.15350649350649351</v>
      </c>
      <c r="M52" s="550">
        <f>J52-H52</f>
        <v>44242000</v>
      </c>
      <c r="N52" s="550"/>
      <c r="P52" s="102" t="s">
        <v>1527</v>
      </c>
      <c r="Q52" t="s">
        <v>1540</v>
      </c>
    </row>
    <row r="53" spans="1:17" ht="23.25" customHeight="1" x14ac:dyDescent="0.25">
      <c r="A53" s="124">
        <v>19</v>
      </c>
      <c r="B53" s="124">
        <v>9154</v>
      </c>
      <c r="C53" s="214" t="s">
        <v>811</v>
      </c>
      <c r="D53" s="233" t="s">
        <v>730</v>
      </c>
      <c r="E53" s="215">
        <v>480</v>
      </c>
      <c r="F53" s="544">
        <f t="shared" si="1"/>
        <v>729.16666666666663</v>
      </c>
      <c r="G53" s="216">
        <f t="shared" si="2"/>
        <v>791.66666666666663</v>
      </c>
      <c r="H53" s="226">
        <v>13069.42</v>
      </c>
      <c r="I53" s="226">
        <v>350000</v>
      </c>
      <c r="J53" s="226">
        <v>380000</v>
      </c>
      <c r="K53" s="218">
        <f t="shared" si="0"/>
        <v>30000</v>
      </c>
      <c r="L53" s="547">
        <f t="shared" si="3"/>
        <v>8.5714285714285715E-2</v>
      </c>
      <c r="M53" s="550">
        <f>J53-H53</f>
        <v>366930.58</v>
      </c>
      <c r="N53" s="550"/>
      <c r="P53" s="102" t="s">
        <v>1527</v>
      </c>
      <c r="Q53" t="s">
        <v>1541</v>
      </c>
    </row>
    <row r="54" spans="1:17" ht="15" customHeight="1" thickBot="1" x14ac:dyDescent="0.3">
      <c r="A54" s="124"/>
      <c r="B54" s="124"/>
      <c r="C54" s="253"/>
      <c r="D54" s="233"/>
      <c r="E54" s="215"/>
      <c r="F54" s="215"/>
      <c r="G54" s="226"/>
      <c r="H54" s="226"/>
      <c r="I54" s="226"/>
      <c r="J54" s="226"/>
      <c r="K54" s="218">
        <f t="shared" si="0"/>
        <v>0</v>
      </c>
      <c r="L54" s="547"/>
      <c r="M54" s="550"/>
      <c r="N54" s="550"/>
    </row>
    <row r="55" spans="1:17" ht="18.75" customHeight="1" thickBot="1" x14ac:dyDescent="0.3">
      <c r="A55" s="124"/>
      <c r="B55" s="223"/>
      <c r="C55" s="245" t="s">
        <v>841</v>
      </c>
      <c r="D55" s="229"/>
      <c r="E55" s="222"/>
      <c r="F55" s="222"/>
      <c r="G55" s="226"/>
      <c r="H55" s="226"/>
      <c r="I55" s="226"/>
      <c r="J55" s="226"/>
      <c r="K55" s="218">
        <f t="shared" si="0"/>
        <v>0</v>
      </c>
      <c r="L55" s="547"/>
      <c r="M55" s="550"/>
      <c r="N55" s="550"/>
      <c r="P55" s="101"/>
      <c r="Q55" s="101"/>
    </row>
    <row r="56" spans="1:17" ht="18" customHeight="1" x14ac:dyDescent="0.25">
      <c r="A56" s="124">
        <v>20</v>
      </c>
      <c r="B56" s="124">
        <v>7079</v>
      </c>
      <c r="C56" s="254" t="s">
        <v>831</v>
      </c>
      <c r="D56" s="233" t="s">
        <v>726</v>
      </c>
      <c r="E56" s="215">
        <v>54892</v>
      </c>
      <c r="F56" s="544">
        <f t="shared" ref="F56:F61" si="4">I56/E56</f>
        <v>728.70363623114474</v>
      </c>
      <c r="G56" s="216">
        <f t="shared" ref="G56:G61" si="5">J56/E56</f>
        <v>1184.1434088756102</v>
      </c>
      <c r="H56" s="226">
        <v>10963.4</v>
      </c>
      <c r="I56" s="226">
        <v>40000000</v>
      </c>
      <c r="J56" s="226">
        <v>65000000</v>
      </c>
      <c r="K56" s="218">
        <f t="shared" si="0"/>
        <v>25000000</v>
      </c>
      <c r="L56" s="547">
        <f t="shared" ref="L56:L61" si="6">K56/I56</f>
        <v>0.625</v>
      </c>
      <c r="M56" s="550">
        <f t="shared" ref="M56:M61" si="7">J56-H56</f>
        <v>64989036.600000001</v>
      </c>
      <c r="N56" s="550"/>
      <c r="P56" s="102" t="s">
        <v>1527</v>
      </c>
      <c r="Q56" t="s">
        <v>1542</v>
      </c>
    </row>
    <row r="57" spans="1:17" ht="15.75" customHeight="1" x14ac:dyDescent="0.25">
      <c r="A57" s="124">
        <v>21</v>
      </c>
      <c r="B57" s="124">
        <v>7078</v>
      </c>
      <c r="C57" s="214" t="s">
        <v>832</v>
      </c>
      <c r="D57" s="247" t="s">
        <v>735</v>
      </c>
      <c r="E57" s="215">
        <f>1000+1000</f>
        <v>2000</v>
      </c>
      <c r="F57" s="544">
        <f t="shared" si="4"/>
        <v>700</v>
      </c>
      <c r="G57" s="216">
        <f t="shared" si="5"/>
        <v>840</v>
      </c>
      <c r="H57" s="226">
        <v>30000</v>
      </c>
      <c r="I57" s="226">
        <v>1400000</v>
      </c>
      <c r="J57" s="226">
        <v>1680000</v>
      </c>
      <c r="K57" s="218">
        <f t="shared" si="0"/>
        <v>280000</v>
      </c>
      <c r="L57" s="547">
        <f t="shared" si="6"/>
        <v>0.2</v>
      </c>
      <c r="M57" s="550">
        <f t="shared" si="7"/>
        <v>1650000</v>
      </c>
      <c r="N57" s="550"/>
      <c r="O57" s="179"/>
      <c r="P57" s="102" t="s">
        <v>1527</v>
      </c>
      <c r="Q57" t="s">
        <v>1544</v>
      </c>
    </row>
    <row r="58" spans="1:17" ht="21" customHeight="1" thickBot="1" x14ac:dyDescent="0.3">
      <c r="A58" s="124">
        <v>22</v>
      </c>
      <c r="B58" s="124">
        <v>9152</v>
      </c>
      <c r="C58" s="214" t="s">
        <v>866</v>
      </c>
      <c r="D58" s="233" t="s">
        <v>867</v>
      </c>
      <c r="E58" s="781">
        <v>10071</v>
      </c>
      <c r="F58" s="544">
        <f t="shared" si="4"/>
        <v>1100.1886605103764</v>
      </c>
      <c r="G58" s="216">
        <f t="shared" si="5"/>
        <v>1100.1886605103764</v>
      </c>
      <c r="H58" s="226">
        <v>438630.98</v>
      </c>
      <c r="I58" s="475">
        <v>11080000</v>
      </c>
      <c r="J58" s="475">
        <v>11080000</v>
      </c>
      <c r="K58" s="218">
        <f t="shared" si="0"/>
        <v>0</v>
      </c>
      <c r="L58" s="547">
        <f t="shared" si="6"/>
        <v>0</v>
      </c>
      <c r="M58" s="550">
        <f t="shared" si="7"/>
        <v>10641369.02</v>
      </c>
      <c r="N58" s="550"/>
      <c r="O58" s="518"/>
      <c r="P58" s="102" t="s">
        <v>1527</v>
      </c>
      <c r="Q58" t="s">
        <v>1555</v>
      </c>
    </row>
    <row r="59" spans="1:17" ht="22.5" customHeight="1" x14ac:dyDescent="0.25">
      <c r="A59" s="124"/>
      <c r="B59" s="124"/>
      <c r="C59" s="214" t="s">
        <v>865</v>
      </c>
      <c r="D59" s="779" t="s">
        <v>868</v>
      </c>
      <c r="E59" s="782">
        <v>621</v>
      </c>
      <c r="F59" s="780">
        <f t="shared" si="4"/>
        <v>1304.3478260869565</v>
      </c>
      <c r="G59" s="216">
        <f t="shared" si="5"/>
        <v>1594.2028985507247</v>
      </c>
      <c r="H59" s="226">
        <v>0</v>
      </c>
      <c r="I59" s="475">
        <v>810000</v>
      </c>
      <c r="J59" s="475">
        <v>990000</v>
      </c>
      <c r="K59" s="218">
        <f t="shared" si="0"/>
        <v>180000</v>
      </c>
      <c r="L59" s="547">
        <f t="shared" si="6"/>
        <v>0.22222222222222221</v>
      </c>
      <c r="M59" s="550">
        <f t="shared" si="7"/>
        <v>990000</v>
      </c>
      <c r="N59" s="550"/>
      <c r="O59" s="519"/>
      <c r="P59" s="102" t="s">
        <v>1527</v>
      </c>
      <c r="Q59" s="1012" t="s">
        <v>1554</v>
      </c>
    </row>
    <row r="60" spans="1:17" ht="18.75" customHeight="1" x14ac:dyDescent="0.25">
      <c r="A60" s="124"/>
      <c r="B60" s="124"/>
      <c r="C60" s="253"/>
      <c r="D60" s="779"/>
      <c r="E60" s="783">
        <v>2928</v>
      </c>
      <c r="F60" s="780">
        <f t="shared" si="4"/>
        <v>1301.2295081967213</v>
      </c>
      <c r="G60" s="216">
        <f t="shared" si="5"/>
        <v>1601.7759562841529</v>
      </c>
      <c r="H60" s="226">
        <v>199720.11</v>
      </c>
      <c r="I60" s="475">
        <v>3810000</v>
      </c>
      <c r="J60" s="475">
        <v>4690000</v>
      </c>
      <c r="K60" s="218">
        <f t="shared" si="0"/>
        <v>880000</v>
      </c>
      <c r="L60" s="740">
        <f t="shared" si="6"/>
        <v>0.23097112860892388</v>
      </c>
      <c r="M60" s="741">
        <f t="shared" si="7"/>
        <v>4490279.8899999997</v>
      </c>
      <c r="N60" s="757"/>
      <c r="O60" s="519"/>
      <c r="P60" s="102" t="s">
        <v>1527</v>
      </c>
      <c r="Q60" s="1012"/>
    </row>
    <row r="61" spans="1:17" ht="18.75" customHeight="1" thickBot="1" x14ac:dyDescent="0.3">
      <c r="A61" s="124"/>
      <c r="B61" s="124"/>
      <c r="C61" s="253"/>
      <c r="D61" s="779"/>
      <c r="E61" s="784">
        <v>4125</v>
      </c>
      <c r="F61" s="780">
        <f t="shared" si="4"/>
        <v>1204.8484848484848</v>
      </c>
      <c r="G61" s="216">
        <f t="shared" si="5"/>
        <v>1483.6363636363637</v>
      </c>
      <c r="H61" s="226">
        <v>0</v>
      </c>
      <c r="I61" s="475">
        <v>4970000</v>
      </c>
      <c r="J61" s="475">
        <v>6120000</v>
      </c>
      <c r="K61" s="218">
        <f t="shared" si="0"/>
        <v>1150000</v>
      </c>
      <c r="L61" s="547">
        <f t="shared" si="6"/>
        <v>0.23138832997987926</v>
      </c>
      <c r="M61" s="550">
        <f t="shared" si="7"/>
        <v>6120000</v>
      </c>
      <c r="N61" s="550"/>
      <c r="O61" s="519"/>
      <c r="P61" s="102" t="s">
        <v>1527</v>
      </c>
      <c r="Q61" s="1012"/>
    </row>
    <row r="62" spans="1:17" ht="18" customHeight="1" thickBot="1" x14ac:dyDescent="0.3">
      <c r="A62" s="124"/>
      <c r="B62" s="124"/>
      <c r="C62" s="253"/>
      <c r="D62" s="233"/>
      <c r="E62" s="258">
        <f>SUM(E59:E61)</f>
        <v>7674</v>
      </c>
      <c r="F62" s="542"/>
      <c r="G62" s="259"/>
      <c r="H62" s="259"/>
      <c r="I62" s="259"/>
      <c r="J62" s="259"/>
      <c r="K62" s="218">
        <f t="shared" si="0"/>
        <v>0</v>
      </c>
      <c r="L62" s="547"/>
      <c r="M62" s="550"/>
      <c r="N62" s="550"/>
    </row>
    <row r="63" spans="1:17" ht="15" customHeight="1" thickBot="1" x14ac:dyDescent="0.3">
      <c r="A63" s="124"/>
      <c r="B63" s="124"/>
      <c r="C63" s="244"/>
      <c r="D63" s="221"/>
      <c r="E63" s="260"/>
      <c r="F63" s="260"/>
      <c r="G63" s="226"/>
      <c r="H63" s="226"/>
      <c r="I63" s="226"/>
      <c r="J63" s="226"/>
      <c r="K63" s="218">
        <f t="shared" si="0"/>
        <v>0</v>
      </c>
      <c r="L63" s="547"/>
      <c r="M63" s="550"/>
      <c r="N63" s="550"/>
    </row>
    <row r="64" spans="1:17" ht="21" customHeight="1" thickBot="1" x14ac:dyDescent="0.3">
      <c r="A64" s="124"/>
      <c r="B64" s="223"/>
      <c r="C64" s="245" t="s">
        <v>842</v>
      </c>
      <c r="D64" s="229"/>
      <c r="E64" s="222"/>
      <c r="F64" s="222"/>
      <c r="G64" s="226"/>
      <c r="H64" s="226"/>
      <c r="I64" s="226"/>
      <c r="J64" s="226"/>
      <c r="K64" s="218">
        <f t="shared" si="0"/>
        <v>0</v>
      </c>
      <c r="L64" s="547"/>
      <c r="M64" s="550"/>
      <c r="N64" s="550"/>
    </row>
    <row r="65" spans="1:17" ht="19.5" customHeight="1" x14ac:dyDescent="0.25">
      <c r="A65" s="124">
        <v>23</v>
      </c>
      <c r="B65" s="124">
        <v>7074</v>
      </c>
      <c r="C65" s="246" t="s">
        <v>833</v>
      </c>
      <c r="D65" s="221" t="s">
        <v>724</v>
      </c>
      <c r="E65" s="231">
        <v>1155</v>
      </c>
      <c r="F65" s="544">
        <f>I65/E65</f>
        <v>24796.536796536795</v>
      </c>
      <c r="G65" s="216">
        <f>J65/E65</f>
        <v>28502.164502164502</v>
      </c>
      <c r="H65" s="226">
        <v>92000</v>
      </c>
      <c r="I65" s="226">
        <v>28640000</v>
      </c>
      <c r="J65" s="226">
        <v>32920000</v>
      </c>
      <c r="K65" s="218">
        <f t="shared" si="0"/>
        <v>4280000</v>
      </c>
      <c r="L65" s="547">
        <f>K65/I65</f>
        <v>0.1494413407821229</v>
      </c>
      <c r="M65" s="550">
        <f>J65-H65</f>
        <v>32828000</v>
      </c>
      <c r="N65" s="550"/>
      <c r="O65" s="179"/>
      <c r="P65" s="102" t="s">
        <v>1527</v>
      </c>
      <c r="Q65" t="s">
        <v>1543</v>
      </c>
    </row>
    <row r="66" spans="1:17" ht="15" customHeight="1" thickBot="1" x14ac:dyDescent="0.3">
      <c r="A66" s="124"/>
      <c r="B66" s="124"/>
      <c r="C66" s="244"/>
      <c r="D66" s="221"/>
      <c r="E66" s="231"/>
      <c r="F66" s="231"/>
      <c r="G66" s="226"/>
      <c r="H66" s="226"/>
      <c r="I66" s="226"/>
      <c r="J66" s="226"/>
      <c r="K66" s="218">
        <f t="shared" si="0"/>
        <v>0</v>
      </c>
      <c r="L66" s="547"/>
      <c r="M66" s="550"/>
      <c r="N66" s="550"/>
    </row>
    <row r="67" spans="1:17" ht="19.5" customHeight="1" thickBot="1" x14ac:dyDescent="0.3">
      <c r="A67" s="124"/>
      <c r="B67" s="223"/>
      <c r="C67" s="245" t="s">
        <v>843</v>
      </c>
      <c r="D67" s="229"/>
      <c r="E67" s="222"/>
      <c r="F67" s="222"/>
      <c r="G67" s="226"/>
      <c r="H67" s="226"/>
      <c r="I67" s="226"/>
      <c r="J67" s="226"/>
      <c r="K67" s="218">
        <f t="shared" si="0"/>
        <v>0</v>
      </c>
      <c r="L67" s="547"/>
      <c r="M67" s="550"/>
      <c r="N67" s="550"/>
    </row>
    <row r="68" spans="1:17" ht="18" customHeight="1" x14ac:dyDescent="0.25">
      <c r="A68" s="124">
        <v>24</v>
      </c>
      <c r="B68" s="124">
        <v>7083</v>
      </c>
      <c r="C68" s="261" t="s">
        <v>808</v>
      </c>
      <c r="D68" s="233" t="s">
        <v>905</v>
      </c>
      <c r="E68" s="215">
        <v>8952</v>
      </c>
      <c r="F68" s="544">
        <f>I68/E68</f>
        <v>299.37444146559426</v>
      </c>
      <c r="G68" s="216">
        <f>J68/E68</f>
        <v>420.57640750670242</v>
      </c>
      <c r="H68" s="226">
        <v>28209.82</v>
      </c>
      <c r="I68" s="226">
        <v>2680000</v>
      </c>
      <c r="J68" s="226">
        <v>3765000</v>
      </c>
      <c r="K68" s="218">
        <f t="shared" si="0"/>
        <v>1085000</v>
      </c>
      <c r="L68" s="547">
        <f>K68/I68</f>
        <v>0.40485074626865669</v>
      </c>
      <c r="M68" s="550">
        <f>J68-H68</f>
        <v>3736790.18</v>
      </c>
      <c r="N68" s="550"/>
      <c r="P68" s="102" t="s">
        <v>1527</v>
      </c>
      <c r="Q68" t="s">
        <v>1553</v>
      </c>
    </row>
    <row r="69" spans="1:17" ht="15" customHeight="1" thickBot="1" x14ac:dyDescent="0.3">
      <c r="A69" s="124"/>
      <c r="B69" s="124"/>
      <c r="C69" s="262"/>
      <c r="D69" s="233"/>
      <c r="E69" s="215"/>
      <c r="F69" s="215"/>
      <c r="G69" s="226"/>
      <c r="H69" s="226"/>
      <c r="I69" s="226"/>
      <c r="J69" s="226"/>
      <c r="K69" s="218">
        <f t="shared" si="0"/>
        <v>0</v>
      </c>
      <c r="L69" s="547"/>
      <c r="M69" s="550"/>
      <c r="N69" s="550"/>
    </row>
    <row r="70" spans="1:17" ht="18" customHeight="1" thickBot="1" x14ac:dyDescent="0.3">
      <c r="A70" s="124"/>
      <c r="B70" s="223"/>
      <c r="C70" s="245" t="s">
        <v>844</v>
      </c>
      <c r="D70" s="263"/>
      <c r="E70" s="215"/>
      <c r="F70" s="215"/>
      <c r="G70" s="226"/>
      <c r="H70" s="226"/>
      <c r="I70" s="226"/>
      <c r="J70" s="226"/>
      <c r="K70" s="218">
        <f t="shared" si="0"/>
        <v>0</v>
      </c>
      <c r="L70" s="547"/>
      <c r="M70" s="550"/>
      <c r="N70" s="550"/>
    </row>
    <row r="71" spans="1:17" ht="19.5" customHeight="1" x14ac:dyDescent="0.25">
      <c r="A71" s="124">
        <v>25</v>
      </c>
      <c r="B71" s="124">
        <v>7081</v>
      </c>
      <c r="C71" s="261" t="s">
        <v>884</v>
      </c>
      <c r="D71" s="233" t="s">
        <v>727</v>
      </c>
      <c r="E71" s="215">
        <v>4112</v>
      </c>
      <c r="F71" s="544">
        <f>I71/E71</f>
        <v>308.85214007782099</v>
      </c>
      <c r="G71" s="216">
        <f>J71/E71</f>
        <v>549.61089494163423</v>
      </c>
      <c r="H71" s="226">
        <v>46371.78</v>
      </c>
      <c r="I71" s="226">
        <v>1270000</v>
      </c>
      <c r="J71" s="226">
        <v>2260000</v>
      </c>
      <c r="K71" s="218">
        <f t="shared" si="0"/>
        <v>990000</v>
      </c>
      <c r="L71" s="547">
        <f>K71/I71</f>
        <v>0.77952755905511806</v>
      </c>
      <c r="M71" s="550">
        <f>J71-H71</f>
        <v>2213628.2200000002</v>
      </c>
      <c r="N71" s="550"/>
      <c r="O71" s="179"/>
      <c r="P71" s="102" t="s">
        <v>1527</v>
      </c>
      <c r="Q71" t="s">
        <v>1552</v>
      </c>
    </row>
    <row r="72" spans="1:17" ht="19.5" customHeight="1" x14ac:dyDescent="0.25">
      <c r="A72" s="124">
        <v>26</v>
      </c>
      <c r="B72" s="124">
        <v>7087</v>
      </c>
      <c r="C72" s="251" t="s">
        <v>869</v>
      </c>
      <c r="D72" s="214" t="s">
        <v>739</v>
      </c>
      <c r="E72" s="215">
        <v>250</v>
      </c>
      <c r="F72" s="544">
        <f>I72/E72</f>
        <v>4000</v>
      </c>
      <c r="G72" s="216">
        <f>J72/E72</f>
        <v>4400</v>
      </c>
      <c r="H72" s="226">
        <v>175000</v>
      </c>
      <c r="I72" s="226">
        <v>1000000</v>
      </c>
      <c r="J72" s="226">
        <v>1100000</v>
      </c>
      <c r="K72" s="218">
        <f t="shared" si="0"/>
        <v>100000</v>
      </c>
      <c r="L72" s="547">
        <f>K72/I72</f>
        <v>0.1</v>
      </c>
      <c r="M72" s="550">
        <f>J72-H72</f>
        <v>925000</v>
      </c>
      <c r="N72" s="550"/>
      <c r="P72" s="102" t="s">
        <v>1527</v>
      </c>
      <c r="Q72" t="s">
        <v>1551</v>
      </c>
    </row>
    <row r="73" spans="1:17" ht="32.25" customHeight="1" x14ac:dyDescent="0.25">
      <c r="A73" s="124">
        <v>27</v>
      </c>
      <c r="B73" s="124">
        <v>9149</v>
      </c>
      <c r="C73" s="214" t="s">
        <v>870</v>
      </c>
      <c r="D73" s="247" t="s">
        <v>906</v>
      </c>
      <c r="E73" s="215">
        <v>716</v>
      </c>
      <c r="F73" s="544">
        <f>I73/E73</f>
        <v>614.52513966480444</v>
      </c>
      <c r="G73" s="216">
        <f>J73/E73</f>
        <v>1103.3519553072626</v>
      </c>
      <c r="H73" s="226">
        <v>4388.18</v>
      </c>
      <c r="I73" s="226">
        <v>440000</v>
      </c>
      <c r="J73" s="226">
        <v>790000</v>
      </c>
      <c r="K73" s="218">
        <f t="shared" si="0"/>
        <v>350000</v>
      </c>
      <c r="L73" s="547">
        <f>K73/I73</f>
        <v>0.79545454545454541</v>
      </c>
      <c r="M73" s="550">
        <f>J73-H73</f>
        <v>785611.82</v>
      </c>
      <c r="N73" s="550"/>
      <c r="P73" s="520"/>
      <c r="Q73" s="249"/>
    </row>
    <row r="74" spans="1:17" ht="30.75" customHeight="1" x14ac:dyDescent="0.25">
      <c r="A74" s="124"/>
      <c r="B74" s="124"/>
      <c r="C74" s="253" t="s">
        <v>871</v>
      </c>
      <c r="D74" s="247" t="s">
        <v>907</v>
      </c>
      <c r="E74" s="215">
        <v>550</v>
      </c>
      <c r="F74" s="544">
        <f>I74/E74</f>
        <v>618.18181818181813</v>
      </c>
      <c r="G74" s="216">
        <f>J74/E74</f>
        <v>1100</v>
      </c>
      <c r="H74" s="226">
        <v>3370.8</v>
      </c>
      <c r="I74" s="226">
        <v>340000</v>
      </c>
      <c r="J74" s="226">
        <v>605000</v>
      </c>
      <c r="K74" s="218">
        <f t="shared" si="0"/>
        <v>265000</v>
      </c>
      <c r="L74" s="547">
        <f>K74/I74</f>
        <v>0.77941176470588236</v>
      </c>
      <c r="M74" s="550">
        <f>J74-H74</f>
        <v>601629.19999999995</v>
      </c>
      <c r="N74" s="550"/>
      <c r="P74" s="520"/>
      <c r="Q74" s="249"/>
    </row>
    <row r="75" spans="1:17" ht="30.75" customHeight="1" x14ac:dyDescent="0.25">
      <c r="A75" s="124">
        <v>28</v>
      </c>
      <c r="B75" s="124">
        <v>9487</v>
      </c>
      <c r="C75" s="253" t="s">
        <v>1394</v>
      </c>
      <c r="D75" s="90" t="s">
        <v>1395</v>
      </c>
      <c r="E75" s="215">
        <v>180</v>
      </c>
      <c r="F75" s="544">
        <f>I75/E75</f>
        <v>8300</v>
      </c>
      <c r="G75" s="216">
        <f>J75/E75</f>
        <v>16611.111111111109</v>
      </c>
      <c r="H75" s="226">
        <v>0</v>
      </c>
      <c r="I75" s="226">
        <v>1494000</v>
      </c>
      <c r="J75" s="226">
        <v>2990000</v>
      </c>
      <c r="K75" s="218">
        <f t="shared" si="0"/>
        <v>1496000</v>
      </c>
      <c r="L75" s="547">
        <f>K75/I75</f>
        <v>1.0013386880856761</v>
      </c>
      <c r="M75" s="550">
        <f>J75-H75</f>
        <v>2990000</v>
      </c>
      <c r="N75" s="550"/>
      <c r="O75" s="758"/>
      <c r="P75" s="102" t="s">
        <v>1527</v>
      </c>
      <c r="Q75" t="s">
        <v>1550</v>
      </c>
    </row>
    <row r="76" spans="1:17" ht="15" customHeight="1" x14ac:dyDescent="0.25">
      <c r="A76" s="124"/>
      <c r="B76" s="124"/>
      <c r="C76" s="235"/>
      <c r="D76" s="233"/>
      <c r="E76" s="215"/>
      <c r="F76" s="215"/>
      <c r="G76" s="226"/>
      <c r="H76" s="226"/>
      <c r="I76" s="226"/>
      <c r="J76" s="226"/>
      <c r="K76" s="218">
        <f t="shared" si="0"/>
        <v>0</v>
      </c>
      <c r="L76" s="547"/>
      <c r="M76" s="550"/>
      <c r="N76" s="550"/>
    </row>
    <row r="77" spans="1:17" ht="15" customHeight="1" thickBot="1" x14ac:dyDescent="0.3">
      <c r="A77" s="124"/>
      <c r="B77" s="223"/>
      <c r="C77" s="265"/>
      <c r="D77" s="263"/>
      <c r="E77" s="215"/>
      <c r="F77" s="215"/>
      <c r="G77" s="226"/>
      <c r="H77" s="226"/>
      <c r="I77" s="226"/>
      <c r="J77" s="226"/>
      <c r="K77" s="218">
        <f t="shared" ref="K77:K132" si="8">J77-I77</f>
        <v>0</v>
      </c>
      <c r="L77" s="547"/>
      <c r="M77" s="550"/>
      <c r="N77" s="550"/>
    </row>
    <row r="78" spans="1:17" ht="18" customHeight="1" thickBot="1" x14ac:dyDescent="0.3">
      <c r="A78" s="124"/>
      <c r="B78" s="223"/>
      <c r="C78" s="245" t="s">
        <v>845</v>
      </c>
      <c r="D78" s="263"/>
      <c r="E78" s="215"/>
      <c r="F78" s="215"/>
      <c r="G78" s="226"/>
      <c r="H78" s="226"/>
      <c r="I78" s="226"/>
      <c r="J78" s="226"/>
      <c r="K78" s="218">
        <f t="shared" si="8"/>
        <v>0</v>
      </c>
      <c r="L78" s="547"/>
      <c r="M78" s="550"/>
      <c r="N78" s="550"/>
    </row>
    <row r="79" spans="1:17" ht="36" customHeight="1" x14ac:dyDescent="0.25">
      <c r="A79" s="124">
        <v>29</v>
      </c>
      <c r="B79" s="124">
        <v>7063</v>
      </c>
      <c r="C79" s="246" t="s">
        <v>872</v>
      </c>
      <c r="D79" s="214">
        <v>47955</v>
      </c>
      <c r="E79" s="215">
        <v>244</v>
      </c>
      <c r="F79" s="544">
        <f>I79/E79</f>
        <v>30983.60655737705</v>
      </c>
      <c r="G79" s="216">
        <f>J79/E79</f>
        <v>31188.524590163935</v>
      </c>
      <c r="H79" s="226">
        <v>34000</v>
      </c>
      <c r="I79" s="226">
        <v>7560000</v>
      </c>
      <c r="J79" s="226">
        <v>7610000</v>
      </c>
      <c r="K79" s="218">
        <f t="shared" si="8"/>
        <v>50000</v>
      </c>
      <c r="L79" s="547">
        <f>K79/I79</f>
        <v>6.6137566137566134E-3</v>
      </c>
      <c r="M79" s="550">
        <f>J79-H79</f>
        <v>7576000</v>
      </c>
      <c r="N79" s="550"/>
      <c r="O79" s="179"/>
      <c r="P79" s="102" t="s">
        <v>1527</v>
      </c>
      <c r="Q79" t="s">
        <v>1549</v>
      </c>
    </row>
    <row r="80" spans="1:17" ht="25.5" customHeight="1" x14ac:dyDescent="0.25">
      <c r="A80" s="124">
        <v>30</v>
      </c>
      <c r="B80" s="124">
        <v>7039</v>
      </c>
      <c r="C80" s="251" t="s">
        <v>738</v>
      </c>
      <c r="D80" s="214">
        <v>120017</v>
      </c>
      <c r="E80" s="215">
        <v>8901</v>
      </c>
      <c r="F80" s="544">
        <f>I80/E80</f>
        <v>3302.9996629592179</v>
      </c>
      <c r="G80" s="216">
        <f>J80/E80</f>
        <v>3300.7527244129874</v>
      </c>
      <c r="H80" s="226">
        <v>750401.43</v>
      </c>
      <c r="I80" s="226">
        <v>29400000</v>
      </c>
      <c r="J80" s="226">
        <v>29380000</v>
      </c>
      <c r="K80" s="218">
        <f t="shared" si="8"/>
        <v>-20000</v>
      </c>
      <c r="L80" s="740">
        <f>K80/I80</f>
        <v>-6.8027210884353737E-4</v>
      </c>
      <c r="M80" s="741">
        <f>J80-H80</f>
        <v>28629598.57</v>
      </c>
      <c r="N80" s="757"/>
      <c r="O80" s="744"/>
      <c r="P80" s="102" t="s">
        <v>1527</v>
      </c>
      <c r="Q80" t="s">
        <v>1548</v>
      </c>
    </row>
    <row r="81" spans="1:17" ht="15" customHeight="1" x14ac:dyDescent="0.25">
      <c r="A81" s="124"/>
      <c r="B81" s="124"/>
      <c r="C81" s="244"/>
      <c r="D81" s="214"/>
      <c r="E81" s="215"/>
      <c r="F81" s="215"/>
      <c r="G81" s="226"/>
      <c r="H81" s="226"/>
      <c r="I81" s="226"/>
      <c r="J81" s="226"/>
      <c r="K81" s="218">
        <f t="shared" si="8"/>
        <v>0</v>
      </c>
      <c r="L81" s="547"/>
      <c r="M81" s="550"/>
      <c r="N81" s="550"/>
      <c r="O81" s="266"/>
    </row>
    <row r="82" spans="1:17" ht="15" customHeight="1" thickBot="1" x14ac:dyDescent="0.3">
      <c r="A82" s="124"/>
      <c r="B82" s="124"/>
      <c r="C82" s="244"/>
      <c r="D82" s="214"/>
      <c r="E82" s="215"/>
      <c r="F82" s="215"/>
      <c r="G82" s="226"/>
      <c r="H82" s="226"/>
      <c r="I82" s="226"/>
      <c r="J82" s="226"/>
      <c r="K82" s="218">
        <f t="shared" si="8"/>
        <v>0</v>
      </c>
      <c r="L82" s="547"/>
      <c r="M82" s="550"/>
      <c r="N82" s="550"/>
    </row>
    <row r="83" spans="1:17" ht="21.75" customHeight="1" thickBot="1" x14ac:dyDescent="0.3">
      <c r="A83" s="124"/>
      <c r="B83" s="223"/>
      <c r="C83" s="245" t="s">
        <v>846</v>
      </c>
      <c r="D83" s="225"/>
      <c r="E83" s="215"/>
      <c r="F83" s="215"/>
      <c r="G83" s="226"/>
      <c r="H83" s="226"/>
      <c r="I83" s="226"/>
      <c r="J83" s="226"/>
      <c r="K83" s="218">
        <f t="shared" si="8"/>
        <v>0</v>
      </c>
      <c r="L83" s="547"/>
      <c r="M83" s="550"/>
      <c r="N83" s="550"/>
    </row>
    <row r="84" spans="1:17" ht="33.75" customHeight="1" x14ac:dyDescent="0.25">
      <c r="A84" s="124">
        <v>31</v>
      </c>
      <c r="B84" s="124">
        <v>7036</v>
      </c>
      <c r="C84" s="246" t="s">
        <v>859</v>
      </c>
      <c r="D84" s="214" t="s">
        <v>908</v>
      </c>
      <c r="E84" s="255">
        <v>191773</v>
      </c>
      <c r="F84" s="544">
        <f>I84/E84</f>
        <v>2799.977056207078</v>
      </c>
      <c r="G84" s="216">
        <f>J84/E84</f>
        <v>4799.9979142006432</v>
      </c>
      <c r="H84" s="295">
        <v>1783790.27</v>
      </c>
      <c r="I84" s="295">
        <v>536960000</v>
      </c>
      <c r="J84" s="295">
        <v>920510000</v>
      </c>
      <c r="K84" s="218">
        <f t="shared" si="8"/>
        <v>383550000</v>
      </c>
      <c r="L84" s="547">
        <f>K84/I84</f>
        <v>0.71429901668653162</v>
      </c>
      <c r="M84" s="550">
        <f>J84-H84</f>
        <v>918726209.73000002</v>
      </c>
      <c r="N84" s="550"/>
      <c r="O84" s="266"/>
      <c r="P84" s="102" t="s">
        <v>1527</v>
      </c>
      <c r="Q84" t="s">
        <v>1574</v>
      </c>
    </row>
    <row r="85" spans="1:17" ht="34.5" customHeight="1" x14ac:dyDescent="0.25">
      <c r="A85" s="124">
        <v>32</v>
      </c>
      <c r="B85" s="124">
        <v>7036</v>
      </c>
      <c r="C85" s="246" t="s">
        <v>860</v>
      </c>
      <c r="D85" s="235" t="s">
        <v>909</v>
      </c>
      <c r="E85" s="255">
        <v>96498</v>
      </c>
      <c r="F85" s="544">
        <f>I85/E85</f>
        <v>2262.6375676179819</v>
      </c>
      <c r="G85" s="216">
        <f>J85/E85</f>
        <v>2909.0758357686168</v>
      </c>
      <c r="H85" s="226">
        <v>747262.68</v>
      </c>
      <c r="I85" s="226">
        <v>218340000</v>
      </c>
      <c r="J85" s="226">
        <v>280720000</v>
      </c>
      <c r="K85" s="218">
        <f t="shared" si="8"/>
        <v>62380000</v>
      </c>
      <c r="L85" s="547">
        <f>K85/I85</f>
        <v>0.28570119996335991</v>
      </c>
      <c r="M85" s="550">
        <f>J85-H85</f>
        <v>279972737.31999999</v>
      </c>
      <c r="N85" s="550"/>
      <c r="O85" s="266"/>
      <c r="P85" s="102" t="s">
        <v>1527</v>
      </c>
      <c r="Q85" t="s">
        <v>1573</v>
      </c>
    </row>
    <row r="86" spans="1:17" ht="34.5" customHeight="1" x14ac:dyDescent="0.25">
      <c r="A86" s="124">
        <v>33</v>
      </c>
      <c r="B86" s="124">
        <v>9344</v>
      </c>
      <c r="C86" s="268" t="s">
        <v>1109</v>
      </c>
      <c r="D86" s="235"/>
      <c r="E86" s="255">
        <v>102</v>
      </c>
      <c r="F86" s="544">
        <f>I86/E86</f>
        <v>6500</v>
      </c>
      <c r="G86" s="216">
        <f>J86/E86</f>
        <v>7000</v>
      </c>
      <c r="H86" s="226">
        <v>0</v>
      </c>
      <c r="I86" s="226">
        <v>663000</v>
      </c>
      <c r="J86" s="226">
        <v>714000</v>
      </c>
      <c r="K86" s="218">
        <f t="shared" si="8"/>
        <v>51000</v>
      </c>
      <c r="L86" s="547">
        <f>K86/I86</f>
        <v>7.6923076923076927E-2</v>
      </c>
      <c r="M86" s="550">
        <f>J86-H86</f>
        <v>714000</v>
      </c>
      <c r="N86" s="550"/>
      <c r="O86" s="266"/>
      <c r="P86" s="102" t="s">
        <v>1527</v>
      </c>
      <c r="Q86" t="s">
        <v>1547</v>
      </c>
    </row>
    <row r="87" spans="1:17" ht="15" customHeight="1" thickBot="1" x14ac:dyDescent="0.3">
      <c r="A87" s="124"/>
      <c r="B87" s="124"/>
      <c r="C87" s="244"/>
      <c r="D87" s="214"/>
      <c r="E87" s="255"/>
      <c r="F87" s="255"/>
      <c r="G87" s="226"/>
      <c r="H87" s="226"/>
      <c r="I87" s="226"/>
      <c r="J87" s="226"/>
      <c r="K87" s="218">
        <f t="shared" si="8"/>
        <v>0</v>
      </c>
      <c r="L87" s="547"/>
      <c r="M87" s="550"/>
      <c r="N87" s="550"/>
    </row>
    <row r="88" spans="1:17" ht="18.75" customHeight="1" thickBot="1" x14ac:dyDescent="0.3">
      <c r="A88" s="124"/>
      <c r="B88" s="223"/>
      <c r="C88" s="245" t="s">
        <v>847</v>
      </c>
      <c r="D88" s="225"/>
      <c r="E88" s="215"/>
      <c r="F88" s="215"/>
      <c r="G88" s="226"/>
      <c r="H88" s="226"/>
      <c r="I88" s="226"/>
      <c r="J88" s="226"/>
      <c r="K88" s="218">
        <f t="shared" si="8"/>
        <v>0</v>
      </c>
      <c r="L88" s="547"/>
      <c r="M88" s="550"/>
      <c r="N88" s="550"/>
    </row>
    <row r="89" spans="1:17" ht="19.5" customHeight="1" x14ac:dyDescent="0.25">
      <c r="A89" s="124">
        <v>34</v>
      </c>
      <c r="B89" s="124">
        <v>9155</v>
      </c>
      <c r="C89" s="254" t="s">
        <v>812</v>
      </c>
      <c r="D89" s="233" t="s">
        <v>731</v>
      </c>
      <c r="E89" s="215">
        <v>1131</v>
      </c>
      <c r="F89" s="544">
        <f>I89/E89</f>
        <v>2201.5915119363394</v>
      </c>
      <c r="G89" s="216">
        <f>J89/E89</f>
        <v>2298.8505747126437</v>
      </c>
      <c r="H89" s="226">
        <v>16000</v>
      </c>
      <c r="I89" s="226">
        <v>2490000</v>
      </c>
      <c r="J89" s="226">
        <v>2600000</v>
      </c>
      <c r="K89" s="218">
        <f t="shared" si="8"/>
        <v>110000</v>
      </c>
      <c r="L89" s="547">
        <f>K89/I89</f>
        <v>4.4176706827309238E-2</v>
      </c>
      <c r="M89" s="550">
        <f>J89-H89</f>
        <v>2584000</v>
      </c>
      <c r="N89" s="550"/>
      <c r="O89" s="266"/>
      <c r="P89" s="102" t="s">
        <v>1527</v>
      </c>
      <c r="Q89" t="s">
        <v>1546</v>
      </c>
    </row>
    <row r="90" spans="1:17" ht="17.25" customHeight="1" thickBot="1" x14ac:dyDescent="0.3">
      <c r="A90" s="124"/>
      <c r="B90" s="124"/>
      <c r="C90" s="244"/>
      <c r="D90" s="214"/>
      <c r="E90" s="215"/>
      <c r="F90" s="215"/>
      <c r="G90" s="226"/>
      <c r="H90" s="226"/>
      <c r="I90" s="226"/>
      <c r="J90" s="226"/>
      <c r="K90" s="218">
        <f t="shared" si="8"/>
        <v>0</v>
      </c>
      <c r="L90" s="547"/>
      <c r="M90" s="550"/>
      <c r="N90" s="550"/>
    </row>
    <row r="91" spans="1:17" ht="18" customHeight="1" thickBot="1" x14ac:dyDescent="0.3">
      <c r="A91" s="85"/>
      <c r="B91" s="269"/>
      <c r="C91" s="245" t="s">
        <v>848</v>
      </c>
      <c r="D91" s="136"/>
      <c r="E91" s="70"/>
      <c r="F91" s="70"/>
      <c r="G91" s="195"/>
      <c r="H91" s="195"/>
      <c r="I91" s="195"/>
      <c r="J91" s="195"/>
      <c r="K91" s="218">
        <f t="shared" si="8"/>
        <v>0</v>
      </c>
      <c r="L91" s="547"/>
      <c r="M91" s="550"/>
      <c r="N91" s="550"/>
    </row>
    <row r="92" spans="1:17" ht="24.75" customHeight="1" x14ac:dyDescent="0.25">
      <c r="A92" s="124">
        <v>35</v>
      </c>
      <c r="B92" s="124">
        <v>9151</v>
      </c>
      <c r="C92" s="254" t="s">
        <v>814</v>
      </c>
      <c r="D92" s="270" t="s">
        <v>734</v>
      </c>
      <c r="E92" s="215">
        <v>400</v>
      </c>
      <c r="F92" s="544">
        <f>I92/E92</f>
        <v>7200</v>
      </c>
      <c r="G92" s="216">
        <f>J92/E92</f>
        <v>9400</v>
      </c>
      <c r="H92" s="226">
        <v>18121.240000000002</v>
      </c>
      <c r="I92" s="226">
        <v>2880000</v>
      </c>
      <c r="J92" s="226">
        <v>3760000</v>
      </c>
      <c r="K92" s="218">
        <f t="shared" si="8"/>
        <v>880000</v>
      </c>
      <c r="L92" s="547">
        <f>K92/I92</f>
        <v>0.30555555555555558</v>
      </c>
      <c r="M92" s="550">
        <f>J92-H92</f>
        <v>3741878.76</v>
      </c>
      <c r="N92" s="550"/>
      <c r="O92" s="266"/>
      <c r="P92" s="284"/>
    </row>
    <row r="93" spans="1:17" ht="16.5" customHeight="1" thickBot="1" x14ac:dyDescent="0.3">
      <c r="A93" s="124"/>
      <c r="B93" s="124"/>
      <c r="C93" s="253"/>
      <c r="D93" s="270"/>
      <c r="E93" s="215"/>
      <c r="F93" s="215"/>
      <c r="G93" s="226"/>
      <c r="H93" s="226"/>
      <c r="I93" s="226"/>
      <c r="J93" s="226"/>
      <c r="K93" s="218">
        <f t="shared" si="8"/>
        <v>0</v>
      </c>
      <c r="L93" s="547"/>
      <c r="M93" s="550"/>
      <c r="N93" s="550"/>
    </row>
    <row r="94" spans="1:17" ht="23.25" customHeight="1" thickBot="1" x14ac:dyDescent="0.3">
      <c r="A94" s="85"/>
      <c r="B94" s="269"/>
      <c r="C94" s="245" t="s">
        <v>888</v>
      </c>
      <c r="D94" s="136"/>
      <c r="E94" s="70"/>
      <c r="F94" s="70"/>
      <c r="G94" s="195"/>
      <c r="H94" s="195"/>
      <c r="I94" s="195"/>
      <c r="J94" s="195"/>
      <c r="K94" s="218">
        <f t="shared" si="8"/>
        <v>0</v>
      </c>
      <c r="L94" s="547"/>
      <c r="M94" s="550"/>
      <c r="N94" s="550"/>
    </row>
    <row r="95" spans="1:17" ht="25.5" customHeight="1" x14ac:dyDescent="0.25">
      <c r="A95" s="124">
        <v>36</v>
      </c>
      <c r="B95" s="124">
        <v>7049</v>
      </c>
      <c r="C95" s="246" t="s">
        <v>745</v>
      </c>
      <c r="D95" s="221" t="s">
        <v>719</v>
      </c>
      <c r="E95" s="231">
        <v>1583</v>
      </c>
      <c r="F95" s="544">
        <f>I95/E95</f>
        <v>66001.263423878714</v>
      </c>
      <c r="G95" s="216">
        <f>J95/E95</f>
        <v>67299.431459254585</v>
      </c>
      <c r="H95" s="226">
        <v>1900000</v>
      </c>
      <c r="I95" s="226">
        <v>104480000</v>
      </c>
      <c r="J95" s="226">
        <v>106535000</v>
      </c>
      <c r="K95" s="218">
        <f t="shared" si="8"/>
        <v>2055000</v>
      </c>
      <c r="L95" s="547">
        <f>K95/I95</f>
        <v>1.9668836140888209E-2</v>
      </c>
      <c r="M95" s="550">
        <f>J95-H95</f>
        <v>104635000</v>
      </c>
      <c r="N95" s="550"/>
      <c r="O95" s="266"/>
      <c r="P95" s="102" t="s">
        <v>1527</v>
      </c>
      <c r="Q95" t="s">
        <v>1545</v>
      </c>
    </row>
    <row r="96" spans="1:17" ht="36" customHeight="1" x14ac:dyDescent="0.25">
      <c r="A96" s="124">
        <v>37</v>
      </c>
      <c r="B96" s="124">
        <v>7051</v>
      </c>
      <c r="C96" s="251" t="s">
        <v>805</v>
      </c>
      <c r="D96" s="214" t="s">
        <v>718</v>
      </c>
      <c r="E96" s="215">
        <v>13197</v>
      </c>
      <c r="F96" s="544">
        <f>I96/E96</f>
        <v>27600.212169432445</v>
      </c>
      <c r="G96" s="216">
        <f>J96/E96</f>
        <v>30400.090929756763</v>
      </c>
      <c r="H96" s="226">
        <v>1716000</v>
      </c>
      <c r="I96" s="226">
        <v>364240000</v>
      </c>
      <c r="J96" s="226">
        <v>401190000</v>
      </c>
      <c r="K96" s="218">
        <f t="shared" si="8"/>
        <v>36950000</v>
      </c>
      <c r="L96" s="547">
        <f>K96/I96</f>
        <v>0.10144410278936965</v>
      </c>
      <c r="M96" s="550">
        <f>J96-H96</f>
        <v>399474000</v>
      </c>
      <c r="N96" s="550"/>
      <c r="O96" s="266"/>
      <c r="P96" s="102" t="s">
        <v>1527</v>
      </c>
      <c r="Q96" t="s">
        <v>1568</v>
      </c>
    </row>
    <row r="97" spans="1:17" ht="18.75" customHeight="1" thickBot="1" x14ac:dyDescent="0.3">
      <c r="A97" s="124"/>
      <c r="B97" s="124"/>
      <c r="C97" s="244"/>
      <c r="D97" s="214"/>
      <c r="E97" s="215"/>
      <c r="F97" s="215"/>
      <c r="G97" s="226"/>
      <c r="H97" s="226"/>
      <c r="I97" s="226"/>
      <c r="J97" s="226"/>
      <c r="K97" s="218">
        <f t="shared" si="8"/>
        <v>0</v>
      </c>
      <c r="L97" s="547"/>
      <c r="M97" s="550"/>
      <c r="N97" s="550"/>
    </row>
    <row r="98" spans="1:17" ht="23.25" customHeight="1" thickBot="1" x14ac:dyDescent="0.3">
      <c r="A98" s="85"/>
      <c r="B98" s="269"/>
      <c r="C98" s="245" t="s">
        <v>849</v>
      </c>
      <c r="D98" s="136"/>
      <c r="E98" s="70"/>
      <c r="F98" s="70"/>
      <c r="G98" s="195"/>
      <c r="H98" s="195"/>
      <c r="I98" s="195"/>
      <c r="J98" s="195"/>
      <c r="K98" s="218">
        <f t="shared" si="8"/>
        <v>0</v>
      </c>
      <c r="L98" s="547"/>
      <c r="M98" s="550"/>
      <c r="N98" s="550"/>
    </row>
    <row r="99" spans="1:17" ht="19.5" customHeight="1" x14ac:dyDescent="0.25">
      <c r="A99" s="124">
        <v>38</v>
      </c>
      <c r="B99" s="124">
        <v>7053</v>
      </c>
      <c r="C99" s="246" t="s">
        <v>721</v>
      </c>
      <c r="D99" s="271" t="s">
        <v>834</v>
      </c>
      <c r="E99" s="222">
        <v>5297</v>
      </c>
      <c r="F99" s="544">
        <f>I99/E99</f>
        <v>7800.6418727581649</v>
      </c>
      <c r="G99" s="216">
        <f>J99/E99</f>
        <v>8699.2637341891641</v>
      </c>
      <c r="H99" s="226">
        <v>37100</v>
      </c>
      <c r="I99" s="226">
        <v>41320000</v>
      </c>
      <c r="J99" s="226">
        <v>46080000</v>
      </c>
      <c r="K99" s="218">
        <f t="shared" si="8"/>
        <v>4760000</v>
      </c>
      <c r="L99" s="547">
        <f>K99/I99</f>
        <v>0.11519845111326234</v>
      </c>
      <c r="M99" s="550">
        <f>J99-H99</f>
        <v>46042900</v>
      </c>
      <c r="N99" s="550"/>
      <c r="O99" s="266"/>
      <c r="P99" s="284"/>
    </row>
    <row r="100" spans="1:17" ht="21.75" customHeight="1" x14ac:dyDescent="0.25">
      <c r="A100" s="124">
        <v>39</v>
      </c>
      <c r="B100" s="124">
        <v>7055</v>
      </c>
      <c r="C100" s="251" t="s">
        <v>894</v>
      </c>
      <c r="D100" s="221" t="s">
        <v>716</v>
      </c>
      <c r="E100" s="222">
        <v>50276</v>
      </c>
      <c r="F100" s="544">
        <f>I100/E100</f>
        <v>20500.039780412124</v>
      </c>
      <c r="G100" s="216">
        <f>J100/E100</f>
        <v>25000</v>
      </c>
      <c r="H100" s="226">
        <v>2514000</v>
      </c>
      <c r="I100" s="226">
        <v>1030660000</v>
      </c>
      <c r="J100" s="226">
        <v>1256900000</v>
      </c>
      <c r="K100" s="218">
        <f t="shared" si="8"/>
        <v>226240000</v>
      </c>
      <c r="L100" s="547">
        <f>K100/I100</f>
        <v>0.21950982865348417</v>
      </c>
      <c r="M100" s="550">
        <f>J100-H100</f>
        <v>1254386000</v>
      </c>
      <c r="N100" s="550"/>
      <c r="O100" s="266"/>
      <c r="P100" s="102" t="s">
        <v>1527</v>
      </c>
      <c r="Q100" t="s">
        <v>1567</v>
      </c>
    </row>
    <row r="101" spans="1:17" ht="19.5" customHeight="1" x14ac:dyDescent="0.25">
      <c r="A101" s="124">
        <v>40</v>
      </c>
      <c r="B101" s="124">
        <v>9150</v>
      </c>
      <c r="C101" s="214" t="s">
        <v>873</v>
      </c>
      <c r="D101" s="270" t="s">
        <v>732</v>
      </c>
      <c r="E101" s="215">
        <v>613</v>
      </c>
      <c r="F101" s="544">
        <f>I101/E101</f>
        <v>60195.758564437194</v>
      </c>
      <c r="G101" s="216">
        <f>J101/E101</f>
        <v>65595.432300163127</v>
      </c>
      <c r="H101" s="226">
        <v>463338.39</v>
      </c>
      <c r="I101" s="226">
        <v>36900000</v>
      </c>
      <c r="J101" s="226">
        <v>40210000</v>
      </c>
      <c r="K101" s="218">
        <f t="shared" si="8"/>
        <v>3310000</v>
      </c>
      <c r="L101" s="547">
        <f>K101/I101</f>
        <v>8.9701897018970189E-2</v>
      </c>
      <c r="M101" s="550">
        <f>J101-H101</f>
        <v>39746661.609999999</v>
      </c>
      <c r="N101" s="550"/>
      <c r="O101" s="179"/>
      <c r="P101" s="102" t="s">
        <v>1527</v>
      </c>
      <c r="Q101" t="s">
        <v>1566</v>
      </c>
    </row>
    <row r="102" spans="1:17" ht="27.75" customHeight="1" x14ac:dyDescent="0.25">
      <c r="A102" s="124"/>
      <c r="B102" s="124"/>
      <c r="C102" s="214"/>
      <c r="D102" s="233"/>
      <c r="E102" s="215"/>
      <c r="F102" s="215"/>
      <c r="G102" s="226"/>
      <c r="H102" s="226"/>
      <c r="I102" s="226"/>
      <c r="J102" s="226"/>
      <c r="K102" s="218"/>
      <c r="L102" s="547"/>
      <c r="M102" s="550"/>
      <c r="N102" s="550"/>
      <c r="O102" s="266"/>
      <c r="P102" s="102"/>
    </row>
    <row r="103" spans="1:17" ht="20.25" customHeight="1" thickBot="1" x14ac:dyDescent="0.3">
      <c r="A103" s="124"/>
      <c r="B103" s="124"/>
      <c r="C103" s="253"/>
      <c r="D103" s="233"/>
      <c r="E103" s="215"/>
      <c r="F103" s="215"/>
      <c r="G103" s="226"/>
      <c r="H103" s="226"/>
      <c r="I103" s="226"/>
      <c r="J103" s="226"/>
      <c r="K103" s="218">
        <f t="shared" si="8"/>
        <v>0</v>
      </c>
      <c r="L103" s="547"/>
      <c r="M103" s="550"/>
      <c r="N103" s="550"/>
    </row>
    <row r="104" spans="1:17" ht="18.75" customHeight="1" thickBot="1" x14ac:dyDescent="0.3">
      <c r="A104" s="85"/>
      <c r="B104" s="269"/>
      <c r="C104" s="245" t="s">
        <v>850</v>
      </c>
      <c r="D104" s="136"/>
      <c r="E104" s="70"/>
      <c r="F104" s="70"/>
      <c r="G104" s="195"/>
      <c r="H104" s="195"/>
      <c r="I104" s="195"/>
      <c r="J104" s="195"/>
      <c r="K104" s="218">
        <f t="shared" si="8"/>
        <v>0</v>
      </c>
      <c r="L104" s="547"/>
      <c r="M104" s="550"/>
      <c r="N104" s="550"/>
    </row>
    <row r="105" spans="1:17" ht="21" customHeight="1" x14ac:dyDescent="0.25">
      <c r="A105" s="124">
        <v>41</v>
      </c>
      <c r="B105" s="124">
        <v>8881</v>
      </c>
      <c r="C105" s="246" t="s">
        <v>874</v>
      </c>
      <c r="D105" s="214">
        <v>8619</v>
      </c>
      <c r="E105" s="215">
        <v>3850</v>
      </c>
      <c r="F105" s="544">
        <f>I105/E105</f>
        <v>4932.4675324675327</v>
      </c>
      <c r="G105" s="216">
        <f>J105/E105</f>
        <v>5802.5974025974028</v>
      </c>
      <c r="H105" s="226">
        <v>0</v>
      </c>
      <c r="I105" s="226">
        <v>18990000</v>
      </c>
      <c r="J105" s="226">
        <v>22340000</v>
      </c>
      <c r="K105" s="218">
        <f t="shared" si="8"/>
        <v>3350000</v>
      </c>
      <c r="L105" s="740">
        <f>K105/I105</f>
        <v>0.17640863612427593</v>
      </c>
      <c r="M105" s="741">
        <f>J105-H105</f>
        <v>22340000</v>
      </c>
      <c r="N105" s="757"/>
      <c r="O105" s="744"/>
      <c r="P105" s="102" t="s">
        <v>1527</v>
      </c>
      <c r="Q105" t="s">
        <v>1565</v>
      </c>
    </row>
    <row r="106" spans="1:17" ht="15" customHeight="1" thickBot="1" x14ac:dyDescent="0.3">
      <c r="A106" s="124"/>
      <c r="B106" s="124"/>
      <c r="C106" s="244"/>
      <c r="D106" s="214"/>
      <c r="E106" s="215"/>
      <c r="F106" s="543"/>
      <c r="G106" s="249"/>
      <c r="H106" s="249"/>
      <c r="I106" s="249"/>
      <c r="J106" s="249"/>
      <c r="K106" s="218">
        <f t="shared" si="8"/>
        <v>0</v>
      </c>
      <c r="L106" s="547"/>
      <c r="M106" s="550"/>
      <c r="N106" s="550"/>
      <c r="O106" s="108"/>
    </row>
    <row r="107" spans="1:17" ht="17.25" customHeight="1" thickBot="1" x14ac:dyDescent="0.3">
      <c r="A107" s="85"/>
      <c r="B107" s="269"/>
      <c r="C107" s="245" t="s">
        <v>851</v>
      </c>
      <c r="D107" s="136"/>
      <c r="E107" s="792"/>
      <c r="F107" s="70"/>
      <c r="G107" s="195"/>
      <c r="H107" s="195"/>
      <c r="I107" s="195"/>
      <c r="J107" s="195"/>
      <c r="K107" s="218">
        <f t="shared" si="8"/>
        <v>0</v>
      </c>
      <c r="L107" s="547"/>
      <c r="M107" s="550"/>
      <c r="N107" s="550"/>
    </row>
    <row r="108" spans="1:17" ht="24.75" customHeight="1" x14ac:dyDescent="0.25">
      <c r="A108" s="124">
        <v>42</v>
      </c>
      <c r="B108" s="124">
        <v>7040</v>
      </c>
      <c r="C108" s="246" t="s">
        <v>1679</v>
      </c>
      <c r="D108" s="791" t="s">
        <v>720</v>
      </c>
      <c r="E108" s="793">
        <v>631913</v>
      </c>
      <c r="F108" s="780">
        <f>I108/E108</f>
        <v>1300</v>
      </c>
      <c r="G108" s="216">
        <f>J108/E108</f>
        <v>4000</v>
      </c>
      <c r="H108" s="1008">
        <v>12101013.23</v>
      </c>
      <c r="I108" s="226">
        <v>821486900</v>
      </c>
      <c r="J108" s="226">
        <f>E108*4000</f>
        <v>2527652000</v>
      </c>
      <c r="K108" s="218">
        <f t="shared" si="8"/>
        <v>1706165100</v>
      </c>
      <c r="L108" s="547">
        <f>K108/I108</f>
        <v>2.0769230769230771</v>
      </c>
      <c r="M108" s="550">
        <f>J108-H108</f>
        <v>2515550986.77</v>
      </c>
      <c r="N108" s="550"/>
      <c r="O108" s="266"/>
      <c r="P108" s="1013" t="s">
        <v>1575</v>
      </c>
    </row>
    <row r="109" spans="1:17" ht="42" customHeight="1" thickBot="1" x14ac:dyDescent="0.3">
      <c r="A109" s="124">
        <v>43</v>
      </c>
      <c r="B109" s="124">
        <v>5346</v>
      </c>
      <c r="C109" s="251" t="s">
        <v>1680</v>
      </c>
      <c r="D109" s="791" t="s">
        <v>720</v>
      </c>
      <c r="E109" s="794">
        <v>1723900.2</v>
      </c>
      <c r="F109" s="780">
        <f>I109/E109</f>
        <v>3800</v>
      </c>
      <c r="G109" s="216">
        <f>J109/E109</f>
        <v>4000</v>
      </c>
      <c r="H109" s="1009"/>
      <c r="I109" s="226">
        <v>6550820760</v>
      </c>
      <c r="J109" s="226">
        <f>E109*4000</f>
        <v>6895600800</v>
      </c>
      <c r="K109" s="218">
        <f t="shared" si="8"/>
        <v>344780040</v>
      </c>
      <c r="L109" s="547">
        <f>K109/I109</f>
        <v>5.2631578947368418E-2</v>
      </c>
      <c r="M109" s="550">
        <f>J109-H109</f>
        <v>6895600800</v>
      </c>
      <c r="N109" s="550"/>
      <c r="O109" s="266"/>
      <c r="P109" s="1013"/>
      <c r="Q109" t="s">
        <v>1576</v>
      </c>
    </row>
    <row r="110" spans="1:17" ht="18" customHeight="1" thickBot="1" x14ac:dyDescent="0.3">
      <c r="A110" s="124"/>
      <c r="B110" s="223"/>
      <c r="C110" s="251"/>
      <c r="D110" s="400"/>
      <c r="E110" s="796">
        <f>SUM(E108:E109)</f>
        <v>2355813.2000000002</v>
      </c>
      <c r="F110" s="401"/>
      <c r="G110" s="226"/>
      <c r="H110" s="226"/>
      <c r="I110" s="226"/>
      <c r="J110" s="226"/>
      <c r="K110" s="218">
        <f t="shared" si="8"/>
        <v>0</v>
      </c>
      <c r="L110" s="547"/>
      <c r="M110" s="550"/>
      <c r="N110" s="550"/>
      <c r="O110" s="51"/>
    </row>
    <row r="111" spans="1:17" ht="18" customHeight="1" x14ac:dyDescent="0.25">
      <c r="A111" s="124"/>
      <c r="B111" s="223"/>
      <c r="C111" s="251"/>
      <c r="D111" s="400"/>
      <c r="E111" s="795"/>
      <c r="F111" s="402"/>
      <c r="G111" s="226"/>
      <c r="H111" s="226"/>
      <c r="I111" s="226"/>
      <c r="J111" s="226"/>
      <c r="K111" s="218"/>
      <c r="L111" s="547"/>
      <c r="M111" s="550"/>
      <c r="N111" s="550"/>
      <c r="O111" s="51"/>
    </row>
    <row r="112" spans="1:17" ht="18" customHeight="1" x14ac:dyDescent="0.25">
      <c r="A112" s="124">
        <v>44</v>
      </c>
      <c r="B112" s="223">
        <v>9521</v>
      </c>
      <c r="C112" s="251" t="s">
        <v>1681</v>
      </c>
      <c r="D112" s="263" t="s">
        <v>1157</v>
      </c>
      <c r="E112" s="281">
        <v>85255</v>
      </c>
      <c r="F112" s="544">
        <f>I112/E112</f>
        <v>3600</v>
      </c>
      <c r="G112" s="216">
        <f>J112/E112</f>
        <v>4000</v>
      </c>
      <c r="H112" s="226">
        <v>0</v>
      </c>
      <c r="I112" s="226">
        <v>306918000</v>
      </c>
      <c r="J112" s="226">
        <f>E112*4000</f>
        <v>341020000</v>
      </c>
      <c r="K112" s="218">
        <f t="shared" si="8"/>
        <v>34102000</v>
      </c>
      <c r="L112" s="547">
        <f>K112/I112</f>
        <v>0.1111111111111111</v>
      </c>
      <c r="M112" s="550">
        <f>J112-H112</f>
        <v>341020000</v>
      </c>
      <c r="N112" s="550"/>
      <c r="O112" s="51"/>
      <c r="P112" t="s">
        <v>1581</v>
      </c>
    </row>
    <row r="113" spans="1:17" ht="18" customHeight="1" x14ac:dyDescent="0.25">
      <c r="A113" s="124"/>
      <c r="B113" s="223"/>
      <c r="C113" s="251"/>
      <c r="D113" s="400"/>
      <c r="E113" s="402"/>
      <c r="F113" s="402"/>
      <c r="G113" s="226"/>
      <c r="H113" s="226"/>
      <c r="I113" s="226"/>
      <c r="J113" s="226"/>
      <c r="K113" s="218"/>
      <c r="L113" s="547"/>
      <c r="M113" s="550"/>
      <c r="N113" s="550"/>
      <c r="O113" s="51"/>
    </row>
    <row r="114" spans="1:17" ht="18" customHeight="1" thickBot="1" x14ac:dyDescent="0.3">
      <c r="A114" s="124"/>
      <c r="B114" s="223"/>
      <c r="C114" s="244"/>
      <c r="D114" s="400"/>
      <c r="E114" s="402"/>
      <c r="F114" s="402"/>
      <c r="G114" s="226"/>
      <c r="H114" s="226"/>
      <c r="I114" s="226"/>
      <c r="J114" s="226"/>
      <c r="K114" s="218"/>
      <c r="L114" s="547"/>
      <c r="M114" s="550"/>
      <c r="N114" s="550"/>
      <c r="O114" s="51"/>
    </row>
    <row r="115" spans="1:17" ht="19.5" customHeight="1" thickBot="1" x14ac:dyDescent="0.3">
      <c r="A115" s="124"/>
      <c r="B115" s="223"/>
      <c r="C115" s="245" t="s">
        <v>886</v>
      </c>
      <c r="D115" s="263"/>
      <c r="E115" s="281"/>
      <c r="F115" s="281"/>
      <c r="G115" s="226"/>
      <c r="H115" s="226"/>
      <c r="I115" s="226"/>
      <c r="J115" s="226"/>
      <c r="K115" s="218">
        <f t="shared" si="8"/>
        <v>0</v>
      </c>
      <c r="L115" s="547"/>
      <c r="M115" s="550"/>
      <c r="N115" s="550"/>
      <c r="O115" s="51"/>
    </row>
    <row r="116" spans="1:17" ht="21.75" customHeight="1" x14ac:dyDescent="0.25">
      <c r="A116" s="124">
        <v>45</v>
      </c>
      <c r="B116" s="124">
        <v>7075</v>
      </c>
      <c r="C116" s="246" t="s">
        <v>875</v>
      </c>
      <c r="D116" s="214" t="s">
        <v>736</v>
      </c>
      <c r="E116" s="215">
        <v>6594</v>
      </c>
      <c r="F116" s="544">
        <f>I116/E116</f>
        <v>3923.2635729451017</v>
      </c>
      <c r="G116" s="216">
        <f>J116/E116</f>
        <v>4784.6527145890204</v>
      </c>
      <c r="H116" s="226">
        <v>824000</v>
      </c>
      <c r="I116" s="226">
        <v>25870000</v>
      </c>
      <c r="J116" s="226">
        <v>31550000</v>
      </c>
      <c r="K116" s="218">
        <f t="shared" si="8"/>
        <v>5680000</v>
      </c>
      <c r="L116" s="547">
        <f>K116/I116</f>
        <v>0.21955933513722459</v>
      </c>
      <c r="M116" s="550">
        <f>J116-H116</f>
        <v>30726000</v>
      </c>
      <c r="N116" s="550"/>
      <c r="P116" s="102" t="s">
        <v>1527</v>
      </c>
      <c r="Q116" t="s">
        <v>1564</v>
      </c>
    </row>
    <row r="117" spans="1:17" ht="21" customHeight="1" x14ac:dyDescent="0.25">
      <c r="A117" s="124">
        <v>46</v>
      </c>
      <c r="B117" s="124">
        <v>7052</v>
      </c>
      <c r="C117" s="251" t="s">
        <v>876</v>
      </c>
      <c r="D117" s="235" t="s">
        <v>742</v>
      </c>
      <c r="E117" s="280">
        <v>6933</v>
      </c>
      <c r="F117" s="544">
        <f>I117/E117</f>
        <v>1422.1837588345593</v>
      </c>
      <c r="G117" s="216">
        <f>J117/E117</f>
        <v>1990.4803115534401</v>
      </c>
      <c r="H117" s="226">
        <v>3500</v>
      </c>
      <c r="I117" s="226">
        <v>9860000</v>
      </c>
      <c r="J117" s="226">
        <v>13800000</v>
      </c>
      <c r="K117" s="218">
        <f t="shared" si="8"/>
        <v>3940000</v>
      </c>
      <c r="L117" s="547">
        <f>K117/I117</f>
        <v>0.39959432048681542</v>
      </c>
      <c r="M117" s="550">
        <f>J117-H117</f>
        <v>13796500</v>
      </c>
      <c r="N117" s="550"/>
      <c r="O117" s="266"/>
      <c r="P117" s="102" t="s">
        <v>1527</v>
      </c>
      <c r="Q117" t="s">
        <v>1563</v>
      </c>
    </row>
    <row r="118" spans="1:17" ht="16.5" customHeight="1" thickBot="1" x14ac:dyDescent="0.3">
      <c r="A118" s="124"/>
      <c r="B118" s="124"/>
      <c r="C118" s="244"/>
      <c r="D118" s="235"/>
      <c r="E118" s="280"/>
      <c r="F118" s="280"/>
      <c r="G118" s="226"/>
      <c r="H118" s="226"/>
      <c r="I118" s="226"/>
      <c r="J118" s="226"/>
      <c r="K118" s="218">
        <f t="shared" si="8"/>
        <v>0</v>
      </c>
      <c r="L118" s="547"/>
      <c r="M118" s="550"/>
      <c r="N118" s="550"/>
    </row>
    <row r="119" spans="1:17" ht="20.25" customHeight="1" thickBot="1" x14ac:dyDescent="0.3">
      <c r="A119" s="124"/>
      <c r="B119" s="223"/>
      <c r="C119" s="245" t="s">
        <v>887</v>
      </c>
      <c r="D119" s="263"/>
      <c r="E119" s="281"/>
      <c r="F119" s="312"/>
      <c r="G119" s="226"/>
      <c r="H119" s="226"/>
      <c r="I119" s="226"/>
      <c r="J119" s="226"/>
      <c r="K119" s="218">
        <f t="shared" si="8"/>
        <v>0</v>
      </c>
      <c r="L119" s="547"/>
      <c r="M119" s="550"/>
      <c r="N119" s="550"/>
    </row>
    <row r="120" spans="1:17" ht="21.75" customHeight="1" x14ac:dyDescent="0.25">
      <c r="A120" s="124">
        <v>47</v>
      </c>
      <c r="B120" s="124">
        <v>7034</v>
      </c>
      <c r="C120" s="246" t="s">
        <v>714</v>
      </c>
      <c r="D120" s="221" t="s">
        <v>715</v>
      </c>
      <c r="E120" s="231">
        <v>28900139</v>
      </c>
      <c r="F120" s="544">
        <f t="shared" ref="F120:F126" si="9">I120/E120</f>
        <v>55.426377015003283</v>
      </c>
      <c r="G120" s="216">
        <f t="shared" ref="G120:G126" si="10">J120/E120</f>
        <v>54.980358398968256</v>
      </c>
      <c r="H120" s="226">
        <v>3164359.34</v>
      </c>
      <c r="I120" s="226">
        <v>1601830000</v>
      </c>
      <c r="J120" s="226">
        <v>1588940000</v>
      </c>
      <c r="K120" s="218">
        <f t="shared" si="8"/>
        <v>-12890000</v>
      </c>
      <c r="L120" s="547">
        <f t="shared" ref="L120:L126" si="11">K120/I120</f>
        <v>-8.0470461909191368E-3</v>
      </c>
      <c r="M120" s="550">
        <f t="shared" ref="M120:M126" si="12">J120-H120</f>
        <v>1585775640.6600001</v>
      </c>
      <c r="N120" s="550"/>
      <c r="P120" s="284"/>
    </row>
    <row r="121" spans="1:17" ht="20.25" customHeight="1" x14ac:dyDescent="0.25">
      <c r="A121" s="124">
        <v>48</v>
      </c>
      <c r="B121" s="124">
        <v>7035</v>
      </c>
      <c r="C121" s="251" t="s">
        <v>807</v>
      </c>
      <c r="D121" s="271" t="s">
        <v>835</v>
      </c>
      <c r="E121" s="231">
        <v>13719</v>
      </c>
      <c r="F121" s="544">
        <f t="shared" si="9"/>
        <v>11932.356585756979</v>
      </c>
      <c r="G121" s="216">
        <f t="shared" si="10"/>
        <v>14963.116845251112</v>
      </c>
      <c r="H121" s="226">
        <v>848496</v>
      </c>
      <c r="I121" s="226">
        <v>163700000</v>
      </c>
      <c r="J121" s="226">
        <v>205279000</v>
      </c>
      <c r="K121" s="218">
        <f t="shared" si="8"/>
        <v>41579000</v>
      </c>
      <c r="L121" s="740">
        <f t="shared" si="11"/>
        <v>0.2539951130116066</v>
      </c>
      <c r="M121" s="741">
        <f t="shared" si="12"/>
        <v>204430504</v>
      </c>
      <c r="N121" s="757"/>
      <c r="O121" s="744"/>
      <c r="P121" s="102" t="s">
        <v>1527</v>
      </c>
      <c r="Q121" t="s">
        <v>1562</v>
      </c>
    </row>
    <row r="122" spans="1:17" ht="19.5" customHeight="1" x14ac:dyDescent="0.25">
      <c r="A122" s="124">
        <v>49</v>
      </c>
      <c r="B122" s="124">
        <v>9156</v>
      </c>
      <c r="C122" s="214" t="s">
        <v>813</v>
      </c>
      <c r="D122" s="270" t="s">
        <v>733</v>
      </c>
      <c r="E122" s="215">
        <v>450</v>
      </c>
      <c r="F122" s="544">
        <f t="shared" si="9"/>
        <v>1800</v>
      </c>
      <c r="G122" s="216">
        <f t="shared" si="10"/>
        <v>2000</v>
      </c>
      <c r="H122" s="226">
        <v>15277.43</v>
      </c>
      <c r="I122" s="226">
        <v>810000</v>
      </c>
      <c r="J122" s="226">
        <v>900000</v>
      </c>
      <c r="K122" s="218">
        <f t="shared" si="8"/>
        <v>90000</v>
      </c>
      <c r="L122" s="547">
        <f t="shared" si="11"/>
        <v>0.1111111111111111</v>
      </c>
      <c r="M122" s="550">
        <f t="shared" si="12"/>
        <v>884722.57</v>
      </c>
      <c r="N122" s="550"/>
      <c r="O122" s="266"/>
      <c r="P122" s="102" t="s">
        <v>1527</v>
      </c>
      <c r="Q122" t="s">
        <v>1561</v>
      </c>
    </row>
    <row r="123" spans="1:17" ht="31.5" customHeight="1" x14ac:dyDescent="0.25">
      <c r="A123" s="124">
        <v>50</v>
      </c>
      <c r="B123" s="124">
        <v>9147</v>
      </c>
      <c r="C123" s="235" t="s">
        <v>839</v>
      </c>
      <c r="D123" s="247" t="s">
        <v>1111</v>
      </c>
      <c r="E123" s="215">
        <v>669</v>
      </c>
      <c r="F123" s="544">
        <f t="shared" si="9"/>
        <v>3707.0254110612855</v>
      </c>
      <c r="G123" s="216">
        <f t="shared" si="10"/>
        <v>4499.2526158445444</v>
      </c>
      <c r="H123" s="226">
        <v>13713.15</v>
      </c>
      <c r="I123" s="226">
        <v>2480000</v>
      </c>
      <c r="J123" s="226">
        <v>3010000</v>
      </c>
      <c r="K123" s="218">
        <f t="shared" si="8"/>
        <v>530000</v>
      </c>
      <c r="L123" s="547">
        <f t="shared" si="11"/>
        <v>0.21370967741935484</v>
      </c>
      <c r="M123" s="550">
        <f t="shared" si="12"/>
        <v>2996286.85</v>
      </c>
      <c r="N123" s="550"/>
      <c r="O123" s="179"/>
      <c r="P123" s="102" t="s">
        <v>1527</v>
      </c>
      <c r="Q123" t="s">
        <v>1560</v>
      </c>
    </row>
    <row r="124" spans="1:17" ht="31.5" hidden="1" customHeight="1" x14ac:dyDescent="0.25">
      <c r="A124" s="286"/>
      <c r="B124" s="124"/>
      <c r="C124" s="287" t="s">
        <v>1112</v>
      </c>
      <c r="D124" s="288" t="s">
        <v>1113</v>
      </c>
      <c r="E124" s="289">
        <v>502</v>
      </c>
      <c r="F124" s="544">
        <f t="shared" si="9"/>
        <v>0</v>
      </c>
      <c r="G124" s="382"/>
      <c r="H124" s="259"/>
      <c r="I124" s="259"/>
      <c r="J124" s="259"/>
      <c r="K124" s="218">
        <f t="shared" si="8"/>
        <v>0</v>
      </c>
      <c r="L124" s="547" t="e">
        <f t="shared" si="11"/>
        <v>#DIV/0!</v>
      </c>
      <c r="M124" s="550"/>
      <c r="N124" s="550"/>
      <c r="O124" s="108"/>
      <c r="P124" s="383"/>
      <c r="Q124" s="383"/>
    </row>
    <row r="125" spans="1:17" ht="34.5" customHeight="1" x14ac:dyDescent="0.25">
      <c r="A125" s="124">
        <v>51</v>
      </c>
      <c r="B125" s="124">
        <v>7059</v>
      </c>
      <c r="C125" s="251" t="s">
        <v>890</v>
      </c>
      <c r="D125" s="221" t="s">
        <v>725</v>
      </c>
      <c r="E125" s="231">
        <v>798</v>
      </c>
      <c r="F125" s="544">
        <f t="shared" si="9"/>
        <v>31704.260651629073</v>
      </c>
      <c r="G125" s="216">
        <f t="shared" si="10"/>
        <v>39899.74937343358</v>
      </c>
      <c r="H125" s="226">
        <v>638400</v>
      </c>
      <c r="I125" s="226">
        <v>25300000</v>
      </c>
      <c r="J125" s="226">
        <v>31840000</v>
      </c>
      <c r="K125" s="218">
        <f t="shared" si="8"/>
        <v>6540000</v>
      </c>
      <c r="L125" s="547">
        <f t="shared" si="11"/>
        <v>0.25849802371541503</v>
      </c>
      <c r="M125" s="550">
        <f t="shared" si="12"/>
        <v>31201600</v>
      </c>
      <c r="N125" s="550"/>
      <c r="P125" s="102" t="s">
        <v>1527</v>
      </c>
      <c r="Q125" t="s">
        <v>1559</v>
      </c>
    </row>
    <row r="126" spans="1:17" ht="18.75" customHeight="1" x14ac:dyDescent="0.25">
      <c r="A126" s="124">
        <v>52</v>
      </c>
      <c r="B126" s="124">
        <v>9285</v>
      </c>
      <c r="C126" s="244" t="s">
        <v>911</v>
      </c>
      <c r="D126" s="221" t="s">
        <v>912</v>
      </c>
      <c r="E126" s="231">
        <v>3352</v>
      </c>
      <c r="F126" s="544">
        <f t="shared" si="9"/>
        <v>2801.3126491646776</v>
      </c>
      <c r="G126" s="216">
        <f t="shared" si="10"/>
        <v>3299.5226730310264</v>
      </c>
      <c r="H126" s="226">
        <v>30000</v>
      </c>
      <c r="I126" s="226">
        <v>9390000</v>
      </c>
      <c r="J126" s="226">
        <v>11060000</v>
      </c>
      <c r="K126" s="218">
        <f t="shared" si="8"/>
        <v>1670000</v>
      </c>
      <c r="L126" s="547">
        <f t="shared" si="11"/>
        <v>0.17784877529286475</v>
      </c>
      <c r="M126" s="550">
        <f t="shared" si="12"/>
        <v>11030000</v>
      </c>
      <c r="N126" s="550"/>
      <c r="O126" s="179"/>
      <c r="P126" s="102" t="s">
        <v>1527</v>
      </c>
      <c r="Q126" t="s">
        <v>1558</v>
      </c>
    </row>
    <row r="127" spans="1:17" ht="15" customHeight="1" thickBot="1" x14ac:dyDescent="0.3">
      <c r="A127" s="124"/>
      <c r="B127" s="124"/>
      <c r="C127" s="244"/>
      <c r="D127" s="221"/>
      <c r="E127" s="231"/>
      <c r="F127" s="231"/>
      <c r="G127" s="226"/>
      <c r="H127" s="226"/>
      <c r="I127" s="226"/>
      <c r="J127" s="226"/>
      <c r="K127" s="218">
        <f t="shared" si="8"/>
        <v>0</v>
      </c>
      <c r="L127" s="547"/>
      <c r="M127" s="550"/>
      <c r="N127" s="550"/>
    </row>
    <row r="128" spans="1:17" ht="18" customHeight="1" thickBot="1" x14ac:dyDescent="0.3">
      <c r="A128" s="124"/>
      <c r="B128" s="223"/>
      <c r="C128" s="245" t="s">
        <v>853</v>
      </c>
      <c r="D128" s="229"/>
      <c r="E128" s="231"/>
      <c r="F128" s="231"/>
      <c r="G128" s="226"/>
      <c r="H128" s="226"/>
      <c r="I128" s="226"/>
      <c r="J128" s="226"/>
      <c r="K128" s="218">
        <f t="shared" si="8"/>
        <v>0</v>
      </c>
      <c r="L128" s="547"/>
      <c r="M128" s="550"/>
      <c r="N128" s="550"/>
    </row>
    <row r="129" spans="1:17" ht="17.25" customHeight="1" x14ac:dyDescent="0.25">
      <c r="A129" s="124">
        <v>53</v>
      </c>
      <c r="B129" s="124">
        <v>7037</v>
      </c>
      <c r="C129" s="246" t="s">
        <v>877</v>
      </c>
      <c r="D129" s="235" t="s">
        <v>795</v>
      </c>
      <c r="E129" s="215">
        <v>249595</v>
      </c>
      <c r="F129" s="544">
        <f>I129/E129</f>
        <v>3300</v>
      </c>
      <c r="G129" s="216">
        <f>J129/E129</f>
        <v>3199.9839740379416</v>
      </c>
      <c r="H129" s="226">
        <v>9017701.9900000002</v>
      </c>
      <c r="I129" s="226">
        <v>823663500</v>
      </c>
      <c r="J129" s="226">
        <v>798700000</v>
      </c>
      <c r="K129" s="218">
        <f t="shared" si="8"/>
        <v>-24963500</v>
      </c>
      <c r="L129" s="547">
        <f>K129/I129</f>
        <v>-3.0307886655169251E-2</v>
      </c>
      <c r="M129" s="550">
        <f>J129-H129</f>
        <v>789682298.00999999</v>
      </c>
      <c r="N129" s="550"/>
      <c r="P129" s="102" t="s">
        <v>1527</v>
      </c>
      <c r="Q129" t="s">
        <v>1557</v>
      </c>
    </row>
    <row r="130" spans="1:17" ht="15" customHeight="1" thickBot="1" x14ac:dyDescent="0.3">
      <c r="A130" s="124"/>
      <c r="B130" s="124"/>
      <c r="C130" s="244"/>
      <c r="D130" s="235"/>
      <c r="E130" s="215"/>
      <c r="F130" s="215"/>
      <c r="G130" s="226"/>
      <c r="H130" s="226"/>
      <c r="I130" s="226"/>
      <c r="J130" s="226"/>
      <c r="K130" s="218">
        <f t="shared" si="8"/>
        <v>0</v>
      </c>
      <c r="L130" s="547"/>
      <c r="M130" s="550"/>
      <c r="N130" s="550"/>
    </row>
    <row r="131" spans="1:17" ht="18.75" customHeight="1" thickBot="1" x14ac:dyDescent="0.3">
      <c r="A131" s="85"/>
      <c r="B131" s="269"/>
      <c r="C131" s="245" t="s">
        <v>852</v>
      </c>
      <c r="D131" s="136"/>
      <c r="E131" s="70"/>
      <c r="F131" s="70"/>
      <c r="G131" s="195"/>
      <c r="H131" s="195"/>
      <c r="I131" s="195"/>
      <c r="J131" s="195"/>
      <c r="K131" s="218">
        <f t="shared" si="8"/>
        <v>0</v>
      </c>
      <c r="L131" s="547"/>
      <c r="M131" s="550"/>
      <c r="N131" s="550"/>
    </row>
    <row r="132" spans="1:17" ht="21.75" customHeight="1" x14ac:dyDescent="0.25">
      <c r="A132" s="124">
        <v>54</v>
      </c>
      <c r="B132" s="124">
        <v>7057</v>
      </c>
      <c r="C132" s="246" t="s">
        <v>893</v>
      </c>
      <c r="D132" s="214">
        <v>3106</v>
      </c>
      <c r="E132" s="215">
        <v>9982</v>
      </c>
      <c r="F132" s="544">
        <f>I132/E132</f>
        <v>1300.3406131035865</v>
      </c>
      <c r="G132" s="216">
        <f>J132/E132</f>
        <v>1300.3406131035865</v>
      </c>
      <c r="H132" s="226">
        <v>250000</v>
      </c>
      <c r="I132" s="226">
        <v>12980000</v>
      </c>
      <c r="J132" s="226">
        <v>12980000</v>
      </c>
      <c r="K132" s="218">
        <f t="shared" si="8"/>
        <v>0</v>
      </c>
      <c r="L132" s="547">
        <f>K132/I132</f>
        <v>0</v>
      </c>
      <c r="M132" s="550">
        <f>J132-H132</f>
        <v>12730000</v>
      </c>
      <c r="N132" s="550"/>
      <c r="P132" s="102" t="s">
        <v>1527</v>
      </c>
      <c r="Q132" t="s">
        <v>1556</v>
      </c>
    </row>
    <row r="133" spans="1:17" ht="18" customHeight="1" thickBot="1" x14ac:dyDescent="0.3">
      <c r="A133" s="293"/>
      <c r="B133" s="293"/>
      <c r="C133" s="244"/>
      <c r="D133" s="253"/>
      <c r="E133" s="294"/>
      <c r="F133" s="294"/>
      <c r="G133" s="295"/>
      <c r="H133" s="295"/>
      <c r="I133" s="295"/>
      <c r="J133" s="295"/>
      <c r="K133" s="296"/>
      <c r="L133" s="547"/>
      <c r="M133" s="550"/>
      <c r="N133" s="550"/>
    </row>
    <row r="134" spans="1:17" ht="15" customHeight="1" thickBot="1" x14ac:dyDescent="0.3">
      <c r="A134" s="121"/>
      <c r="B134" s="297"/>
      <c r="C134" s="298" t="s">
        <v>854</v>
      </c>
      <c r="D134" s="299"/>
      <c r="E134" s="405">
        <f>E11+E12+E13+E16+E17+E18+E19+E22+E25+E28+E29+E32+E35+E36+E40+E43+E46+E47+E48+E49+E50+E52+E53+E56+E57+E58+E59+E60+E61+E65+E68+E71+E72+E73+E74+E75+E79+E80+E84+E85+E86+E89+E92+E95+E96+E99+E100+E101+E102+E105+E108+E109+E112+E116+E117+E120+E121+E122+E123+E125+E126+E129+E132</f>
        <v>32235334.759999998</v>
      </c>
      <c r="F134" s="405"/>
      <c r="G134" s="300">
        <f>SUM(G11:G132)</f>
        <v>3704076.3905702969</v>
      </c>
      <c r="H134" s="300">
        <f>SUM(H11:H132)</f>
        <v>448087512.98999995</v>
      </c>
      <c r="I134" s="300">
        <f>SUM(I11:I132)</f>
        <v>26705861701.776901</v>
      </c>
      <c r="J134" s="300">
        <f>SUM(J11:J132)</f>
        <v>31129093210</v>
      </c>
      <c r="K134" s="301">
        <f>SUM(K11:K132)</f>
        <v>4423231508.2230997</v>
      </c>
      <c r="L134" s="547">
        <f>K134/I134</f>
        <v>0.1656277396182575</v>
      </c>
      <c r="M134" s="550">
        <f>J134-H134</f>
        <v>30681005697.009998</v>
      </c>
      <c r="N134" s="550"/>
    </row>
    <row r="135" spans="1:17" ht="15" customHeight="1" x14ac:dyDescent="0.25">
      <c r="A135" s="128"/>
      <c r="B135" s="302"/>
      <c r="C135" s="303"/>
      <c r="D135" s="304"/>
      <c r="E135" s="304"/>
      <c r="F135" s="304"/>
      <c r="G135" s="305"/>
      <c r="H135" s="305"/>
      <c r="I135" s="305"/>
      <c r="J135" s="305"/>
      <c r="K135" s="306"/>
      <c r="L135" s="548"/>
      <c r="M135" s="551"/>
      <c r="N135" s="551"/>
    </row>
    <row r="136" spans="1:17" ht="15" customHeight="1" x14ac:dyDescent="0.25">
      <c r="A136" s="122"/>
      <c r="B136" s="123"/>
      <c r="C136" s="307" t="s">
        <v>796</v>
      </c>
      <c r="D136" s="308"/>
      <c r="E136" s="308"/>
      <c r="F136" s="308"/>
      <c r="G136" s="309"/>
      <c r="H136" s="309"/>
      <c r="I136" s="309"/>
      <c r="J136" s="309"/>
      <c r="K136" s="291"/>
      <c r="L136" s="547"/>
      <c r="M136" s="550"/>
      <c r="N136" s="550"/>
    </row>
    <row r="137" spans="1:17" ht="15" customHeight="1" x14ac:dyDescent="0.25">
      <c r="A137" s="124"/>
      <c r="B137" s="310"/>
      <c r="C137" s="311"/>
      <c r="D137" s="312"/>
      <c r="E137" s="312"/>
      <c r="F137" s="312"/>
      <c r="G137" s="313"/>
      <c r="H137" s="313"/>
      <c r="I137" s="313"/>
      <c r="J137" s="313"/>
      <c r="K137" s="218"/>
      <c r="L137" s="547"/>
      <c r="M137" s="550"/>
      <c r="N137" s="550"/>
    </row>
    <row r="138" spans="1:17" ht="33" customHeight="1" x14ac:dyDescent="0.25">
      <c r="A138" s="124">
        <v>1</v>
      </c>
      <c r="B138" s="124">
        <v>8489</v>
      </c>
      <c r="C138" s="251" t="s">
        <v>891</v>
      </c>
      <c r="D138" s="312"/>
      <c r="E138" s="314">
        <v>9584</v>
      </c>
      <c r="F138" s="544">
        <f>I138/E138</f>
        <v>22839.495992278797</v>
      </c>
      <c r="G138" s="216">
        <f>J138/E138</f>
        <v>20592.420701168616</v>
      </c>
      <c r="H138" s="226">
        <v>30472067.59</v>
      </c>
      <c r="I138" s="226">
        <f>209942102+8951627.59</f>
        <v>218893729.59</v>
      </c>
      <c r="J138" s="226">
        <v>197357760</v>
      </c>
      <c r="K138" s="218">
        <f t="shared" ref="K138:K143" si="13">J138-I138</f>
        <v>-21535969.590000004</v>
      </c>
      <c r="L138" s="547">
        <f t="shared" ref="L138:L146" si="14">K138/I138</f>
        <v>-9.8385502546546488E-2</v>
      </c>
      <c r="M138" s="550">
        <f t="shared" ref="M138:M146" si="15">J138-H138</f>
        <v>166885692.41</v>
      </c>
      <c r="N138" s="550"/>
      <c r="P138" s="102" t="s">
        <v>1525</v>
      </c>
      <c r="Q138" t="s">
        <v>1530</v>
      </c>
    </row>
    <row r="139" spans="1:17" ht="29.25" customHeight="1" x14ac:dyDescent="0.25">
      <c r="A139" s="124">
        <v>2</v>
      </c>
      <c r="B139" s="124">
        <v>8488</v>
      </c>
      <c r="C139" s="251" t="s">
        <v>892</v>
      </c>
      <c r="D139" s="214"/>
      <c r="E139" s="215">
        <v>7012</v>
      </c>
      <c r="F139" s="544">
        <f>I139/E139</f>
        <v>14328.72219053052</v>
      </c>
      <c r="G139" s="216">
        <f>J139/E139</f>
        <v>18169.566457501427</v>
      </c>
      <c r="H139" s="226">
        <v>43086304.270000003</v>
      </c>
      <c r="I139" s="226">
        <v>100473000</v>
      </c>
      <c r="J139" s="226">
        <v>127405000</v>
      </c>
      <c r="K139" s="218">
        <f t="shared" si="13"/>
        <v>26932000</v>
      </c>
      <c r="L139" s="547">
        <f t="shared" si="14"/>
        <v>0.26805211350313018</v>
      </c>
      <c r="M139" s="550">
        <f t="shared" si="15"/>
        <v>84318695.729999989</v>
      </c>
      <c r="N139" s="550"/>
      <c r="P139" s="102" t="s">
        <v>1571</v>
      </c>
      <c r="Q139" t="s">
        <v>1578</v>
      </c>
    </row>
    <row r="140" spans="1:17" ht="45.75" customHeight="1" x14ac:dyDescent="0.25">
      <c r="A140" s="124">
        <v>3</v>
      </c>
      <c r="B140" s="124">
        <v>8834</v>
      </c>
      <c r="C140" s="251" t="s">
        <v>823</v>
      </c>
      <c r="D140" s="271" t="s">
        <v>743</v>
      </c>
      <c r="E140" s="315">
        <v>193.5</v>
      </c>
      <c r="F140" s="544">
        <f>I140/E140</f>
        <v>81777.777777777781</v>
      </c>
      <c r="G140" s="216">
        <f>J140/E140</f>
        <v>82428.940568475446</v>
      </c>
      <c r="H140" s="226">
        <v>6190000</v>
      </c>
      <c r="I140" s="226">
        <v>15824000</v>
      </c>
      <c r="J140" s="226">
        <v>15950000</v>
      </c>
      <c r="K140" s="218">
        <f t="shared" si="13"/>
        <v>126000</v>
      </c>
      <c r="L140" s="547">
        <f t="shared" si="14"/>
        <v>7.9625884732052576E-3</v>
      </c>
      <c r="M140" s="550">
        <f t="shared" si="15"/>
        <v>9760000</v>
      </c>
      <c r="N140" s="550"/>
      <c r="P140" s="284"/>
    </row>
    <row r="141" spans="1:17" ht="36.75" customHeight="1" x14ac:dyDescent="0.25">
      <c r="A141" s="124">
        <v>4</v>
      </c>
      <c r="B141" s="124">
        <v>8487</v>
      </c>
      <c r="C141" s="251" t="s">
        <v>1115</v>
      </c>
      <c r="D141" s="403" t="s">
        <v>720</v>
      </c>
      <c r="E141" s="312"/>
      <c r="F141" s="226">
        <v>0</v>
      </c>
      <c r="G141" s="226">
        <v>0</v>
      </c>
      <c r="H141" s="226">
        <v>0</v>
      </c>
      <c r="I141" s="476">
        <v>925400</v>
      </c>
      <c r="J141" s="476">
        <v>925400</v>
      </c>
      <c r="K141" s="218">
        <f t="shared" si="13"/>
        <v>0</v>
      </c>
      <c r="L141" s="547">
        <f t="shared" si="14"/>
        <v>0</v>
      </c>
      <c r="M141" s="550">
        <f t="shared" si="15"/>
        <v>925400</v>
      </c>
      <c r="N141" s="550"/>
      <c r="P141" t="s">
        <v>1465</v>
      </c>
    </row>
    <row r="142" spans="1:17" ht="24" customHeight="1" x14ac:dyDescent="0.25">
      <c r="A142" s="746">
        <v>5</v>
      </c>
      <c r="B142" s="124">
        <v>9344</v>
      </c>
      <c r="C142" s="251" t="s">
        <v>1116</v>
      </c>
      <c r="D142" s="745"/>
      <c r="E142" s="312"/>
      <c r="F142" s="226">
        <v>0</v>
      </c>
      <c r="G142" s="226">
        <v>0</v>
      </c>
      <c r="H142" s="226">
        <v>0</v>
      </c>
      <c r="I142" s="222">
        <v>246000</v>
      </c>
      <c r="J142" s="222">
        <v>247000</v>
      </c>
      <c r="K142" s="218">
        <f t="shared" si="13"/>
        <v>1000</v>
      </c>
      <c r="L142" s="547">
        <f t="shared" si="14"/>
        <v>4.0650406504065045E-3</v>
      </c>
      <c r="M142" s="550">
        <f t="shared" si="15"/>
        <v>247000</v>
      </c>
      <c r="N142" s="550"/>
      <c r="P142" s="102" t="s">
        <v>1527</v>
      </c>
      <c r="Q142" t="s">
        <v>1547</v>
      </c>
    </row>
    <row r="143" spans="1:17" ht="24" customHeight="1" thickBot="1" x14ac:dyDescent="0.3">
      <c r="A143" s="128">
        <v>6</v>
      </c>
      <c r="B143" s="124">
        <v>9487</v>
      </c>
      <c r="C143" s="253" t="s">
        <v>1394</v>
      </c>
      <c r="D143" s="90" t="s">
        <v>1395</v>
      </c>
      <c r="E143" s="215">
        <v>180</v>
      </c>
      <c r="F143" s="544">
        <f>I143/E143</f>
        <v>0</v>
      </c>
      <c r="G143" s="216">
        <f>J143/E143</f>
        <v>7000</v>
      </c>
      <c r="H143" s="226">
        <v>0</v>
      </c>
      <c r="I143" s="226">
        <v>0</v>
      </c>
      <c r="J143" s="226">
        <v>1260000</v>
      </c>
      <c r="K143" s="218">
        <f t="shared" si="13"/>
        <v>1260000</v>
      </c>
      <c r="L143" s="547"/>
      <c r="M143" s="550"/>
      <c r="N143" s="550"/>
      <c r="P143" s="102"/>
    </row>
    <row r="144" spans="1:17" ht="18.75" customHeight="1" thickBot="1" x14ac:dyDescent="0.3">
      <c r="A144" s="125"/>
      <c r="B144" s="322"/>
      <c r="C144" s="323" t="s">
        <v>855</v>
      </c>
      <c r="D144" s="324"/>
      <c r="E144" s="425">
        <f>E138+E140+E139+E141+E142+E143</f>
        <v>16969.5</v>
      </c>
      <c r="F144" s="425"/>
      <c r="G144" s="326">
        <f>SUM(G138:G143)</f>
        <v>128190.92772714549</v>
      </c>
      <c r="H144" s="326">
        <f>SUM(H138:H143)</f>
        <v>79748371.859999999</v>
      </c>
      <c r="I144" s="326">
        <f>SUM(I138:I143)</f>
        <v>336362129.59000003</v>
      </c>
      <c r="J144" s="326">
        <f>SUM(J138:J143)</f>
        <v>343145160</v>
      </c>
      <c r="K144" s="327">
        <f>SUM(K137:K143)</f>
        <v>6783030.4099999964</v>
      </c>
      <c r="L144" s="547">
        <f t="shared" si="14"/>
        <v>2.0165856418699682E-2</v>
      </c>
      <c r="M144" s="550">
        <f t="shared" si="15"/>
        <v>263396788.13999999</v>
      </c>
      <c r="N144" s="550"/>
    </row>
    <row r="145" spans="1:14" ht="24" customHeight="1" thickBot="1" x14ac:dyDescent="0.3">
      <c r="A145" s="135"/>
      <c r="B145" s="328"/>
      <c r="C145" s="329"/>
      <c r="D145" s="330"/>
      <c r="E145" s="331"/>
      <c r="F145" s="331"/>
      <c r="G145" s="332"/>
      <c r="H145" s="332"/>
      <c r="I145" s="332"/>
      <c r="J145" s="332"/>
      <c r="K145" s="333"/>
      <c r="L145" s="546"/>
      <c r="M145" s="354"/>
      <c r="N145" s="354"/>
    </row>
    <row r="146" spans="1:14" ht="17.25" customHeight="1" thickBot="1" x14ac:dyDescent="0.3">
      <c r="A146" s="126"/>
      <c r="B146" s="334"/>
      <c r="C146" s="134"/>
      <c r="D146" s="335" t="s">
        <v>889</v>
      </c>
      <c r="E146" s="426">
        <f t="shared" ref="E146:K146" si="16">E134+E144</f>
        <v>32252304.259999998</v>
      </c>
      <c r="F146" s="426"/>
      <c r="G146" s="120">
        <f t="shared" si="16"/>
        <v>3832267.3182974425</v>
      </c>
      <c r="H146" s="120">
        <f t="shared" si="16"/>
        <v>527835884.84999996</v>
      </c>
      <c r="I146" s="120">
        <f t="shared" si="16"/>
        <v>27042223831.366901</v>
      </c>
      <c r="J146" s="120">
        <f t="shared" si="16"/>
        <v>31472238370</v>
      </c>
      <c r="K146" s="337">
        <f t="shared" si="16"/>
        <v>4430014538.6330996</v>
      </c>
      <c r="L146" s="547">
        <f t="shared" si="14"/>
        <v>0.16381842581654188</v>
      </c>
      <c r="M146" s="550">
        <f t="shared" si="15"/>
        <v>30944402485.150002</v>
      </c>
      <c r="N146" s="550"/>
    </row>
    <row r="147" spans="1:14" x14ac:dyDescent="0.25">
      <c r="C147" s="91"/>
      <c r="D147" s="999"/>
      <c r="E147" s="187"/>
      <c r="F147" s="187"/>
      <c r="G147" s="116"/>
      <c r="H147" s="116"/>
      <c r="I147" s="55"/>
      <c r="J147" s="55"/>
      <c r="K147" s="55"/>
      <c r="L147" s="55"/>
      <c r="M147" s="55"/>
      <c r="N147" s="759"/>
    </row>
    <row r="148" spans="1:14" ht="17.25" hidden="1" x14ac:dyDescent="0.4">
      <c r="C148" s="91"/>
      <c r="D148" s="999"/>
      <c r="E148" s="187"/>
      <c r="F148" s="187"/>
      <c r="G148" s="89"/>
      <c r="H148" s="89"/>
      <c r="K148" s="92"/>
      <c r="L148" s="92"/>
      <c r="M148" s="92"/>
      <c r="N148" s="92"/>
    </row>
    <row r="149" spans="1:14" hidden="1" x14ac:dyDescent="0.25"/>
    <row r="150" spans="1:14" hidden="1" x14ac:dyDescent="0.25"/>
    <row r="151" spans="1:14" hidden="1" x14ac:dyDescent="0.25"/>
    <row r="152" spans="1:14" hidden="1" x14ac:dyDescent="0.25"/>
    <row r="153" spans="1:14" hidden="1" x14ac:dyDescent="0.25">
      <c r="I153" s="93"/>
      <c r="J153" s="94"/>
      <c r="K153" s="94"/>
    </row>
    <row r="154" spans="1:14" hidden="1" x14ac:dyDescent="0.25">
      <c r="I154" s="95"/>
    </row>
    <row r="155" spans="1:14" hidden="1" x14ac:dyDescent="0.25">
      <c r="I155" s="95"/>
    </row>
    <row r="156" spans="1:14" hidden="1" x14ac:dyDescent="0.25">
      <c r="I156" s="95"/>
    </row>
    <row r="157" spans="1:14" hidden="1" x14ac:dyDescent="0.25">
      <c r="I157" s="95"/>
      <c r="K157" s="87"/>
      <c r="L157" s="87"/>
      <c r="M157" s="87"/>
      <c r="N157" s="87"/>
    </row>
    <row r="158" spans="1:14" hidden="1" x14ac:dyDescent="0.25">
      <c r="I158" s="95"/>
    </row>
    <row r="159" spans="1:14" ht="15.75" hidden="1" thickBot="1" x14ac:dyDescent="0.3">
      <c r="I159" s="96"/>
      <c r="J159" s="97"/>
      <c r="K159" s="97"/>
    </row>
    <row r="160" spans="1:14" hidden="1" x14ac:dyDescent="0.25"/>
    <row r="161" spans="5:14" hidden="1" x14ac:dyDescent="0.25"/>
    <row r="162" spans="5:14" hidden="1" x14ac:dyDescent="0.25"/>
    <row r="163" spans="5:14" hidden="1" x14ac:dyDescent="0.25">
      <c r="I163" s="98"/>
      <c r="J163" s="98"/>
      <c r="K163" s="88"/>
      <c r="L163" s="88"/>
      <c r="M163" s="88"/>
      <c r="N163" s="760"/>
    </row>
    <row r="164" spans="5:14" hidden="1" x14ac:dyDescent="0.25"/>
    <row r="165" spans="5:14" hidden="1" x14ac:dyDescent="0.25"/>
    <row r="166" spans="5:14" hidden="1" x14ac:dyDescent="0.25">
      <c r="K166" s="88"/>
      <c r="L166" s="88"/>
      <c r="M166" s="88"/>
      <c r="N166" s="760"/>
    </row>
    <row r="167" spans="5:14" ht="15.75" hidden="1" thickBot="1" x14ac:dyDescent="0.3">
      <c r="K167" s="99"/>
      <c r="L167" s="545"/>
      <c r="M167" s="545"/>
      <c r="N167" s="545"/>
    </row>
    <row r="168" spans="5:14" hidden="1" x14ac:dyDescent="0.25"/>
    <row r="169" spans="5:14" hidden="1" x14ac:dyDescent="0.25"/>
    <row r="170" spans="5:14" hidden="1" x14ac:dyDescent="0.25"/>
    <row r="171" spans="5:14" hidden="1" x14ac:dyDescent="0.25"/>
    <row r="172" spans="5:14" hidden="1" x14ac:dyDescent="0.25">
      <c r="K172" s="88"/>
      <c r="L172" s="88"/>
      <c r="M172" s="88"/>
      <c r="N172" s="760"/>
    </row>
    <row r="173" spans="5:14" ht="15.75" hidden="1" thickBot="1" x14ac:dyDescent="0.3">
      <c r="K173" s="100"/>
      <c r="L173" s="51"/>
      <c r="M173" s="51"/>
      <c r="N173" s="51"/>
    </row>
    <row r="174" spans="5:14" hidden="1" x14ac:dyDescent="0.25"/>
    <row r="175" spans="5:14" x14ac:dyDescent="0.25">
      <c r="E175" s="50"/>
      <c r="F175" s="50"/>
      <c r="I175" s="103"/>
      <c r="J175" s="103"/>
      <c r="K175" s="50"/>
      <c r="L175" s="50"/>
      <c r="M175" s="50"/>
      <c r="N175" s="108"/>
    </row>
    <row r="176" spans="5:14" x14ac:dyDescent="0.25">
      <c r="E176" s="50"/>
      <c r="F176" s="50"/>
      <c r="I176" s="179"/>
      <c r="J176" s="412"/>
      <c r="K176" s="412">
        <f>'TRIAL BALANCE '!J195</f>
        <v>0</v>
      </c>
      <c r="L176" s="179"/>
      <c r="M176" s="179"/>
      <c r="N176" s="179"/>
    </row>
    <row r="177" spans="3:14" x14ac:dyDescent="0.25">
      <c r="E177" s="108"/>
      <c r="F177" s="108"/>
      <c r="H177" s="50"/>
      <c r="I177" s="398"/>
      <c r="J177" s="460"/>
      <c r="K177" s="398">
        <f>K146-K176</f>
        <v>4430014538.6330996</v>
      </c>
      <c r="L177" s="50"/>
      <c r="M177" s="50"/>
      <c r="N177" s="108"/>
    </row>
    <row r="178" spans="3:14" hidden="1" x14ac:dyDescent="0.25">
      <c r="C178" t="s">
        <v>924</v>
      </c>
      <c r="E178" s="50"/>
      <c r="F178" s="50"/>
      <c r="G178">
        <v>1507305.85</v>
      </c>
      <c r="H178" s="50" t="e">
        <f>#REF!</f>
        <v>#REF!</v>
      </c>
      <c r="I178" s="104"/>
      <c r="J178" s="104"/>
      <c r="K178" s="398"/>
      <c r="L178" s="50"/>
      <c r="M178" s="50"/>
      <c r="N178" s="108"/>
    </row>
    <row r="179" spans="3:14" ht="15.75" hidden="1" thickBot="1" x14ac:dyDescent="0.3">
      <c r="E179" s="50"/>
      <c r="F179" s="50"/>
      <c r="G179">
        <v>11788461.15</v>
      </c>
      <c r="H179" s="490" t="e">
        <f>H177-H178</f>
        <v>#REF!</v>
      </c>
      <c r="K179" s="51"/>
      <c r="L179" s="51"/>
      <c r="M179" s="51"/>
      <c r="N179" s="51"/>
    </row>
    <row r="180" spans="3:14" ht="15.75" hidden="1" thickBot="1" x14ac:dyDescent="0.3">
      <c r="C180" s="148" t="s">
        <v>916</v>
      </c>
      <c r="D180" s="149" t="s">
        <v>921</v>
      </c>
      <c r="E180" s="407"/>
      <c r="F180" s="407"/>
      <c r="G180" s="151" t="s">
        <v>923</v>
      </c>
      <c r="H180" s="437"/>
      <c r="K180" s="51"/>
      <c r="L180" s="51"/>
      <c r="M180" s="51"/>
      <c r="N180" s="51"/>
    </row>
    <row r="181" spans="3:14" hidden="1" x14ac:dyDescent="0.25">
      <c r="C181" t="s">
        <v>917</v>
      </c>
      <c r="D181" s="50">
        <v>1164572</v>
      </c>
      <c r="E181" s="50"/>
      <c r="F181" s="50"/>
      <c r="G181" s="51">
        <f>D181-E181</f>
        <v>1164572</v>
      </c>
      <c r="H181" s="51"/>
      <c r="K181" s="51"/>
      <c r="L181" s="51"/>
      <c r="M181" s="51"/>
      <c r="N181" s="51"/>
    </row>
    <row r="182" spans="3:14" hidden="1" x14ac:dyDescent="0.25">
      <c r="C182" t="s">
        <v>918</v>
      </c>
      <c r="D182" s="50">
        <v>646313</v>
      </c>
      <c r="E182" s="50"/>
      <c r="F182" s="50"/>
      <c r="G182" s="51">
        <f>D182-E182</f>
        <v>646313</v>
      </c>
      <c r="H182" s="51"/>
      <c r="K182" s="51"/>
      <c r="L182" s="51"/>
      <c r="M182" s="51"/>
      <c r="N182" s="51"/>
    </row>
    <row r="183" spans="3:14" hidden="1" x14ac:dyDescent="0.25">
      <c r="C183" t="s">
        <v>919</v>
      </c>
      <c r="D183" s="50">
        <v>1384885</v>
      </c>
      <c r="E183" s="50"/>
      <c r="F183" s="50"/>
      <c r="G183" s="51">
        <f>D183-E183</f>
        <v>1384885</v>
      </c>
      <c r="H183" s="51"/>
    </row>
    <row r="184" spans="3:14" hidden="1" x14ac:dyDescent="0.25">
      <c r="C184" t="s">
        <v>920</v>
      </c>
      <c r="D184" s="147">
        <v>15726</v>
      </c>
      <c r="E184" s="147"/>
      <c r="F184" s="147"/>
      <c r="G184" s="51">
        <f>D184</f>
        <v>15726</v>
      </c>
      <c r="H184" s="51"/>
    </row>
    <row r="185" spans="3:14" hidden="1" x14ac:dyDescent="0.25">
      <c r="E185" s="50"/>
      <c r="F185" s="50"/>
      <c r="G185" s="51">
        <f>SUM(G181:G184)</f>
        <v>3211496</v>
      </c>
      <c r="H185" s="51"/>
    </row>
    <row r="186" spans="3:14" hidden="1" x14ac:dyDescent="0.25">
      <c r="D186" s="83"/>
      <c r="E186" s="147"/>
      <c r="F186" s="147"/>
      <c r="G186" s="499"/>
      <c r="H186" s="499"/>
    </row>
    <row r="187" spans="3:14" hidden="1" x14ac:dyDescent="0.25">
      <c r="E187" s="408"/>
      <c r="F187" s="408"/>
      <c r="G187" s="153"/>
      <c r="H187" s="153"/>
    </row>
    <row r="188" spans="3:14" x14ac:dyDescent="0.25">
      <c r="E188" s="50"/>
      <c r="F188" s="50"/>
      <c r="K188" s="412"/>
    </row>
    <row r="189" spans="3:14" x14ac:dyDescent="0.25">
      <c r="E189" s="50"/>
      <c r="F189" s="852"/>
    </row>
    <row r="190" spans="3:14" x14ac:dyDescent="0.25">
      <c r="E190" s="50"/>
      <c r="F190" s="852"/>
    </row>
    <row r="191" spans="3:14" x14ac:dyDescent="0.25">
      <c r="E191" s="50"/>
      <c r="F191" s="66"/>
      <c r="G191" s="398"/>
      <c r="H191" s="438"/>
    </row>
    <row r="192" spans="3:14" x14ac:dyDescent="0.25">
      <c r="E192" s="51"/>
      <c r="F192" s="853"/>
      <c r="H192" s="438"/>
    </row>
    <row r="193" spans="4:9" x14ac:dyDescent="0.25">
      <c r="F193" s="853"/>
      <c r="H193" s="854"/>
    </row>
    <row r="194" spans="4:9" x14ac:dyDescent="0.25">
      <c r="G194" s="398"/>
    </row>
    <row r="195" spans="4:9" x14ac:dyDescent="0.25">
      <c r="G195" s="398"/>
      <c r="H195" s="51"/>
    </row>
    <row r="196" spans="4:9" x14ac:dyDescent="0.25">
      <c r="D196" s="50"/>
      <c r="G196" s="398"/>
      <c r="H196" s="51"/>
      <c r="I196" s="50"/>
    </row>
    <row r="197" spans="4:9" x14ac:dyDescent="0.25">
      <c r="D197" s="50"/>
      <c r="H197" s="179"/>
      <c r="I197" s="50"/>
    </row>
    <row r="198" spans="4:9" x14ac:dyDescent="0.25">
      <c r="D198" s="50"/>
      <c r="I198" s="50"/>
    </row>
    <row r="199" spans="4:9" x14ac:dyDescent="0.25">
      <c r="D199" s="50"/>
      <c r="H199" s="412"/>
      <c r="I199" s="50"/>
    </row>
    <row r="200" spans="4:9" x14ac:dyDescent="0.25">
      <c r="D200" s="50"/>
      <c r="I200" s="50"/>
    </row>
    <row r="201" spans="4:9" x14ac:dyDescent="0.25">
      <c r="D201" s="50"/>
      <c r="G201" s="398"/>
      <c r="H201" s="398"/>
      <c r="I201" s="50"/>
    </row>
    <row r="202" spans="4:9" x14ac:dyDescent="0.25">
      <c r="D202" s="50"/>
      <c r="H202" s="179"/>
      <c r="I202" s="50"/>
    </row>
    <row r="203" spans="4:9" x14ac:dyDescent="0.25">
      <c r="D203" s="50"/>
      <c r="H203" s="179"/>
      <c r="I203" s="50"/>
    </row>
    <row r="204" spans="4:9" x14ac:dyDescent="0.25">
      <c r="D204" s="50"/>
      <c r="I204" s="50"/>
    </row>
    <row r="205" spans="4:9" x14ac:dyDescent="0.25">
      <c r="D205" s="50"/>
      <c r="I205" s="50"/>
    </row>
    <row r="206" spans="4:9" x14ac:dyDescent="0.25">
      <c r="D206" s="50"/>
      <c r="I206" s="50"/>
    </row>
    <row r="207" spans="4:9" x14ac:dyDescent="0.25">
      <c r="D207" s="50"/>
      <c r="I207" s="50"/>
    </row>
    <row r="208" spans="4:9" x14ac:dyDescent="0.25">
      <c r="D208" s="50"/>
      <c r="I208" s="50"/>
    </row>
    <row r="209" spans="4:10" x14ac:dyDescent="0.25">
      <c r="D209" s="50"/>
      <c r="I209" s="50"/>
    </row>
    <row r="210" spans="4:10" x14ac:dyDescent="0.25">
      <c r="D210" s="50"/>
      <c r="I210" s="50"/>
    </row>
    <row r="211" spans="4:10" x14ac:dyDescent="0.25">
      <c r="D211" s="50"/>
      <c r="I211" s="50"/>
    </row>
    <row r="212" spans="4:10" x14ac:dyDescent="0.25">
      <c r="D212" s="50"/>
      <c r="I212" s="50"/>
    </row>
    <row r="213" spans="4:10" x14ac:dyDescent="0.25">
      <c r="D213" s="50"/>
      <c r="I213" s="51"/>
    </row>
    <row r="214" spans="4:10" x14ac:dyDescent="0.25">
      <c r="D214" s="50"/>
    </row>
    <row r="215" spans="4:10" x14ac:dyDescent="0.25">
      <c r="D215" s="50"/>
    </row>
    <row r="216" spans="4:10" x14ac:dyDescent="0.25">
      <c r="D216" s="50"/>
      <c r="I216" s="50"/>
    </row>
    <row r="217" spans="4:10" x14ac:dyDescent="0.25">
      <c r="D217" s="50"/>
      <c r="I217" s="50"/>
    </row>
    <row r="218" spans="4:10" x14ac:dyDescent="0.25">
      <c r="D218" s="50"/>
      <c r="I218" s="50"/>
    </row>
    <row r="219" spans="4:10" x14ac:dyDescent="0.25">
      <c r="D219" s="50"/>
      <c r="I219" s="50"/>
    </row>
    <row r="220" spans="4:10" x14ac:dyDescent="0.25">
      <c r="D220" s="50"/>
      <c r="J220" s="179"/>
    </row>
    <row r="221" spans="4:10" x14ac:dyDescent="0.25">
      <c r="D221" s="50"/>
      <c r="I221" s="51"/>
      <c r="J221" s="179"/>
    </row>
    <row r="222" spans="4:10" x14ac:dyDescent="0.25">
      <c r="D222" s="50"/>
    </row>
    <row r="223" spans="4:10" x14ac:dyDescent="0.25">
      <c r="D223" s="50"/>
      <c r="I223" s="50"/>
    </row>
    <row r="224" spans="4:10" x14ac:dyDescent="0.25">
      <c r="D224" s="50"/>
      <c r="I224" s="50"/>
    </row>
    <row r="225" spans="4:9" x14ac:dyDescent="0.25">
      <c r="D225" s="50"/>
      <c r="I225" s="50"/>
    </row>
    <row r="226" spans="4:9" x14ac:dyDescent="0.25">
      <c r="D226" s="50"/>
      <c r="I226" s="50"/>
    </row>
    <row r="227" spans="4:9" x14ac:dyDescent="0.25">
      <c r="D227" s="50"/>
      <c r="I227" s="179"/>
    </row>
    <row r="228" spans="4:9" x14ac:dyDescent="0.25">
      <c r="D228" s="50"/>
    </row>
    <row r="229" spans="4:9" x14ac:dyDescent="0.25">
      <c r="D229" s="50"/>
    </row>
    <row r="230" spans="4:9" x14ac:dyDescent="0.25">
      <c r="D230" s="50"/>
    </row>
    <row r="231" spans="4:9" x14ac:dyDescent="0.25">
      <c r="D231" s="50"/>
    </row>
    <row r="232" spans="4:9" x14ac:dyDescent="0.25">
      <c r="D232" s="50"/>
    </row>
    <row r="233" spans="4:9" x14ac:dyDescent="0.25">
      <c r="D233" s="51"/>
    </row>
    <row r="235" spans="4:9" x14ac:dyDescent="0.25">
      <c r="D235" s="51"/>
    </row>
    <row r="237" spans="4:9" x14ac:dyDescent="0.25">
      <c r="D237" s="179"/>
    </row>
  </sheetData>
  <mergeCells count="17">
    <mergeCell ref="O5:T5"/>
    <mergeCell ref="Q59:Q61"/>
    <mergeCell ref="P108:P109"/>
    <mergeCell ref="B5:B6"/>
    <mergeCell ref="C5:C6"/>
    <mergeCell ref="D5:D6"/>
    <mergeCell ref="E5:E6"/>
    <mergeCell ref="G5:G6"/>
    <mergeCell ref="L5:L6"/>
    <mergeCell ref="D147:D148"/>
    <mergeCell ref="J5:J6"/>
    <mergeCell ref="K5:K6"/>
    <mergeCell ref="G35:G36"/>
    <mergeCell ref="I5:I6"/>
    <mergeCell ref="H5:H6"/>
    <mergeCell ref="H108:H109"/>
    <mergeCell ref="F5:F6"/>
  </mergeCells>
  <pageMargins left="0.43" right="0.28000000000000003" top="0.62992125984251968" bottom="0.74803149606299213" header="0.31496062992125984" footer="0.31496062992125984"/>
  <pageSetup paperSize="119" scale="5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2244-72DD-4C73-864A-21ACA6E6CC9D}">
  <sheetPr>
    <tabColor rgb="FFFFFF00"/>
  </sheetPr>
  <dimension ref="B1:H2448"/>
  <sheetViews>
    <sheetView topLeftCell="B1231" workbookViewId="0">
      <selection activeCell="F1392" sqref="F1392"/>
    </sheetView>
  </sheetViews>
  <sheetFormatPr defaultRowHeight="15" x14ac:dyDescent="0.25"/>
  <cols>
    <col min="2" max="2" width="14.28515625" customWidth="1"/>
    <col min="3" max="3" width="57.28515625" customWidth="1"/>
    <col min="4" max="4" width="20.7109375" customWidth="1"/>
    <col min="5" max="5" width="17.7109375" customWidth="1"/>
    <col min="6" max="6" width="15.140625" customWidth="1"/>
    <col min="7" max="7" width="21.140625" customWidth="1"/>
    <col min="8" max="8" width="38.7109375" customWidth="1"/>
  </cols>
  <sheetData>
    <row r="1" spans="2:8" x14ac:dyDescent="0.25">
      <c r="E1" t="s">
        <v>22</v>
      </c>
    </row>
    <row r="2" spans="2:8" x14ac:dyDescent="0.25">
      <c r="E2" t="s">
        <v>1716</v>
      </c>
    </row>
    <row r="3" spans="2:8" x14ac:dyDescent="0.25">
      <c r="E3" t="s">
        <v>1717</v>
      </c>
    </row>
    <row r="4" spans="2:8" x14ac:dyDescent="0.25">
      <c r="B4" t="s">
        <v>1718</v>
      </c>
      <c r="C4" t="s">
        <v>53</v>
      </c>
      <c r="D4" t="s">
        <v>2745</v>
      </c>
      <c r="E4" t="s">
        <v>1720</v>
      </c>
      <c r="F4" t="s">
        <v>1721</v>
      </c>
      <c r="G4" t="s">
        <v>2746</v>
      </c>
      <c r="H4" t="s">
        <v>1516</v>
      </c>
    </row>
    <row r="6" spans="2:8" x14ac:dyDescent="0.25">
      <c r="B6">
        <v>10101010</v>
      </c>
      <c r="C6" t="s">
        <v>69</v>
      </c>
    </row>
    <row r="7" spans="2:8" x14ac:dyDescent="0.25">
      <c r="C7" t="s">
        <v>1723</v>
      </c>
      <c r="D7">
        <v>0</v>
      </c>
      <c r="E7">
        <v>0</v>
      </c>
      <c r="F7">
        <v>0</v>
      </c>
      <c r="G7">
        <v>0</v>
      </c>
    </row>
    <row r="8" spans="2:8" x14ac:dyDescent="0.25">
      <c r="C8" t="s">
        <v>1725</v>
      </c>
      <c r="D8" s="104">
        <v>467460.21</v>
      </c>
      <c r="E8" s="104">
        <v>4465848.16</v>
      </c>
      <c r="F8" s="104">
        <v>4933308.37</v>
      </c>
      <c r="G8">
        <v>0</v>
      </c>
    </row>
    <row r="9" spans="2:8" x14ac:dyDescent="0.25">
      <c r="B9" t="s">
        <v>1587</v>
      </c>
      <c r="D9" s="104">
        <v>467460.21</v>
      </c>
      <c r="E9" s="104">
        <v>4465848.16</v>
      </c>
      <c r="F9" s="104">
        <v>4933308.37</v>
      </c>
      <c r="G9">
        <v>0</v>
      </c>
    </row>
    <row r="11" spans="2:8" x14ac:dyDescent="0.25">
      <c r="B11">
        <v>10101020</v>
      </c>
      <c r="C11" t="s">
        <v>71</v>
      </c>
    </row>
    <row r="12" spans="2:8" x14ac:dyDescent="0.25">
      <c r="C12" t="s">
        <v>1728</v>
      </c>
      <c r="D12" s="104">
        <v>25000</v>
      </c>
      <c r="E12">
        <v>0</v>
      </c>
      <c r="F12">
        <v>0</v>
      </c>
      <c r="G12" s="104">
        <v>25000</v>
      </c>
    </row>
    <row r="13" spans="2:8" x14ac:dyDescent="0.25">
      <c r="C13" t="s">
        <v>1729</v>
      </c>
      <c r="D13" s="104">
        <v>15000</v>
      </c>
      <c r="E13">
        <v>0</v>
      </c>
      <c r="F13">
        <v>0</v>
      </c>
      <c r="G13" s="104">
        <v>15000</v>
      </c>
    </row>
    <row r="14" spans="2:8" x14ac:dyDescent="0.25">
      <c r="C14" t="s">
        <v>1730</v>
      </c>
      <c r="D14" s="104">
        <v>20000</v>
      </c>
      <c r="E14">
        <v>0</v>
      </c>
      <c r="F14">
        <v>0</v>
      </c>
      <c r="G14" s="104">
        <v>20000</v>
      </c>
    </row>
    <row r="15" spans="2:8" x14ac:dyDescent="0.25">
      <c r="C15" t="s">
        <v>1731</v>
      </c>
      <c r="D15" s="104">
        <v>15000</v>
      </c>
      <c r="E15">
        <v>0</v>
      </c>
      <c r="F15">
        <v>0</v>
      </c>
      <c r="G15" s="104">
        <v>15000</v>
      </c>
    </row>
    <row r="16" spans="2:8" x14ac:dyDescent="0.25">
      <c r="C16" t="s">
        <v>2330</v>
      </c>
      <c r="D16">
        <v>0</v>
      </c>
      <c r="E16" s="104">
        <v>60000</v>
      </c>
      <c r="F16">
        <v>0</v>
      </c>
      <c r="G16" s="104">
        <v>60000</v>
      </c>
    </row>
    <row r="17" spans="2:7" x14ac:dyDescent="0.25">
      <c r="C17" t="s">
        <v>1733</v>
      </c>
      <c r="D17" s="104">
        <v>30000</v>
      </c>
      <c r="E17">
        <v>0</v>
      </c>
      <c r="F17">
        <v>0</v>
      </c>
      <c r="G17" s="104">
        <v>30000</v>
      </c>
    </row>
    <row r="18" spans="2:7" x14ac:dyDescent="0.25">
      <c r="C18" t="s">
        <v>2154</v>
      </c>
      <c r="D18" s="104">
        <v>50000</v>
      </c>
      <c r="E18">
        <v>0</v>
      </c>
      <c r="F18">
        <v>0</v>
      </c>
      <c r="G18" s="104">
        <v>50000</v>
      </c>
    </row>
    <row r="19" spans="2:7" x14ac:dyDescent="0.25">
      <c r="C19" t="s">
        <v>2747</v>
      </c>
      <c r="D19">
        <v>0</v>
      </c>
      <c r="E19" s="104">
        <v>10000</v>
      </c>
      <c r="F19">
        <v>0</v>
      </c>
      <c r="G19" s="104">
        <v>10000</v>
      </c>
    </row>
    <row r="20" spans="2:7" x14ac:dyDescent="0.25">
      <c r="B20" t="s">
        <v>1587</v>
      </c>
      <c r="D20" s="104">
        <v>155000</v>
      </c>
      <c r="E20" s="104">
        <v>70000</v>
      </c>
      <c r="F20">
        <v>0</v>
      </c>
      <c r="G20" s="104">
        <v>225000</v>
      </c>
    </row>
    <row r="22" spans="2:7" x14ac:dyDescent="0.25">
      <c r="B22">
        <v>10102020</v>
      </c>
      <c r="C22" t="s">
        <v>59</v>
      </c>
    </row>
    <row r="23" spans="2:7" x14ac:dyDescent="0.25">
      <c r="C23" t="s">
        <v>1724</v>
      </c>
      <c r="D23" s="104">
        <v>488529.12</v>
      </c>
      <c r="E23" s="104">
        <v>24798989.239999998</v>
      </c>
      <c r="F23" s="104">
        <v>24660651.800000001</v>
      </c>
      <c r="G23" s="104">
        <v>626866.56000000006</v>
      </c>
    </row>
    <row r="24" spans="2:7" x14ac:dyDescent="0.25">
      <c r="C24" t="s">
        <v>1735</v>
      </c>
      <c r="D24" s="104">
        <v>30040.7</v>
      </c>
      <c r="E24">
        <v>26.06</v>
      </c>
      <c r="F24">
        <v>0</v>
      </c>
      <c r="G24" s="104">
        <v>30066.76</v>
      </c>
    </row>
    <row r="25" spans="2:7" x14ac:dyDescent="0.25">
      <c r="C25" t="s">
        <v>1736</v>
      </c>
      <c r="D25" s="104">
        <v>9679398.5800000001</v>
      </c>
      <c r="E25" s="104">
        <v>124099540.02</v>
      </c>
      <c r="F25" s="104">
        <v>133637235.68000001</v>
      </c>
      <c r="G25" s="104">
        <v>141702.92000000001</v>
      </c>
    </row>
    <row r="26" spans="2:7" x14ac:dyDescent="0.25">
      <c r="C26" t="s">
        <v>1737</v>
      </c>
      <c r="D26">
        <v>0</v>
      </c>
      <c r="E26">
        <v>0</v>
      </c>
      <c r="F26">
        <v>0</v>
      </c>
      <c r="G26">
        <v>0</v>
      </c>
    </row>
    <row r="27" spans="2:7" x14ac:dyDescent="0.25">
      <c r="C27" t="s">
        <v>1738</v>
      </c>
      <c r="D27">
        <v>37.06</v>
      </c>
      <c r="E27">
        <v>0</v>
      </c>
      <c r="F27">
        <v>37.06</v>
      </c>
      <c r="G27">
        <v>0</v>
      </c>
    </row>
    <row r="28" spans="2:7" x14ac:dyDescent="0.25">
      <c r="C28" t="s">
        <v>1726</v>
      </c>
      <c r="D28" s="104">
        <v>169939.84</v>
      </c>
      <c r="E28" s="104">
        <v>1138931490.29</v>
      </c>
      <c r="F28" s="104">
        <v>1042585401.12</v>
      </c>
      <c r="G28" s="104">
        <v>96516029.010000005</v>
      </c>
    </row>
    <row r="29" spans="2:7" x14ac:dyDescent="0.25">
      <c r="B29" t="s">
        <v>1587</v>
      </c>
      <c r="D29" s="104">
        <v>10367945.300000001</v>
      </c>
      <c r="E29" s="104">
        <v>1287830045.6099999</v>
      </c>
      <c r="F29" s="104">
        <v>1200883325.6600001</v>
      </c>
      <c r="G29" s="104">
        <v>97314665.25</v>
      </c>
    </row>
    <row r="31" spans="2:7" x14ac:dyDescent="0.25">
      <c r="B31">
        <v>10103030</v>
      </c>
      <c r="C31" t="s">
        <v>1739</v>
      </c>
    </row>
    <row r="32" spans="2:7" x14ac:dyDescent="0.25">
      <c r="C32" t="s">
        <v>1740</v>
      </c>
      <c r="D32" s="104">
        <v>65330.52</v>
      </c>
      <c r="E32">
        <v>3.93</v>
      </c>
      <c r="F32">
        <v>232.08</v>
      </c>
      <c r="G32" s="104">
        <v>65102.37</v>
      </c>
    </row>
    <row r="33" spans="2:7" x14ac:dyDescent="0.25">
      <c r="C33" t="s">
        <v>1724</v>
      </c>
      <c r="D33">
        <v>0</v>
      </c>
      <c r="E33">
        <v>0</v>
      </c>
      <c r="F33">
        <v>0</v>
      </c>
      <c r="G33">
        <v>0</v>
      </c>
    </row>
    <row r="34" spans="2:7" x14ac:dyDescent="0.25">
      <c r="B34" t="s">
        <v>1587</v>
      </c>
      <c r="D34" s="104">
        <v>65330.52</v>
      </c>
      <c r="E34">
        <v>3.93</v>
      </c>
      <c r="F34">
        <v>232.08</v>
      </c>
      <c r="G34" s="104">
        <v>65102.37</v>
      </c>
    </row>
    <row r="36" spans="2:7" x14ac:dyDescent="0.25">
      <c r="B36">
        <v>10105020</v>
      </c>
      <c r="C36" t="s">
        <v>63</v>
      </c>
    </row>
    <row r="37" spans="2:7" x14ac:dyDescent="0.25">
      <c r="C37" t="s">
        <v>1741</v>
      </c>
      <c r="D37">
        <v>0</v>
      </c>
      <c r="E37">
        <v>0</v>
      </c>
      <c r="F37">
        <v>0</v>
      </c>
      <c r="G37">
        <v>0</v>
      </c>
    </row>
    <row r="38" spans="2:7" x14ac:dyDescent="0.25">
      <c r="C38" t="s">
        <v>2748</v>
      </c>
      <c r="D38" s="104">
        <v>4602975.88</v>
      </c>
      <c r="E38" s="104">
        <v>9603478.1199999992</v>
      </c>
      <c r="F38" s="104">
        <v>9220975.8800000008</v>
      </c>
      <c r="G38" s="104">
        <v>4985478.12</v>
      </c>
    </row>
    <row r="39" spans="2:7" x14ac:dyDescent="0.25">
      <c r="C39" t="s">
        <v>1742</v>
      </c>
      <c r="D39">
        <v>0</v>
      </c>
      <c r="E39">
        <v>0</v>
      </c>
      <c r="F39">
        <v>0</v>
      </c>
      <c r="G39">
        <v>0</v>
      </c>
    </row>
    <row r="40" spans="2:7" x14ac:dyDescent="0.25">
      <c r="C40" t="s">
        <v>1724</v>
      </c>
      <c r="D40" s="104">
        <v>782537338.75</v>
      </c>
      <c r="E40" s="104">
        <v>1907141702.8199999</v>
      </c>
      <c r="F40" s="104">
        <v>1755251170.01</v>
      </c>
      <c r="G40" s="104">
        <v>934427871.55999994</v>
      </c>
    </row>
    <row r="41" spans="2:7" x14ac:dyDescent="0.25">
      <c r="C41" t="s">
        <v>1735</v>
      </c>
      <c r="D41">
        <v>0</v>
      </c>
      <c r="E41">
        <v>0</v>
      </c>
      <c r="F41">
        <v>0</v>
      </c>
      <c r="G41">
        <v>0</v>
      </c>
    </row>
    <row r="42" spans="2:7" x14ac:dyDescent="0.25">
      <c r="C42" t="s">
        <v>1736</v>
      </c>
      <c r="D42" s="104">
        <v>521604655.19999999</v>
      </c>
      <c r="E42" s="104">
        <v>118439100</v>
      </c>
      <c r="F42" s="104">
        <v>235439100</v>
      </c>
      <c r="G42" s="104">
        <v>404604655.19999999</v>
      </c>
    </row>
    <row r="43" spans="2:7" x14ac:dyDescent="0.25">
      <c r="C43" t="s">
        <v>1743</v>
      </c>
      <c r="D43">
        <v>0</v>
      </c>
      <c r="E43">
        <v>0</v>
      </c>
      <c r="F43">
        <v>0</v>
      </c>
      <c r="G43">
        <v>0</v>
      </c>
    </row>
    <row r="44" spans="2:7" x14ac:dyDescent="0.25">
      <c r="B44" t="s">
        <v>1587</v>
      </c>
      <c r="D44" s="104">
        <v>1308744969.8299999</v>
      </c>
      <c r="E44" s="104">
        <v>2035184280.9400001</v>
      </c>
      <c r="F44" s="104">
        <v>1999911245.8900001</v>
      </c>
      <c r="G44" s="104">
        <v>1344018004.8800001</v>
      </c>
    </row>
    <row r="46" spans="2:7" x14ac:dyDescent="0.25">
      <c r="B46">
        <v>10105030</v>
      </c>
      <c r="C46" t="s">
        <v>67</v>
      </c>
    </row>
    <row r="47" spans="2:7" x14ac:dyDescent="0.25">
      <c r="C47" t="s">
        <v>1745</v>
      </c>
      <c r="D47" s="104">
        <v>8773067.4100000001</v>
      </c>
      <c r="E47">
        <v>0</v>
      </c>
      <c r="F47" s="104">
        <v>31165.43</v>
      </c>
      <c r="G47" s="104">
        <v>8741901.9800000004</v>
      </c>
    </row>
    <row r="48" spans="2:7" x14ac:dyDescent="0.25">
      <c r="C48" t="s">
        <v>1746</v>
      </c>
      <c r="D48" s="104">
        <v>228910170</v>
      </c>
      <c r="E48">
        <v>0</v>
      </c>
      <c r="F48" s="104">
        <v>813180</v>
      </c>
      <c r="G48" s="104">
        <v>228096990</v>
      </c>
    </row>
    <row r="49" spans="2:7" x14ac:dyDescent="0.25">
      <c r="C49" t="s">
        <v>2749</v>
      </c>
      <c r="D49">
        <v>0</v>
      </c>
      <c r="E49">
        <v>0</v>
      </c>
      <c r="F49">
        <v>0</v>
      </c>
      <c r="G49">
        <v>0</v>
      </c>
    </row>
    <row r="50" spans="2:7" x14ac:dyDescent="0.25">
      <c r="B50" t="s">
        <v>1587</v>
      </c>
      <c r="D50" s="104">
        <v>237683237.41</v>
      </c>
      <c r="E50">
        <v>0</v>
      </c>
      <c r="F50" s="104">
        <v>844345.43</v>
      </c>
      <c r="G50" s="104">
        <v>236838891.97999999</v>
      </c>
    </row>
    <row r="52" spans="2:7" x14ac:dyDescent="0.25">
      <c r="B52">
        <v>10206010</v>
      </c>
      <c r="C52" t="s">
        <v>1747</v>
      </c>
      <c r="D52" s="104">
        <v>70489869.599999994</v>
      </c>
      <c r="E52">
        <v>0</v>
      </c>
      <c r="F52">
        <v>0</v>
      </c>
      <c r="G52" s="104">
        <v>70489869.599999994</v>
      </c>
    </row>
    <row r="53" spans="2:7" x14ac:dyDescent="0.25">
      <c r="B53" t="s">
        <v>1748</v>
      </c>
      <c r="C53" t="s">
        <v>157</v>
      </c>
    </row>
    <row r="54" spans="2:7" x14ac:dyDescent="0.25">
      <c r="B54" t="s">
        <v>1749</v>
      </c>
      <c r="C54" t="s">
        <v>157</v>
      </c>
    </row>
    <row r="55" spans="2:7" x14ac:dyDescent="0.25">
      <c r="B55" t="s">
        <v>1750</v>
      </c>
      <c r="C55" t="s">
        <v>1751</v>
      </c>
    </row>
    <row r="56" spans="2:7" x14ac:dyDescent="0.25">
      <c r="C56" t="s">
        <v>1752</v>
      </c>
      <c r="D56" s="104">
        <v>1206679.2</v>
      </c>
      <c r="E56">
        <v>0</v>
      </c>
      <c r="F56">
        <v>0</v>
      </c>
      <c r="G56" s="104">
        <v>1206679.2</v>
      </c>
    </row>
    <row r="57" spans="2:7" x14ac:dyDescent="0.25">
      <c r="C57" t="s">
        <v>1753</v>
      </c>
      <c r="D57" s="104">
        <v>30103662.059999999</v>
      </c>
      <c r="E57">
        <v>0</v>
      </c>
      <c r="F57">
        <v>0</v>
      </c>
      <c r="G57" s="104">
        <v>30103662.059999999</v>
      </c>
    </row>
    <row r="58" spans="2:7" x14ac:dyDescent="0.25">
      <c r="C58" t="s">
        <v>1754</v>
      </c>
      <c r="D58" s="104">
        <v>56978239.539999999</v>
      </c>
      <c r="E58">
        <v>0</v>
      </c>
      <c r="F58">
        <v>0</v>
      </c>
      <c r="G58" s="104">
        <v>56978239.539999999</v>
      </c>
    </row>
    <row r="59" spans="2:7" x14ac:dyDescent="0.25">
      <c r="C59" t="s">
        <v>1755</v>
      </c>
      <c r="D59" s="104">
        <v>855415.4</v>
      </c>
      <c r="E59">
        <v>0</v>
      </c>
      <c r="F59">
        <v>0</v>
      </c>
      <c r="G59" s="104">
        <v>855415.4</v>
      </c>
    </row>
    <row r="60" spans="2:7" x14ac:dyDescent="0.25">
      <c r="C60" t="s">
        <v>1756</v>
      </c>
      <c r="D60" s="104">
        <v>-18654126.600000001</v>
      </c>
      <c r="E60">
        <v>0</v>
      </c>
      <c r="F60">
        <v>0</v>
      </c>
      <c r="G60" s="104">
        <v>-18654126.600000001</v>
      </c>
    </row>
    <row r="61" spans="2:7" x14ac:dyDescent="0.25">
      <c r="B61" t="s">
        <v>1587</v>
      </c>
      <c r="D61" s="104">
        <v>70489869.599999994</v>
      </c>
      <c r="E61">
        <v>0</v>
      </c>
      <c r="F61">
        <v>0</v>
      </c>
      <c r="G61" s="104">
        <v>70489869.599999994</v>
      </c>
    </row>
    <row r="63" spans="2:7" x14ac:dyDescent="0.25">
      <c r="B63">
        <v>10206011</v>
      </c>
      <c r="C63" t="s">
        <v>1757</v>
      </c>
    </row>
    <row r="64" spans="2:7" x14ac:dyDescent="0.25">
      <c r="B64">
        <v>10206012</v>
      </c>
      <c r="C64" t="s">
        <v>1758</v>
      </c>
    </row>
    <row r="65" spans="2:7" x14ac:dyDescent="0.25">
      <c r="C65" t="s">
        <v>1759</v>
      </c>
      <c r="D65" s="104">
        <v>-900000000</v>
      </c>
      <c r="E65">
        <v>0</v>
      </c>
      <c r="F65">
        <v>0</v>
      </c>
      <c r="G65" s="104">
        <v>-900000000</v>
      </c>
    </row>
    <row r="66" spans="2:7" x14ac:dyDescent="0.25">
      <c r="C66" t="s">
        <v>1760</v>
      </c>
      <c r="D66" s="104">
        <v>-330987000</v>
      </c>
      <c r="E66">
        <v>0</v>
      </c>
      <c r="F66">
        <v>0</v>
      </c>
      <c r="G66" s="104">
        <v>-330987000</v>
      </c>
    </row>
    <row r="67" spans="2:7" x14ac:dyDescent="0.25">
      <c r="C67" t="s">
        <v>1761</v>
      </c>
      <c r="D67" s="104">
        <v>-8845038.5</v>
      </c>
      <c r="E67">
        <v>0</v>
      </c>
      <c r="F67">
        <v>0</v>
      </c>
      <c r="G67" s="104">
        <v>-8845038.5</v>
      </c>
    </row>
    <row r="68" spans="2:7" x14ac:dyDescent="0.25">
      <c r="C68" t="s">
        <v>1762</v>
      </c>
      <c r="D68" s="104">
        <v>-30000000</v>
      </c>
      <c r="E68">
        <v>0</v>
      </c>
      <c r="F68">
        <v>0</v>
      </c>
      <c r="G68" s="104">
        <v>-30000000</v>
      </c>
    </row>
    <row r="69" spans="2:7" x14ac:dyDescent="0.25">
      <c r="B69" t="s">
        <v>1587</v>
      </c>
      <c r="D69" s="104">
        <v>-1269832038.5</v>
      </c>
      <c r="E69">
        <v>0</v>
      </c>
      <c r="F69">
        <v>0</v>
      </c>
      <c r="G69" s="104">
        <v>-1269832038.5</v>
      </c>
    </row>
    <row r="71" spans="2:7" x14ac:dyDescent="0.25">
      <c r="B71">
        <v>10206013</v>
      </c>
      <c r="C71" t="s">
        <v>1763</v>
      </c>
    </row>
    <row r="72" spans="2:7" x14ac:dyDescent="0.25">
      <c r="C72" t="s">
        <v>1764</v>
      </c>
      <c r="D72" s="104">
        <v>-1000000</v>
      </c>
      <c r="E72">
        <v>0</v>
      </c>
      <c r="F72">
        <v>0</v>
      </c>
      <c r="G72" s="104">
        <v>-1000000</v>
      </c>
    </row>
    <row r="73" spans="2:7" x14ac:dyDescent="0.25">
      <c r="C73" t="s">
        <v>1765</v>
      </c>
      <c r="D73" s="104">
        <v>-12000000</v>
      </c>
      <c r="E73">
        <v>0</v>
      </c>
      <c r="F73">
        <v>0</v>
      </c>
      <c r="G73" s="104">
        <v>-12000000</v>
      </c>
    </row>
    <row r="74" spans="2:7" x14ac:dyDescent="0.25">
      <c r="C74" t="s">
        <v>1766</v>
      </c>
      <c r="D74" s="104">
        <v>-101650000</v>
      </c>
      <c r="E74">
        <v>0</v>
      </c>
      <c r="F74">
        <v>0</v>
      </c>
      <c r="G74" s="104">
        <v>-101650000</v>
      </c>
    </row>
    <row r="75" spans="2:7" x14ac:dyDescent="0.25">
      <c r="C75" t="s">
        <v>1767</v>
      </c>
      <c r="D75" s="104">
        <v>-17000000</v>
      </c>
      <c r="E75">
        <v>0</v>
      </c>
      <c r="F75">
        <v>0</v>
      </c>
      <c r="G75" s="104">
        <v>-17000000</v>
      </c>
    </row>
    <row r="76" spans="2:7" x14ac:dyDescent="0.25">
      <c r="C76" t="s">
        <v>1768</v>
      </c>
      <c r="D76" s="104">
        <v>-15000000</v>
      </c>
      <c r="E76">
        <v>0</v>
      </c>
      <c r="F76">
        <v>0</v>
      </c>
      <c r="G76" s="104">
        <v>-15000000</v>
      </c>
    </row>
    <row r="77" spans="2:7" x14ac:dyDescent="0.25">
      <c r="C77" t="s">
        <v>1769</v>
      </c>
      <c r="D77" s="104">
        <v>-193620979</v>
      </c>
      <c r="E77">
        <v>0</v>
      </c>
      <c r="F77">
        <v>0</v>
      </c>
      <c r="G77" s="104">
        <v>-193620979</v>
      </c>
    </row>
    <row r="78" spans="2:7" x14ac:dyDescent="0.25">
      <c r="C78" t="s">
        <v>1770</v>
      </c>
      <c r="D78" s="104">
        <v>-65435000</v>
      </c>
      <c r="E78">
        <v>0</v>
      </c>
      <c r="F78">
        <v>0</v>
      </c>
      <c r="G78" s="104">
        <v>-65435000</v>
      </c>
    </row>
    <row r="79" spans="2:7" x14ac:dyDescent="0.25">
      <c r="C79" t="s">
        <v>1752</v>
      </c>
      <c r="D79" s="104">
        <v>-2400000</v>
      </c>
      <c r="E79">
        <v>0</v>
      </c>
      <c r="F79">
        <v>0</v>
      </c>
      <c r="G79" s="104">
        <v>-2400000</v>
      </c>
    </row>
    <row r="80" spans="2:7" x14ac:dyDescent="0.25">
      <c r="C80" t="s">
        <v>1771</v>
      </c>
      <c r="D80" s="104">
        <v>-1000000</v>
      </c>
      <c r="E80">
        <v>0</v>
      </c>
      <c r="F80">
        <v>0</v>
      </c>
      <c r="G80" s="104">
        <v>-1000000</v>
      </c>
    </row>
    <row r="81" spans="2:7" x14ac:dyDescent="0.25">
      <c r="C81" t="s">
        <v>1772</v>
      </c>
      <c r="D81" s="104">
        <v>-4000000</v>
      </c>
      <c r="E81">
        <v>0</v>
      </c>
      <c r="F81">
        <v>0</v>
      </c>
      <c r="G81" s="104">
        <v>-4000000</v>
      </c>
    </row>
    <row r="82" spans="2:7" x14ac:dyDescent="0.25">
      <c r="C82" t="s">
        <v>1773</v>
      </c>
      <c r="D82" s="104">
        <v>-172901712.75</v>
      </c>
      <c r="E82">
        <v>0</v>
      </c>
      <c r="F82">
        <v>0</v>
      </c>
      <c r="G82" s="104">
        <v>-172901712.75</v>
      </c>
    </row>
    <row r="83" spans="2:7" x14ac:dyDescent="0.25">
      <c r="B83" t="s">
        <v>1587</v>
      </c>
      <c r="D83" s="104">
        <v>-586007691.75</v>
      </c>
      <c r="E83">
        <v>0</v>
      </c>
      <c r="F83">
        <v>0</v>
      </c>
      <c r="G83" s="104">
        <v>-586007691.75</v>
      </c>
    </row>
    <row r="85" spans="2:7" x14ac:dyDescent="0.25">
      <c r="B85">
        <v>10206014</v>
      </c>
      <c r="C85" t="s">
        <v>1774</v>
      </c>
    </row>
    <row r="86" spans="2:7" x14ac:dyDescent="0.25">
      <c r="C86" t="s">
        <v>1775</v>
      </c>
      <c r="D86" s="104">
        <v>-10000000</v>
      </c>
      <c r="E86">
        <v>0</v>
      </c>
      <c r="F86">
        <v>0</v>
      </c>
      <c r="G86" s="104">
        <v>-10000000</v>
      </c>
    </row>
    <row r="87" spans="2:7" x14ac:dyDescent="0.25">
      <c r="C87" t="s">
        <v>1776</v>
      </c>
      <c r="D87" s="104">
        <v>-1819272909.0799999</v>
      </c>
      <c r="E87">
        <v>0</v>
      </c>
      <c r="F87">
        <v>0</v>
      </c>
      <c r="G87" s="104">
        <v>-1819272909.0799999</v>
      </c>
    </row>
    <row r="88" spans="2:7" x14ac:dyDescent="0.25">
      <c r="C88" t="s">
        <v>1777</v>
      </c>
      <c r="D88" s="104">
        <v>-15000000</v>
      </c>
      <c r="E88">
        <v>0</v>
      </c>
      <c r="F88">
        <v>0</v>
      </c>
      <c r="G88" s="104">
        <v>-15000000</v>
      </c>
    </row>
    <row r="89" spans="2:7" x14ac:dyDescent="0.25">
      <c r="C89" t="s">
        <v>1778</v>
      </c>
      <c r="D89" s="104">
        <v>-106605963.68000001</v>
      </c>
      <c r="E89">
        <v>0</v>
      </c>
      <c r="F89">
        <v>0</v>
      </c>
      <c r="G89" s="104">
        <v>-106605963.68000001</v>
      </c>
    </row>
    <row r="90" spans="2:7" x14ac:dyDescent="0.25">
      <c r="C90" t="s">
        <v>1779</v>
      </c>
      <c r="D90" s="104">
        <v>-6474300</v>
      </c>
      <c r="E90">
        <v>0</v>
      </c>
      <c r="F90">
        <v>0</v>
      </c>
      <c r="G90" s="104">
        <v>-6474300</v>
      </c>
    </row>
    <row r="91" spans="2:7" x14ac:dyDescent="0.25">
      <c r="C91" t="s">
        <v>1780</v>
      </c>
      <c r="D91" s="104">
        <v>-188550</v>
      </c>
      <c r="E91">
        <v>0</v>
      </c>
      <c r="F91">
        <v>0</v>
      </c>
      <c r="G91" s="104">
        <v>-188550</v>
      </c>
    </row>
    <row r="92" spans="2:7" x14ac:dyDescent="0.25">
      <c r="C92" t="s">
        <v>1781</v>
      </c>
      <c r="D92" s="104">
        <v>-15250</v>
      </c>
      <c r="E92">
        <v>0</v>
      </c>
      <c r="F92">
        <v>0</v>
      </c>
      <c r="G92" s="104">
        <v>-15250</v>
      </c>
    </row>
    <row r="93" spans="2:7" x14ac:dyDescent="0.25">
      <c r="C93" t="s">
        <v>1782</v>
      </c>
      <c r="D93" s="104">
        <v>-96000</v>
      </c>
      <c r="E93">
        <v>0</v>
      </c>
      <c r="F93">
        <v>0</v>
      </c>
      <c r="G93" s="104">
        <v>-96000</v>
      </c>
    </row>
    <row r="94" spans="2:7" x14ac:dyDescent="0.25">
      <c r="B94" t="s">
        <v>1587</v>
      </c>
      <c r="D94" s="104">
        <v>-1957652972.76</v>
      </c>
      <c r="E94">
        <v>0</v>
      </c>
      <c r="F94">
        <v>0</v>
      </c>
      <c r="G94" s="104">
        <v>-1957652972.76</v>
      </c>
    </row>
    <row r="96" spans="2:7" x14ac:dyDescent="0.25">
      <c r="B96">
        <v>10210010</v>
      </c>
      <c r="C96" t="s">
        <v>163</v>
      </c>
    </row>
    <row r="97" spans="2:7" x14ac:dyDescent="0.25">
      <c r="C97" t="s">
        <v>1753</v>
      </c>
      <c r="D97">
        <v>0</v>
      </c>
      <c r="E97">
        <v>0</v>
      </c>
      <c r="F97">
        <v>0</v>
      </c>
      <c r="G97">
        <v>0</v>
      </c>
    </row>
    <row r="98" spans="2:7" x14ac:dyDescent="0.25">
      <c r="C98" t="s">
        <v>1756</v>
      </c>
      <c r="D98">
        <v>0</v>
      </c>
      <c r="E98">
        <v>0</v>
      </c>
      <c r="F98">
        <v>0</v>
      </c>
      <c r="G98">
        <v>0</v>
      </c>
    </row>
    <row r="99" spans="2:7" x14ac:dyDescent="0.25">
      <c r="C99" t="s">
        <v>1783</v>
      </c>
      <c r="D99" s="104">
        <v>55659300</v>
      </c>
      <c r="E99">
        <v>0</v>
      </c>
      <c r="F99">
        <v>0</v>
      </c>
      <c r="G99" s="104">
        <v>55659300</v>
      </c>
    </row>
    <row r="100" spans="2:7" x14ac:dyDescent="0.25">
      <c r="C100" t="s">
        <v>1759</v>
      </c>
      <c r="D100" s="104">
        <v>900000000</v>
      </c>
      <c r="E100">
        <v>0</v>
      </c>
      <c r="F100">
        <v>0</v>
      </c>
      <c r="G100" s="104">
        <v>900000000</v>
      </c>
    </row>
    <row r="101" spans="2:7" x14ac:dyDescent="0.25">
      <c r="C101" t="s">
        <v>1784</v>
      </c>
      <c r="D101" s="104">
        <v>13084200</v>
      </c>
      <c r="E101">
        <v>0</v>
      </c>
      <c r="F101">
        <v>0</v>
      </c>
      <c r="G101" s="104">
        <v>13084200</v>
      </c>
    </row>
    <row r="102" spans="2:7" x14ac:dyDescent="0.25">
      <c r="C102" t="s">
        <v>1785</v>
      </c>
      <c r="D102" s="104">
        <v>7447000</v>
      </c>
      <c r="E102">
        <v>0</v>
      </c>
      <c r="F102">
        <v>0</v>
      </c>
      <c r="G102" s="104">
        <v>7447000</v>
      </c>
    </row>
    <row r="103" spans="2:7" x14ac:dyDescent="0.25">
      <c r="C103" t="s">
        <v>1760</v>
      </c>
      <c r="D103" s="104">
        <v>330987000</v>
      </c>
      <c r="E103">
        <v>0</v>
      </c>
      <c r="F103">
        <v>0</v>
      </c>
      <c r="G103" s="104">
        <v>330987000</v>
      </c>
    </row>
    <row r="104" spans="2:7" x14ac:dyDescent="0.25">
      <c r="C104" t="s">
        <v>1786</v>
      </c>
      <c r="D104" s="104">
        <v>74616000</v>
      </c>
      <c r="E104">
        <v>0</v>
      </c>
      <c r="F104">
        <v>0</v>
      </c>
      <c r="G104" s="104">
        <v>74616000</v>
      </c>
    </row>
    <row r="105" spans="2:7" x14ac:dyDescent="0.25">
      <c r="C105" t="s">
        <v>1787</v>
      </c>
      <c r="D105" s="104">
        <v>199000000</v>
      </c>
      <c r="E105">
        <v>0</v>
      </c>
      <c r="F105">
        <v>0</v>
      </c>
      <c r="G105" s="104">
        <v>199000000</v>
      </c>
    </row>
    <row r="106" spans="2:7" x14ac:dyDescent="0.25">
      <c r="C106" t="s">
        <v>1788</v>
      </c>
      <c r="D106" s="104">
        <v>2508629.59</v>
      </c>
      <c r="E106">
        <v>0</v>
      </c>
      <c r="F106">
        <v>0</v>
      </c>
      <c r="G106" s="104">
        <v>2508629.59</v>
      </c>
    </row>
    <row r="107" spans="2:7" x14ac:dyDescent="0.25">
      <c r="C107" t="s">
        <v>1761</v>
      </c>
      <c r="D107" s="104">
        <v>8845038.5</v>
      </c>
      <c r="E107">
        <v>0</v>
      </c>
      <c r="F107">
        <v>0</v>
      </c>
      <c r="G107" s="104">
        <v>8845038.5</v>
      </c>
    </row>
    <row r="108" spans="2:7" x14ac:dyDescent="0.25">
      <c r="C108" t="s">
        <v>1762</v>
      </c>
      <c r="D108" s="104">
        <v>80000000</v>
      </c>
      <c r="E108">
        <v>0</v>
      </c>
      <c r="F108">
        <v>0</v>
      </c>
      <c r="G108" s="104">
        <v>80000000</v>
      </c>
    </row>
    <row r="109" spans="2:7" x14ac:dyDescent="0.25">
      <c r="B109" t="s">
        <v>1587</v>
      </c>
      <c r="D109" s="104">
        <v>1672147168.0899999</v>
      </c>
      <c r="E109">
        <v>0</v>
      </c>
      <c r="F109">
        <v>0</v>
      </c>
      <c r="G109" s="104">
        <v>1672147168.0899999</v>
      </c>
    </row>
    <row r="111" spans="2:7" x14ac:dyDescent="0.25">
      <c r="B111">
        <v>10210111</v>
      </c>
      <c r="C111" t="s">
        <v>1789</v>
      </c>
      <c r="D111" s="104">
        <v>4128928655.5900002</v>
      </c>
      <c r="E111">
        <v>0</v>
      </c>
      <c r="F111">
        <v>0</v>
      </c>
      <c r="G111" s="104">
        <v>4128928655.5900002</v>
      </c>
    </row>
    <row r="112" spans="2:7" x14ac:dyDescent="0.25">
      <c r="B112" t="s">
        <v>1790</v>
      </c>
      <c r="C112" t="s">
        <v>767</v>
      </c>
    </row>
    <row r="113" spans="2:7" x14ac:dyDescent="0.25">
      <c r="C113" t="s">
        <v>1791</v>
      </c>
      <c r="D113" s="104">
        <v>158895989.53</v>
      </c>
      <c r="E113">
        <v>0</v>
      </c>
      <c r="F113">
        <v>0</v>
      </c>
      <c r="G113" s="104">
        <v>158895989.53</v>
      </c>
    </row>
    <row r="114" spans="2:7" x14ac:dyDescent="0.25">
      <c r="C114" t="s">
        <v>1775</v>
      </c>
      <c r="D114" s="104">
        <v>10000000</v>
      </c>
      <c r="E114">
        <v>0</v>
      </c>
      <c r="F114">
        <v>0</v>
      </c>
      <c r="G114" s="104">
        <v>10000000</v>
      </c>
    </row>
    <row r="115" spans="2:7" x14ac:dyDescent="0.25">
      <c r="C115" t="s">
        <v>1776</v>
      </c>
      <c r="D115" s="104">
        <v>1819272909.0799999</v>
      </c>
      <c r="E115">
        <v>0</v>
      </c>
      <c r="F115">
        <v>0</v>
      </c>
      <c r="G115" s="104">
        <v>1819272909.0799999</v>
      </c>
    </row>
    <row r="116" spans="2:7" x14ac:dyDescent="0.25">
      <c r="C116" t="s">
        <v>1777</v>
      </c>
      <c r="D116" s="104">
        <v>15000000</v>
      </c>
      <c r="E116">
        <v>0</v>
      </c>
      <c r="F116">
        <v>0</v>
      </c>
      <c r="G116" s="104">
        <v>15000000</v>
      </c>
    </row>
    <row r="117" spans="2:7" x14ac:dyDescent="0.25">
      <c r="C117" t="s">
        <v>1778</v>
      </c>
      <c r="D117" s="104">
        <v>106605963.68000001</v>
      </c>
      <c r="E117">
        <v>0</v>
      </c>
      <c r="F117">
        <v>0</v>
      </c>
      <c r="G117" s="104">
        <v>106605963.68000001</v>
      </c>
    </row>
    <row r="118" spans="2:7" x14ac:dyDescent="0.25">
      <c r="C118" t="s">
        <v>1779</v>
      </c>
      <c r="D118" s="104">
        <v>6474300</v>
      </c>
      <c r="E118">
        <v>0</v>
      </c>
      <c r="F118">
        <v>0</v>
      </c>
      <c r="G118" s="104">
        <v>6474300</v>
      </c>
    </row>
    <row r="119" spans="2:7" x14ac:dyDescent="0.25">
      <c r="C119" t="s">
        <v>1792</v>
      </c>
      <c r="D119" s="104">
        <v>24951957.079999998</v>
      </c>
      <c r="E119">
        <v>0</v>
      </c>
      <c r="F119">
        <v>0</v>
      </c>
      <c r="G119" s="104">
        <v>24951957.079999998</v>
      </c>
    </row>
    <row r="120" spans="2:7" x14ac:dyDescent="0.25">
      <c r="C120" t="s">
        <v>1780</v>
      </c>
      <c r="D120" s="104">
        <v>188550</v>
      </c>
      <c r="E120">
        <v>0</v>
      </c>
      <c r="F120">
        <v>0</v>
      </c>
      <c r="G120" s="104">
        <v>188550</v>
      </c>
    </row>
    <row r="121" spans="2:7" x14ac:dyDescent="0.25">
      <c r="C121" t="s">
        <v>1781</v>
      </c>
      <c r="D121" s="104">
        <v>15250</v>
      </c>
      <c r="E121">
        <v>0</v>
      </c>
      <c r="F121">
        <v>0</v>
      </c>
      <c r="G121" s="104">
        <v>15250</v>
      </c>
    </row>
    <row r="122" spans="2:7" x14ac:dyDescent="0.25">
      <c r="C122" t="s">
        <v>1782</v>
      </c>
      <c r="D122" s="104">
        <v>96000</v>
      </c>
      <c r="E122">
        <v>0</v>
      </c>
      <c r="F122">
        <v>0</v>
      </c>
      <c r="G122" s="104">
        <v>96000</v>
      </c>
    </row>
    <row r="123" spans="2:7" x14ac:dyDescent="0.25">
      <c r="C123" t="s">
        <v>1793</v>
      </c>
      <c r="D123" s="104">
        <v>12598944.449999999</v>
      </c>
      <c r="E123">
        <v>0</v>
      </c>
      <c r="F123">
        <v>0</v>
      </c>
      <c r="G123" s="104">
        <v>12598944.449999999</v>
      </c>
    </row>
    <row r="124" spans="2:7" x14ac:dyDescent="0.25">
      <c r="B124" t="s">
        <v>1587</v>
      </c>
      <c r="D124" s="104">
        <v>2154099863.8200002</v>
      </c>
      <c r="E124">
        <v>0</v>
      </c>
      <c r="F124">
        <v>0</v>
      </c>
      <c r="G124" s="104">
        <v>2154099863.8200002</v>
      </c>
    </row>
    <row r="126" spans="2:7" x14ac:dyDescent="0.25">
      <c r="B126" t="s">
        <v>1794</v>
      </c>
      <c r="C126" t="s">
        <v>1795</v>
      </c>
    </row>
    <row r="127" spans="2:7" x14ac:dyDescent="0.25">
      <c r="C127" t="s">
        <v>1796</v>
      </c>
      <c r="D127" s="104">
        <v>141366471.68000001</v>
      </c>
      <c r="E127">
        <v>0</v>
      </c>
      <c r="F127">
        <v>0</v>
      </c>
      <c r="G127" s="104">
        <v>141366471.68000001</v>
      </c>
    </row>
    <row r="128" spans="2:7" x14ac:dyDescent="0.25">
      <c r="C128" t="s">
        <v>1797</v>
      </c>
      <c r="D128" s="104">
        <v>169153621.75999999</v>
      </c>
      <c r="E128">
        <v>0</v>
      </c>
      <c r="F128">
        <v>0</v>
      </c>
      <c r="G128" s="104">
        <v>169153621.75999999</v>
      </c>
    </row>
    <row r="129" spans="2:7" x14ac:dyDescent="0.25">
      <c r="C129" t="s">
        <v>1798</v>
      </c>
      <c r="D129" s="104">
        <v>522091.48</v>
      </c>
      <c r="E129">
        <v>0</v>
      </c>
      <c r="F129">
        <v>0</v>
      </c>
      <c r="G129" s="104">
        <v>522091.48</v>
      </c>
    </row>
    <row r="130" spans="2:7" x14ac:dyDescent="0.25">
      <c r="C130" t="s">
        <v>1724</v>
      </c>
      <c r="D130" s="104">
        <v>595000000</v>
      </c>
      <c r="E130">
        <v>0</v>
      </c>
      <c r="F130">
        <v>0</v>
      </c>
      <c r="G130" s="104">
        <v>595000000</v>
      </c>
    </row>
    <row r="131" spans="2:7" x14ac:dyDescent="0.25">
      <c r="C131" t="s">
        <v>1743</v>
      </c>
      <c r="D131" s="104">
        <v>15226886.050000001</v>
      </c>
      <c r="E131">
        <v>0</v>
      </c>
      <c r="F131">
        <v>0</v>
      </c>
      <c r="G131" s="104">
        <v>15226886.050000001</v>
      </c>
    </row>
    <row r="132" spans="2:7" x14ac:dyDescent="0.25">
      <c r="C132" t="s">
        <v>1744</v>
      </c>
      <c r="D132" s="104">
        <v>15238134.050000001</v>
      </c>
      <c r="E132">
        <v>0</v>
      </c>
      <c r="F132">
        <v>0</v>
      </c>
      <c r="G132" s="104">
        <v>15238134.050000001</v>
      </c>
    </row>
    <row r="133" spans="2:7" x14ac:dyDescent="0.25">
      <c r="B133" t="s">
        <v>1587</v>
      </c>
      <c r="D133" s="104">
        <v>936507205.01999998</v>
      </c>
      <c r="E133">
        <v>0</v>
      </c>
      <c r="F133">
        <v>0</v>
      </c>
      <c r="G133" s="104">
        <v>936507205.01999998</v>
      </c>
    </row>
    <row r="135" spans="2:7" x14ac:dyDescent="0.25">
      <c r="B135" t="s">
        <v>1799</v>
      </c>
      <c r="C135" t="s">
        <v>1800</v>
      </c>
    </row>
    <row r="136" spans="2:7" x14ac:dyDescent="0.25">
      <c r="C136" t="s">
        <v>1764</v>
      </c>
      <c r="D136" s="104">
        <v>1000000</v>
      </c>
      <c r="E136">
        <v>0</v>
      </c>
      <c r="F136">
        <v>0</v>
      </c>
      <c r="G136" s="104">
        <v>1000000</v>
      </c>
    </row>
    <row r="137" spans="2:7" x14ac:dyDescent="0.25">
      <c r="C137" t="s">
        <v>1765</v>
      </c>
      <c r="D137" s="104">
        <v>12000000</v>
      </c>
      <c r="E137">
        <v>0</v>
      </c>
      <c r="F137">
        <v>0</v>
      </c>
      <c r="G137" s="104">
        <v>12000000</v>
      </c>
    </row>
    <row r="138" spans="2:7" x14ac:dyDescent="0.25">
      <c r="C138" t="s">
        <v>1801</v>
      </c>
      <c r="D138" s="104">
        <v>1000000</v>
      </c>
      <c r="E138">
        <v>0</v>
      </c>
      <c r="F138">
        <v>0</v>
      </c>
      <c r="G138" s="104">
        <v>1000000</v>
      </c>
    </row>
    <row r="139" spans="2:7" x14ac:dyDescent="0.25">
      <c r="C139" t="s">
        <v>1766</v>
      </c>
      <c r="D139" s="104">
        <v>101650000</v>
      </c>
      <c r="E139">
        <v>0</v>
      </c>
      <c r="F139">
        <v>0</v>
      </c>
      <c r="G139" s="104">
        <v>101650000</v>
      </c>
    </row>
    <row r="140" spans="2:7" x14ac:dyDescent="0.25">
      <c r="C140" t="s">
        <v>1767</v>
      </c>
      <c r="D140" s="104">
        <v>17000000</v>
      </c>
      <c r="E140">
        <v>0</v>
      </c>
      <c r="F140">
        <v>0</v>
      </c>
      <c r="G140" s="104">
        <v>17000000</v>
      </c>
    </row>
    <row r="141" spans="2:7" x14ac:dyDescent="0.25">
      <c r="C141" t="s">
        <v>1768</v>
      </c>
      <c r="D141" s="104">
        <v>15000000</v>
      </c>
      <c r="E141">
        <v>0</v>
      </c>
      <c r="F141">
        <v>0</v>
      </c>
      <c r="G141" s="104">
        <v>15000000</v>
      </c>
    </row>
    <row r="142" spans="2:7" x14ac:dyDescent="0.25">
      <c r="C142" t="s">
        <v>1769</v>
      </c>
      <c r="D142" s="104">
        <v>193620979</v>
      </c>
      <c r="E142">
        <v>0</v>
      </c>
      <c r="F142">
        <v>0</v>
      </c>
      <c r="G142" s="104">
        <v>193620979</v>
      </c>
    </row>
    <row r="143" spans="2:7" x14ac:dyDescent="0.25">
      <c r="C143" t="s">
        <v>1802</v>
      </c>
      <c r="D143" s="104">
        <v>1712.75</v>
      </c>
      <c r="E143">
        <v>0</v>
      </c>
      <c r="F143">
        <v>0</v>
      </c>
      <c r="G143" s="104">
        <v>1712.75</v>
      </c>
    </row>
    <row r="144" spans="2:7" x14ac:dyDescent="0.25">
      <c r="C144" t="s">
        <v>1770</v>
      </c>
      <c r="D144" s="104">
        <v>65435000</v>
      </c>
      <c r="E144">
        <v>0</v>
      </c>
      <c r="F144">
        <v>0</v>
      </c>
      <c r="G144" s="104">
        <v>65435000</v>
      </c>
    </row>
    <row r="145" spans="2:7" x14ac:dyDescent="0.25">
      <c r="C145" t="s">
        <v>1752</v>
      </c>
      <c r="D145" s="104">
        <v>2400000</v>
      </c>
      <c r="E145">
        <v>0</v>
      </c>
      <c r="F145">
        <v>0</v>
      </c>
      <c r="G145" s="104">
        <v>2400000</v>
      </c>
    </row>
    <row r="146" spans="2:7" x14ac:dyDescent="0.25">
      <c r="C146" t="s">
        <v>1771</v>
      </c>
      <c r="D146" s="104">
        <v>1000000</v>
      </c>
      <c r="E146">
        <v>0</v>
      </c>
      <c r="F146">
        <v>0</v>
      </c>
      <c r="G146" s="104">
        <v>1000000</v>
      </c>
    </row>
    <row r="147" spans="2:7" x14ac:dyDescent="0.25">
      <c r="C147" t="s">
        <v>1753</v>
      </c>
      <c r="D147" s="104">
        <v>120000000</v>
      </c>
      <c r="E147">
        <v>0</v>
      </c>
      <c r="F147">
        <v>0</v>
      </c>
      <c r="G147" s="104">
        <v>120000000</v>
      </c>
    </row>
    <row r="148" spans="2:7" x14ac:dyDescent="0.25">
      <c r="C148" t="s">
        <v>1754</v>
      </c>
      <c r="D148" s="104">
        <v>20000</v>
      </c>
      <c r="E148">
        <v>0</v>
      </c>
      <c r="F148">
        <v>0</v>
      </c>
      <c r="G148" s="104">
        <v>20000</v>
      </c>
    </row>
    <row r="149" spans="2:7" x14ac:dyDescent="0.25">
      <c r="C149" t="s">
        <v>1755</v>
      </c>
      <c r="D149" s="104">
        <v>58800000</v>
      </c>
      <c r="E149">
        <v>0</v>
      </c>
      <c r="F149">
        <v>0</v>
      </c>
      <c r="G149" s="104">
        <v>58800000</v>
      </c>
    </row>
    <row r="150" spans="2:7" x14ac:dyDescent="0.25">
      <c r="C150" t="s">
        <v>1772</v>
      </c>
      <c r="D150" s="104">
        <v>4000000</v>
      </c>
      <c r="E150">
        <v>0</v>
      </c>
      <c r="F150">
        <v>0</v>
      </c>
      <c r="G150" s="104">
        <v>4000000</v>
      </c>
    </row>
    <row r="151" spans="2:7" x14ac:dyDescent="0.25">
      <c r="C151" t="s">
        <v>1756</v>
      </c>
      <c r="D151" s="104">
        <v>25000000</v>
      </c>
      <c r="E151">
        <v>0</v>
      </c>
      <c r="F151">
        <v>0</v>
      </c>
      <c r="G151" s="104">
        <v>25000000</v>
      </c>
    </row>
    <row r="152" spans="2:7" x14ac:dyDescent="0.25">
      <c r="C152" t="s">
        <v>1773</v>
      </c>
      <c r="D152" s="104">
        <v>172900000</v>
      </c>
      <c r="E152">
        <v>0</v>
      </c>
      <c r="F152">
        <v>0</v>
      </c>
      <c r="G152" s="104">
        <v>172900000</v>
      </c>
    </row>
    <row r="153" spans="2:7" x14ac:dyDescent="0.25">
      <c r="B153" t="s">
        <v>1587</v>
      </c>
      <c r="D153" s="104">
        <v>790827691.75</v>
      </c>
      <c r="E153">
        <v>0</v>
      </c>
      <c r="F153">
        <v>0</v>
      </c>
      <c r="G153" s="104">
        <v>790827691.75</v>
      </c>
    </row>
    <row r="155" spans="2:7" x14ac:dyDescent="0.25">
      <c r="B155" t="s">
        <v>1803</v>
      </c>
      <c r="C155" t="s">
        <v>777</v>
      </c>
    </row>
    <row r="156" spans="2:7" x14ac:dyDescent="0.25">
      <c r="C156" t="s">
        <v>1804</v>
      </c>
      <c r="D156" s="104">
        <v>15993895</v>
      </c>
      <c r="E156">
        <v>0</v>
      </c>
      <c r="F156">
        <v>0</v>
      </c>
      <c r="G156" s="104">
        <v>15993895</v>
      </c>
    </row>
    <row r="157" spans="2:7" x14ac:dyDescent="0.25">
      <c r="C157" t="s">
        <v>1805</v>
      </c>
      <c r="D157" s="104">
        <v>120000000</v>
      </c>
      <c r="E157">
        <v>0</v>
      </c>
      <c r="F157">
        <v>0</v>
      </c>
      <c r="G157" s="104">
        <v>120000000</v>
      </c>
    </row>
    <row r="158" spans="2:7" x14ac:dyDescent="0.25">
      <c r="C158" t="s">
        <v>1806</v>
      </c>
      <c r="D158" s="104">
        <v>1200000</v>
      </c>
      <c r="E158">
        <v>0</v>
      </c>
      <c r="F158">
        <v>0</v>
      </c>
      <c r="G158" s="104">
        <v>1200000</v>
      </c>
    </row>
    <row r="159" spans="2:7" x14ac:dyDescent="0.25">
      <c r="C159" t="s">
        <v>1807</v>
      </c>
      <c r="D159" s="104">
        <v>300000</v>
      </c>
      <c r="E159">
        <v>0</v>
      </c>
      <c r="F159">
        <v>0</v>
      </c>
      <c r="G159" s="104">
        <v>300000</v>
      </c>
    </row>
    <row r="160" spans="2:7" x14ac:dyDescent="0.25">
      <c r="C160" t="s">
        <v>2750</v>
      </c>
      <c r="D160" s="104">
        <v>40000000</v>
      </c>
      <c r="E160">
        <v>0</v>
      </c>
      <c r="F160">
        <v>0</v>
      </c>
      <c r="G160" s="104">
        <v>40000000</v>
      </c>
    </row>
    <row r="161" spans="2:7" x14ac:dyDescent="0.25">
      <c r="C161" t="s">
        <v>2751</v>
      </c>
      <c r="D161" s="104">
        <v>70000000</v>
      </c>
      <c r="E161">
        <v>0</v>
      </c>
      <c r="F161">
        <v>0</v>
      </c>
      <c r="G161" s="104">
        <v>70000000</v>
      </c>
    </row>
    <row r="162" spans="2:7" x14ac:dyDescent="0.25">
      <c r="B162" t="s">
        <v>1587</v>
      </c>
      <c r="D162" s="104">
        <v>247493895</v>
      </c>
      <c r="E162">
        <v>0</v>
      </c>
      <c r="F162">
        <v>0</v>
      </c>
      <c r="G162" s="104">
        <v>247493895</v>
      </c>
    </row>
    <row r="164" spans="2:7" x14ac:dyDescent="0.25">
      <c r="B164">
        <v>10299010</v>
      </c>
      <c r="C164" t="s">
        <v>1808</v>
      </c>
    </row>
    <row r="165" spans="2:7" x14ac:dyDescent="0.25">
      <c r="B165">
        <v>10299990</v>
      </c>
      <c r="C165" t="s">
        <v>262</v>
      </c>
      <c r="D165" s="104">
        <v>161861665.66999999</v>
      </c>
      <c r="E165">
        <v>0</v>
      </c>
      <c r="F165">
        <v>0</v>
      </c>
      <c r="G165" s="104">
        <v>161861665.66999999</v>
      </c>
    </row>
    <row r="166" spans="2:7" x14ac:dyDescent="0.25">
      <c r="B166" t="s">
        <v>1809</v>
      </c>
      <c r="C166" t="s">
        <v>51</v>
      </c>
    </row>
    <row r="167" spans="2:7" x14ac:dyDescent="0.25">
      <c r="C167" t="s">
        <v>1810</v>
      </c>
      <c r="D167" s="104">
        <v>38083830.090000004</v>
      </c>
      <c r="E167">
        <v>0</v>
      </c>
      <c r="F167">
        <v>0</v>
      </c>
      <c r="G167" s="104">
        <v>38083830.090000004</v>
      </c>
    </row>
    <row r="168" spans="2:7" x14ac:dyDescent="0.25">
      <c r="C168" t="s">
        <v>1811</v>
      </c>
      <c r="D168" s="104">
        <v>7349422.1500000004</v>
      </c>
      <c r="E168">
        <v>0</v>
      </c>
      <c r="F168">
        <v>0</v>
      </c>
      <c r="G168" s="104">
        <v>7349422.1500000004</v>
      </c>
    </row>
    <row r="169" spans="2:7" x14ac:dyDescent="0.25">
      <c r="C169" t="s">
        <v>1812</v>
      </c>
      <c r="D169" s="104">
        <v>92105723</v>
      </c>
      <c r="E169">
        <v>0</v>
      </c>
      <c r="F169">
        <v>0</v>
      </c>
      <c r="G169" s="104">
        <v>92105723</v>
      </c>
    </row>
    <row r="170" spans="2:7" x14ac:dyDescent="0.25">
      <c r="C170" t="s">
        <v>1813</v>
      </c>
      <c r="D170" s="104">
        <v>24322690.43</v>
      </c>
      <c r="E170">
        <v>0</v>
      </c>
      <c r="F170">
        <v>0</v>
      </c>
      <c r="G170" s="104">
        <v>24322690.43</v>
      </c>
    </row>
    <row r="171" spans="2:7" x14ac:dyDescent="0.25">
      <c r="B171" t="s">
        <v>1587</v>
      </c>
      <c r="D171" s="104">
        <v>161861665.66999999</v>
      </c>
      <c r="E171">
        <v>0</v>
      </c>
      <c r="F171">
        <v>0</v>
      </c>
      <c r="G171" s="104">
        <v>161861665.66999999</v>
      </c>
    </row>
    <row r="173" spans="2:7" x14ac:dyDescent="0.25">
      <c r="B173">
        <v>10299991</v>
      </c>
      <c r="C173" t="s">
        <v>171</v>
      </c>
    </row>
    <row r="174" spans="2:7" x14ac:dyDescent="0.25">
      <c r="C174" t="s">
        <v>1814</v>
      </c>
      <c r="D174" s="104">
        <v>-161861665.66999999</v>
      </c>
      <c r="E174">
        <v>0</v>
      </c>
      <c r="F174">
        <v>0</v>
      </c>
      <c r="G174" s="104">
        <v>-161861665.66999999</v>
      </c>
    </row>
    <row r="175" spans="2:7" x14ac:dyDescent="0.25">
      <c r="B175" t="s">
        <v>1587</v>
      </c>
      <c r="D175" s="104">
        <v>-161861665.66999999</v>
      </c>
      <c r="E175">
        <v>0</v>
      </c>
      <c r="F175">
        <v>0</v>
      </c>
      <c r="G175" s="104">
        <v>-161861665.66999999</v>
      </c>
    </row>
    <row r="177" spans="2:7" x14ac:dyDescent="0.25">
      <c r="B177">
        <v>10301010</v>
      </c>
      <c r="C177" t="s">
        <v>1815</v>
      </c>
      <c r="D177" s="104">
        <v>829953927.89999998</v>
      </c>
      <c r="E177" s="104">
        <v>19043464.440000001</v>
      </c>
      <c r="F177" s="104">
        <v>26721786.399999999</v>
      </c>
      <c r="G177" s="104">
        <v>822275605.94000006</v>
      </c>
    </row>
    <row r="178" spans="2:7" x14ac:dyDescent="0.25">
      <c r="B178" t="s">
        <v>1816</v>
      </c>
      <c r="C178" t="s">
        <v>1817</v>
      </c>
    </row>
    <row r="179" spans="2:7" x14ac:dyDescent="0.25">
      <c r="B179" t="s">
        <v>1818</v>
      </c>
      <c r="C179" t="s">
        <v>96</v>
      </c>
    </row>
    <row r="180" spans="2:7" x14ac:dyDescent="0.25">
      <c r="C180" t="s">
        <v>1819</v>
      </c>
      <c r="D180">
        <v>0</v>
      </c>
      <c r="E180">
        <v>0</v>
      </c>
      <c r="F180">
        <v>0</v>
      </c>
      <c r="G180">
        <v>0</v>
      </c>
    </row>
    <row r="181" spans="2:7" x14ac:dyDescent="0.25">
      <c r="C181" t="s">
        <v>1820</v>
      </c>
      <c r="D181" s="104">
        <v>14911195.99</v>
      </c>
      <c r="E181" s="104">
        <v>3427122.88</v>
      </c>
      <c r="F181" s="104">
        <v>3612746.73</v>
      </c>
      <c r="G181" s="104">
        <v>14725572.140000001</v>
      </c>
    </row>
    <row r="182" spans="2:7" x14ac:dyDescent="0.25">
      <c r="C182" t="s">
        <v>1821</v>
      </c>
      <c r="D182" s="104">
        <v>2782</v>
      </c>
      <c r="E182">
        <v>0</v>
      </c>
      <c r="F182">
        <v>0</v>
      </c>
      <c r="G182" s="104">
        <v>2782</v>
      </c>
    </row>
    <row r="183" spans="2:7" x14ac:dyDescent="0.25">
      <c r="C183" t="s">
        <v>1822</v>
      </c>
      <c r="D183" s="104">
        <v>693792.53</v>
      </c>
      <c r="E183" s="104">
        <v>222108</v>
      </c>
      <c r="F183" s="104">
        <v>164400</v>
      </c>
      <c r="G183" s="104">
        <v>751500.53</v>
      </c>
    </row>
    <row r="184" spans="2:7" x14ac:dyDescent="0.25">
      <c r="C184" t="s">
        <v>1823</v>
      </c>
      <c r="D184" s="104">
        <v>2536126.08</v>
      </c>
      <c r="E184" s="104">
        <v>1119499.83</v>
      </c>
      <c r="F184" s="104">
        <v>2238999.66</v>
      </c>
      <c r="G184" s="104">
        <v>1416626.25</v>
      </c>
    </row>
    <row r="185" spans="2:7" x14ac:dyDescent="0.25">
      <c r="C185" t="s">
        <v>1824</v>
      </c>
      <c r="D185" s="104">
        <v>418820.27</v>
      </c>
      <c r="E185" s="104">
        <v>22590.29</v>
      </c>
      <c r="F185" s="104">
        <v>22590.29</v>
      </c>
      <c r="G185" s="104">
        <v>418820.27</v>
      </c>
    </row>
    <row r="186" spans="2:7" x14ac:dyDescent="0.25">
      <c r="C186" t="s">
        <v>1825</v>
      </c>
      <c r="D186" s="104">
        <v>6551.95</v>
      </c>
      <c r="E186" s="104">
        <v>61560.83</v>
      </c>
      <c r="F186" s="104">
        <v>61560.83</v>
      </c>
      <c r="G186" s="104">
        <v>6551.95</v>
      </c>
    </row>
    <row r="187" spans="2:7" x14ac:dyDescent="0.25">
      <c r="C187" t="s">
        <v>1826</v>
      </c>
      <c r="D187" s="104">
        <v>4022352.19</v>
      </c>
      <c r="E187">
        <v>0</v>
      </c>
      <c r="F187">
        <v>0</v>
      </c>
      <c r="G187" s="104">
        <v>4022352.19</v>
      </c>
    </row>
    <row r="188" spans="2:7" x14ac:dyDescent="0.25">
      <c r="C188" t="s">
        <v>1827</v>
      </c>
      <c r="D188" s="104">
        <v>520000</v>
      </c>
      <c r="E188">
        <v>0</v>
      </c>
      <c r="F188">
        <v>0</v>
      </c>
      <c r="G188" s="104">
        <v>520000</v>
      </c>
    </row>
    <row r="189" spans="2:7" x14ac:dyDescent="0.25">
      <c r="C189" t="s">
        <v>1828</v>
      </c>
      <c r="D189" s="104">
        <v>1248935.31</v>
      </c>
      <c r="E189" s="104">
        <v>472040.03</v>
      </c>
      <c r="F189">
        <v>0</v>
      </c>
      <c r="G189" s="104">
        <v>1720975.34</v>
      </c>
    </row>
    <row r="190" spans="2:7" x14ac:dyDescent="0.25">
      <c r="C190" t="s">
        <v>1787</v>
      </c>
      <c r="D190" s="104">
        <v>1156929.57</v>
      </c>
      <c r="E190" s="104">
        <v>578464.78</v>
      </c>
      <c r="F190">
        <v>0</v>
      </c>
      <c r="G190" s="104">
        <v>1735394.35</v>
      </c>
    </row>
    <row r="191" spans="2:7" x14ac:dyDescent="0.25">
      <c r="C191" t="s">
        <v>1768</v>
      </c>
      <c r="D191" s="104">
        <v>9203757.6999999993</v>
      </c>
      <c r="E191">
        <v>0</v>
      </c>
      <c r="F191">
        <v>0</v>
      </c>
      <c r="G191" s="104">
        <v>9203757.6999999993</v>
      </c>
    </row>
    <row r="192" spans="2:7" x14ac:dyDescent="0.25">
      <c r="C192" t="s">
        <v>1829</v>
      </c>
      <c r="D192" s="104">
        <v>2693035.71</v>
      </c>
      <c r="E192">
        <v>0</v>
      </c>
      <c r="F192">
        <v>0</v>
      </c>
      <c r="G192" s="104">
        <v>2693035.71</v>
      </c>
    </row>
    <row r="193" spans="3:7" x14ac:dyDescent="0.25">
      <c r="C193" t="s">
        <v>1754</v>
      </c>
      <c r="D193" s="104">
        <v>4928958.26</v>
      </c>
      <c r="E193" s="104">
        <v>536041.67000000004</v>
      </c>
      <c r="F193" s="104">
        <v>5475212.3200000003</v>
      </c>
      <c r="G193" s="104">
        <v>-10212.39</v>
      </c>
    </row>
    <row r="194" spans="3:7" x14ac:dyDescent="0.25">
      <c r="C194" t="s">
        <v>1830</v>
      </c>
      <c r="D194">
        <v>0</v>
      </c>
      <c r="E194" s="104">
        <v>286969.09999999998</v>
      </c>
      <c r="F194" s="104">
        <v>286969.09999999998</v>
      </c>
      <c r="G194">
        <v>0</v>
      </c>
    </row>
    <row r="195" spans="3:7" x14ac:dyDescent="0.25">
      <c r="C195" t="s">
        <v>1831</v>
      </c>
      <c r="D195" s="104">
        <v>120167.61</v>
      </c>
      <c r="E195">
        <v>0</v>
      </c>
      <c r="F195">
        <v>0</v>
      </c>
      <c r="G195" s="104">
        <v>120167.61</v>
      </c>
    </row>
    <row r="196" spans="3:7" x14ac:dyDescent="0.25">
      <c r="C196" t="s">
        <v>1832</v>
      </c>
      <c r="D196" s="104">
        <v>12838.97</v>
      </c>
      <c r="E196">
        <v>0</v>
      </c>
      <c r="F196">
        <v>0</v>
      </c>
      <c r="G196" s="104">
        <v>12838.97</v>
      </c>
    </row>
    <row r="197" spans="3:7" x14ac:dyDescent="0.25">
      <c r="C197" t="s">
        <v>1833</v>
      </c>
      <c r="D197" s="104">
        <v>106531.38</v>
      </c>
      <c r="E197">
        <v>0</v>
      </c>
      <c r="F197">
        <v>0</v>
      </c>
      <c r="G197" s="104">
        <v>106531.38</v>
      </c>
    </row>
    <row r="198" spans="3:7" x14ac:dyDescent="0.25">
      <c r="C198" t="s">
        <v>1834</v>
      </c>
      <c r="D198" s="104">
        <v>4899744.57</v>
      </c>
      <c r="E198">
        <v>0</v>
      </c>
      <c r="F198">
        <v>0</v>
      </c>
      <c r="G198" s="104">
        <v>4899744.57</v>
      </c>
    </row>
    <row r="199" spans="3:7" x14ac:dyDescent="0.25">
      <c r="C199" t="s">
        <v>1835</v>
      </c>
      <c r="D199" s="104">
        <v>13440.59</v>
      </c>
      <c r="E199">
        <v>0</v>
      </c>
      <c r="F199">
        <v>0</v>
      </c>
      <c r="G199" s="104">
        <v>13440.59</v>
      </c>
    </row>
    <row r="200" spans="3:7" x14ac:dyDescent="0.25">
      <c r="C200" t="s">
        <v>1836</v>
      </c>
      <c r="D200" s="104">
        <v>94344.35</v>
      </c>
      <c r="E200">
        <v>0</v>
      </c>
      <c r="F200">
        <v>0</v>
      </c>
      <c r="G200" s="104">
        <v>94344.35</v>
      </c>
    </row>
    <row r="201" spans="3:7" x14ac:dyDescent="0.25">
      <c r="C201" t="s">
        <v>1837</v>
      </c>
      <c r="D201" s="104">
        <v>124181.81</v>
      </c>
      <c r="E201">
        <v>0</v>
      </c>
      <c r="F201">
        <v>0</v>
      </c>
      <c r="G201" s="104">
        <v>124181.81</v>
      </c>
    </row>
    <row r="202" spans="3:7" x14ac:dyDescent="0.25">
      <c r="C202" t="s">
        <v>1838</v>
      </c>
      <c r="D202" s="104">
        <v>186346</v>
      </c>
      <c r="E202">
        <v>0</v>
      </c>
      <c r="F202">
        <v>0</v>
      </c>
      <c r="G202" s="104">
        <v>186346</v>
      </c>
    </row>
    <row r="203" spans="3:7" x14ac:dyDescent="0.25">
      <c r="C203" t="s">
        <v>1839</v>
      </c>
      <c r="D203" s="104">
        <v>56036.17</v>
      </c>
      <c r="E203">
        <v>0</v>
      </c>
      <c r="F203">
        <v>0</v>
      </c>
      <c r="G203" s="104">
        <v>56036.17</v>
      </c>
    </row>
    <row r="204" spans="3:7" x14ac:dyDescent="0.25">
      <c r="C204" t="s">
        <v>1840</v>
      </c>
      <c r="D204">
        <v>0</v>
      </c>
      <c r="E204">
        <v>0</v>
      </c>
      <c r="F204">
        <v>0</v>
      </c>
      <c r="G204">
        <v>0</v>
      </c>
    </row>
    <row r="205" spans="3:7" x14ac:dyDescent="0.25">
      <c r="C205" t="s">
        <v>1841</v>
      </c>
      <c r="D205" s="104">
        <v>18733.47</v>
      </c>
      <c r="E205">
        <v>0</v>
      </c>
      <c r="F205">
        <v>0</v>
      </c>
      <c r="G205" s="104">
        <v>18733.47</v>
      </c>
    </row>
    <row r="206" spans="3:7" x14ac:dyDescent="0.25">
      <c r="C206" t="s">
        <v>1842</v>
      </c>
      <c r="D206" s="104">
        <v>9348.07</v>
      </c>
      <c r="E206" s="104">
        <v>352488.87</v>
      </c>
      <c r="F206" s="104">
        <v>352488.87</v>
      </c>
      <c r="G206" s="104">
        <v>9348.07</v>
      </c>
    </row>
    <row r="207" spans="3:7" x14ac:dyDescent="0.25">
      <c r="C207" t="s">
        <v>1843</v>
      </c>
      <c r="D207" s="104">
        <v>157565.21</v>
      </c>
      <c r="E207">
        <v>0</v>
      </c>
      <c r="F207">
        <v>0</v>
      </c>
      <c r="G207" s="104">
        <v>157565.21</v>
      </c>
    </row>
    <row r="208" spans="3:7" x14ac:dyDescent="0.25">
      <c r="C208" t="s">
        <v>1844</v>
      </c>
      <c r="D208">
        <v>0.01</v>
      </c>
      <c r="E208" s="104">
        <v>123425.21</v>
      </c>
      <c r="F208" s="104">
        <v>123425.21</v>
      </c>
      <c r="G208">
        <v>0.01</v>
      </c>
    </row>
    <row r="209" spans="3:7" x14ac:dyDescent="0.25">
      <c r="C209" t="s">
        <v>1845</v>
      </c>
      <c r="D209" s="104">
        <v>17361.330000000002</v>
      </c>
      <c r="E209">
        <v>0</v>
      </c>
      <c r="F209">
        <v>0</v>
      </c>
      <c r="G209" s="104">
        <v>17361.330000000002</v>
      </c>
    </row>
    <row r="210" spans="3:7" x14ac:dyDescent="0.25">
      <c r="C210" t="s">
        <v>1846</v>
      </c>
      <c r="D210" s="104">
        <v>26532.23</v>
      </c>
      <c r="E210">
        <v>0</v>
      </c>
      <c r="F210">
        <v>0</v>
      </c>
      <c r="G210" s="104">
        <v>26532.23</v>
      </c>
    </row>
    <row r="211" spans="3:7" x14ac:dyDescent="0.25">
      <c r="C211" t="s">
        <v>1847</v>
      </c>
      <c r="D211" s="104">
        <v>2930135.96</v>
      </c>
      <c r="E211">
        <v>0</v>
      </c>
      <c r="F211">
        <v>0</v>
      </c>
      <c r="G211" s="104">
        <v>2930135.96</v>
      </c>
    </row>
    <row r="212" spans="3:7" x14ac:dyDescent="0.25">
      <c r="C212" t="s">
        <v>1849</v>
      </c>
      <c r="D212" s="104">
        <v>3147493.95</v>
      </c>
      <c r="E212">
        <v>0</v>
      </c>
      <c r="F212">
        <v>0</v>
      </c>
      <c r="G212" s="104">
        <v>3147493.95</v>
      </c>
    </row>
    <row r="213" spans="3:7" x14ac:dyDescent="0.25">
      <c r="C213" t="s">
        <v>1850</v>
      </c>
      <c r="D213" s="104">
        <v>1884802.62</v>
      </c>
      <c r="E213">
        <v>0</v>
      </c>
      <c r="F213" s="104">
        <v>343255.24</v>
      </c>
      <c r="G213" s="104">
        <v>1541547.38</v>
      </c>
    </row>
    <row r="214" spans="3:7" x14ac:dyDescent="0.25">
      <c r="C214" t="s">
        <v>1851</v>
      </c>
      <c r="D214" s="104">
        <v>108900.01</v>
      </c>
      <c r="E214" s="104">
        <v>36300</v>
      </c>
      <c r="F214">
        <v>0</v>
      </c>
      <c r="G214" s="104">
        <v>145200.01</v>
      </c>
    </row>
    <row r="215" spans="3:7" x14ac:dyDescent="0.25">
      <c r="C215" t="s">
        <v>1852</v>
      </c>
      <c r="D215">
        <v>0</v>
      </c>
      <c r="E215">
        <v>0</v>
      </c>
      <c r="F215">
        <v>0</v>
      </c>
      <c r="G215">
        <v>0</v>
      </c>
    </row>
    <row r="216" spans="3:7" x14ac:dyDescent="0.25">
      <c r="C216" t="s">
        <v>1853</v>
      </c>
      <c r="D216" s="104">
        <v>83512.990000000005</v>
      </c>
      <c r="E216" s="104">
        <v>32528.22</v>
      </c>
      <c r="F216">
        <v>0</v>
      </c>
      <c r="G216" s="104">
        <v>116041.21</v>
      </c>
    </row>
    <row r="217" spans="3:7" x14ac:dyDescent="0.25">
      <c r="C217" t="s">
        <v>1854</v>
      </c>
      <c r="D217">
        <v>0</v>
      </c>
      <c r="E217" s="104">
        <v>185588.56</v>
      </c>
      <c r="F217" s="104">
        <v>185588.56</v>
      </c>
      <c r="G217">
        <v>0</v>
      </c>
    </row>
    <row r="218" spans="3:7" x14ac:dyDescent="0.25">
      <c r="C218" t="s">
        <v>1786</v>
      </c>
      <c r="D218">
        <v>0</v>
      </c>
      <c r="E218" s="104">
        <v>4200</v>
      </c>
      <c r="F218" s="104">
        <v>4200</v>
      </c>
      <c r="G218">
        <v>0</v>
      </c>
    </row>
    <row r="219" spans="3:7" x14ac:dyDescent="0.25">
      <c r="C219" t="s">
        <v>1855</v>
      </c>
      <c r="D219" s="104">
        <v>3925924.55</v>
      </c>
      <c r="E219" s="104">
        <v>785185.11</v>
      </c>
      <c r="F219">
        <v>0</v>
      </c>
      <c r="G219" s="104">
        <v>4711109.66</v>
      </c>
    </row>
    <row r="220" spans="3:7" x14ac:dyDescent="0.25">
      <c r="C220" t="s">
        <v>1857</v>
      </c>
      <c r="D220" s="104">
        <v>-38154.36</v>
      </c>
      <c r="E220" s="104">
        <v>19492.330000000002</v>
      </c>
      <c r="F220">
        <v>0</v>
      </c>
      <c r="G220" s="104">
        <v>-18662.03</v>
      </c>
    </row>
    <row r="221" spans="3:7" x14ac:dyDescent="0.25">
      <c r="C221" t="s">
        <v>1858</v>
      </c>
      <c r="D221">
        <v>0</v>
      </c>
      <c r="E221">
        <v>0</v>
      </c>
      <c r="F221">
        <v>0</v>
      </c>
      <c r="G221">
        <v>0</v>
      </c>
    </row>
    <row r="222" spans="3:7" x14ac:dyDescent="0.25">
      <c r="C222" t="s">
        <v>1761</v>
      </c>
      <c r="D222" s="104">
        <v>8319.16</v>
      </c>
      <c r="E222" s="104">
        <v>2889</v>
      </c>
      <c r="F222">
        <v>0</v>
      </c>
      <c r="G222" s="104">
        <v>11208.16</v>
      </c>
    </row>
    <row r="223" spans="3:7" x14ac:dyDescent="0.25">
      <c r="C223" t="s">
        <v>1859</v>
      </c>
      <c r="D223">
        <v>-0.01</v>
      </c>
      <c r="E223" s="104">
        <v>65970</v>
      </c>
      <c r="F223" s="104">
        <v>65970</v>
      </c>
      <c r="G223">
        <v>-0.01</v>
      </c>
    </row>
    <row r="224" spans="3:7" x14ac:dyDescent="0.25">
      <c r="C224" t="s">
        <v>1860</v>
      </c>
      <c r="D224">
        <v>0.1</v>
      </c>
      <c r="E224" s="104">
        <v>44208.43</v>
      </c>
      <c r="F224" s="104">
        <v>44208.43</v>
      </c>
      <c r="G224">
        <v>0.1</v>
      </c>
    </row>
    <row r="225" spans="3:7" x14ac:dyDescent="0.25">
      <c r="C225" t="s">
        <v>1861</v>
      </c>
      <c r="D225">
        <v>0</v>
      </c>
      <c r="E225">
        <v>0</v>
      </c>
      <c r="F225">
        <v>0</v>
      </c>
      <c r="G225">
        <v>0</v>
      </c>
    </row>
    <row r="226" spans="3:7" x14ac:dyDescent="0.25">
      <c r="C226" t="s">
        <v>1862</v>
      </c>
      <c r="D226">
        <v>0</v>
      </c>
      <c r="E226">
        <v>0</v>
      </c>
      <c r="F226">
        <v>0</v>
      </c>
      <c r="G226">
        <v>0</v>
      </c>
    </row>
    <row r="227" spans="3:7" x14ac:dyDescent="0.25">
      <c r="C227" t="s">
        <v>1863</v>
      </c>
      <c r="D227">
        <v>0</v>
      </c>
      <c r="E227">
        <v>0</v>
      </c>
      <c r="F227">
        <v>0</v>
      </c>
      <c r="G227">
        <v>0</v>
      </c>
    </row>
    <row r="228" spans="3:7" x14ac:dyDescent="0.25">
      <c r="C228" t="s">
        <v>1864</v>
      </c>
      <c r="D228">
        <v>0</v>
      </c>
      <c r="E228">
        <v>0</v>
      </c>
      <c r="F228">
        <v>0</v>
      </c>
      <c r="G228">
        <v>0</v>
      </c>
    </row>
    <row r="229" spans="3:7" x14ac:dyDescent="0.25">
      <c r="C229" t="s">
        <v>1865</v>
      </c>
      <c r="D229" s="104">
        <v>7320.5</v>
      </c>
      <c r="E229" s="104">
        <v>7320.5</v>
      </c>
      <c r="F229" s="104">
        <v>14641</v>
      </c>
      <c r="G229">
        <v>0</v>
      </c>
    </row>
    <row r="230" spans="3:7" x14ac:dyDescent="0.25">
      <c r="C230" t="s">
        <v>1866</v>
      </c>
      <c r="D230" s="104">
        <v>42749.97</v>
      </c>
      <c r="E230" s="104">
        <v>42750</v>
      </c>
      <c r="F230" s="104">
        <v>85500</v>
      </c>
      <c r="G230">
        <v>-0.03</v>
      </c>
    </row>
    <row r="231" spans="3:7" x14ac:dyDescent="0.25">
      <c r="C231" t="s">
        <v>1867</v>
      </c>
      <c r="D231">
        <v>0</v>
      </c>
      <c r="E231">
        <v>0</v>
      </c>
      <c r="F231">
        <v>0</v>
      </c>
      <c r="G231">
        <v>0</v>
      </c>
    </row>
    <row r="232" spans="3:7" x14ac:dyDescent="0.25">
      <c r="C232" t="s">
        <v>1869</v>
      </c>
      <c r="D232">
        <v>0</v>
      </c>
      <c r="E232" s="104">
        <v>4456832.99</v>
      </c>
      <c r="F232" s="104">
        <v>4456832.99</v>
      </c>
      <c r="G232">
        <v>0</v>
      </c>
    </row>
    <row r="233" spans="3:7" x14ac:dyDescent="0.25">
      <c r="C233" t="s">
        <v>1870</v>
      </c>
      <c r="D233" s="104">
        <v>2251795.11</v>
      </c>
      <c r="E233">
        <v>0</v>
      </c>
      <c r="F233">
        <v>0</v>
      </c>
      <c r="G233" s="104">
        <v>2251795.11</v>
      </c>
    </row>
    <row r="234" spans="3:7" x14ac:dyDescent="0.25">
      <c r="C234" t="s">
        <v>1871</v>
      </c>
      <c r="D234">
        <v>0</v>
      </c>
      <c r="E234">
        <v>0</v>
      </c>
      <c r="F234">
        <v>0</v>
      </c>
      <c r="G234">
        <v>0</v>
      </c>
    </row>
    <row r="235" spans="3:7" x14ac:dyDescent="0.25">
      <c r="C235" t="s">
        <v>1872</v>
      </c>
      <c r="D235">
        <v>0</v>
      </c>
      <c r="E235">
        <v>0</v>
      </c>
      <c r="F235">
        <v>0</v>
      </c>
      <c r="G235">
        <v>0</v>
      </c>
    </row>
    <row r="236" spans="3:7" x14ac:dyDescent="0.25">
      <c r="C236" t="s">
        <v>1873</v>
      </c>
      <c r="D236">
        <v>0</v>
      </c>
      <c r="E236" s="104">
        <v>496515.16</v>
      </c>
      <c r="F236" s="104">
        <v>496515.16</v>
      </c>
      <c r="G236">
        <v>0</v>
      </c>
    </row>
    <row r="237" spans="3:7" x14ac:dyDescent="0.25">
      <c r="C237" t="s">
        <v>1874</v>
      </c>
      <c r="D237">
        <v>0</v>
      </c>
      <c r="E237" s="104">
        <v>274362.75</v>
      </c>
      <c r="F237" s="104">
        <v>274362.75</v>
      </c>
      <c r="G237">
        <v>0</v>
      </c>
    </row>
    <row r="238" spans="3:7" x14ac:dyDescent="0.25">
      <c r="C238" t="s">
        <v>1875</v>
      </c>
      <c r="D238">
        <v>0</v>
      </c>
      <c r="E238">
        <v>0</v>
      </c>
      <c r="F238">
        <v>0</v>
      </c>
      <c r="G238">
        <v>0</v>
      </c>
    </row>
    <row r="239" spans="3:7" x14ac:dyDescent="0.25">
      <c r="C239" t="s">
        <v>1876</v>
      </c>
      <c r="D239" s="104">
        <v>-1964.28</v>
      </c>
      <c r="E239" s="104">
        <v>2400</v>
      </c>
      <c r="F239" s="104">
        <v>2292.86</v>
      </c>
      <c r="G239" s="104">
        <v>-1857.14</v>
      </c>
    </row>
    <row r="240" spans="3:7" x14ac:dyDescent="0.25">
      <c r="C240" t="s">
        <v>1878</v>
      </c>
      <c r="D240" s="104">
        <v>275892.84999999998</v>
      </c>
      <c r="E240">
        <v>0</v>
      </c>
      <c r="F240">
        <v>0</v>
      </c>
      <c r="G240" s="104">
        <v>275892.84999999998</v>
      </c>
    </row>
    <row r="241" spans="3:7" x14ac:dyDescent="0.25">
      <c r="C241" t="s">
        <v>1879</v>
      </c>
      <c r="D241">
        <v>0</v>
      </c>
      <c r="E241" s="104">
        <v>90418</v>
      </c>
      <c r="F241" s="104">
        <v>90418</v>
      </c>
      <c r="G241">
        <v>0</v>
      </c>
    </row>
    <row r="242" spans="3:7" x14ac:dyDescent="0.25">
      <c r="C242" t="s">
        <v>1880</v>
      </c>
      <c r="D242" s="104">
        <v>38749.46</v>
      </c>
      <c r="E242" s="104">
        <v>38750</v>
      </c>
      <c r="F242" s="104">
        <v>77500</v>
      </c>
      <c r="G242">
        <v>-0.54</v>
      </c>
    </row>
    <row r="243" spans="3:7" x14ac:dyDescent="0.25">
      <c r="C243" t="s">
        <v>1881</v>
      </c>
      <c r="D243" s="104">
        <v>-2271.5</v>
      </c>
      <c r="E243" s="104">
        <v>62092.9</v>
      </c>
      <c r="F243" s="104">
        <v>62092.9</v>
      </c>
      <c r="G243" s="104">
        <v>-2271.5</v>
      </c>
    </row>
    <row r="244" spans="3:7" x14ac:dyDescent="0.25">
      <c r="C244" t="s">
        <v>1882</v>
      </c>
      <c r="D244">
        <v>0</v>
      </c>
      <c r="E244" s="104">
        <v>5618</v>
      </c>
      <c r="F244">
        <v>0</v>
      </c>
      <c r="G244" s="104">
        <v>5618</v>
      </c>
    </row>
    <row r="245" spans="3:7" x14ac:dyDescent="0.25">
      <c r="C245" t="s">
        <v>1883</v>
      </c>
      <c r="D245">
        <v>0</v>
      </c>
      <c r="E245" s="104">
        <v>383568</v>
      </c>
      <c r="F245" s="104">
        <v>383568</v>
      </c>
      <c r="G245">
        <v>0</v>
      </c>
    </row>
    <row r="246" spans="3:7" x14ac:dyDescent="0.25">
      <c r="C246" t="s">
        <v>1884</v>
      </c>
      <c r="D246" s="104">
        <v>55918.07</v>
      </c>
      <c r="E246" s="104">
        <v>123485.75999999999</v>
      </c>
      <c r="F246" s="104">
        <v>116496</v>
      </c>
      <c r="G246" s="104">
        <v>62907.83</v>
      </c>
    </row>
    <row r="247" spans="3:7" x14ac:dyDescent="0.25">
      <c r="C247" t="s">
        <v>1885</v>
      </c>
      <c r="D247">
        <v>0</v>
      </c>
      <c r="E247" s="104">
        <v>27755.040000000001</v>
      </c>
      <c r="F247" s="104">
        <v>27755.040000000001</v>
      </c>
      <c r="G247">
        <v>0</v>
      </c>
    </row>
    <row r="248" spans="3:7" x14ac:dyDescent="0.25">
      <c r="C248" t="s">
        <v>1886</v>
      </c>
      <c r="D248">
        <v>0</v>
      </c>
      <c r="E248" s="104">
        <v>112350</v>
      </c>
      <c r="F248" s="104">
        <v>112350</v>
      </c>
      <c r="G248">
        <v>0</v>
      </c>
    </row>
    <row r="249" spans="3:7" x14ac:dyDescent="0.25">
      <c r="C249" t="s">
        <v>1887</v>
      </c>
      <c r="D249" s="104">
        <v>55918.080000000002</v>
      </c>
      <c r="E249" s="104">
        <v>123485.75999999999</v>
      </c>
      <c r="F249" s="104">
        <v>116496</v>
      </c>
      <c r="G249" s="104">
        <v>62907.839999999997</v>
      </c>
    </row>
    <row r="250" spans="3:7" x14ac:dyDescent="0.25">
      <c r="C250" t="s">
        <v>1888</v>
      </c>
      <c r="D250">
        <v>0</v>
      </c>
      <c r="E250" s="104">
        <v>155963.4</v>
      </c>
      <c r="F250" s="104">
        <v>155963.4</v>
      </c>
      <c r="G250">
        <v>0</v>
      </c>
    </row>
    <row r="251" spans="3:7" x14ac:dyDescent="0.25">
      <c r="C251" t="s">
        <v>1889</v>
      </c>
      <c r="D251" s="104">
        <v>152392.53</v>
      </c>
      <c r="E251" s="104">
        <v>50797.51</v>
      </c>
      <c r="F251" s="104">
        <v>203190.03</v>
      </c>
      <c r="G251">
        <v>0.01</v>
      </c>
    </row>
    <row r="252" spans="3:7" x14ac:dyDescent="0.25">
      <c r="C252" t="s">
        <v>1890</v>
      </c>
      <c r="D252" s="104">
        <v>629686</v>
      </c>
      <c r="E252" s="104">
        <v>92962</v>
      </c>
      <c r="F252">
        <v>0</v>
      </c>
      <c r="G252" s="104">
        <v>722648</v>
      </c>
    </row>
    <row r="253" spans="3:7" x14ac:dyDescent="0.25">
      <c r="C253" t="s">
        <v>2752</v>
      </c>
      <c r="D253" s="104">
        <v>1595120</v>
      </c>
      <c r="E253" s="104">
        <v>797560</v>
      </c>
      <c r="F253">
        <v>0</v>
      </c>
      <c r="G253" s="104">
        <v>2392680</v>
      </c>
    </row>
    <row r="254" spans="3:7" x14ac:dyDescent="0.25">
      <c r="C254" t="s">
        <v>2753</v>
      </c>
      <c r="D254">
        <v>0</v>
      </c>
      <c r="E254" s="104">
        <v>19410.189999999999</v>
      </c>
      <c r="F254">
        <v>0</v>
      </c>
      <c r="G254" s="104">
        <v>19410.189999999999</v>
      </c>
    </row>
    <row r="255" spans="3:7" x14ac:dyDescent="0.25">
      <c r="C255" t="s">
        <v>2754</v>
      </c>
      <c r="D255">
        <v>0</v>
      </c>
      <c r="E255" s="104">
        <v>22500</v>
      </c>
      <c r="F255">
        <v>0</v>
      </c>
      <c r="G255" s="104">
        <v>22500</v>
      </c>
    </row>
    <row r="256" spans="3:7" x14ac:dyDescent="0.25">
      <c r="C256" t="s">
        <v>2755</v>
      </c>
      <c r="D256" s="104">
        <v>90000</v>
      </c>
      <c r="E256" s="104">
        <v>45000</v>
      </c>
      <c r="F256" s="104">
        <v>135000</v>
      </c>
      <c r="G256">
        <v>0</v>
      </c>
    </row>
    <row r="257" spans="2:7" x14ac:dyDescent="0.25">
      <c r="C257" t="s">
        <v>2756</v>
      </c>
      <c r="D257" s="104">
        <v>594894</v>
      </c>
      <c r="E257" s="104">
        <v>594894</v>
      </c>
      <c r="F257" s="104">
        <v>594894</v>
      </c>
      <c r="G257" s="104">
        <v>594894</v>
      </c>
    </row>
    <row r="258" spans="2:7" x14ac:dyDescent="0.25">
      <c r="B258" t="s">
        <v>1587</v>
      </c>
      <c r="D258" s="104">
        <v>66023545.090000004</v>
      </c>
      <c r="E258" s="104">
        <v>16405465.1</v>
      </c>
      <c r="F258" s="104">
        <v>20387483.370000001</v>
      </c>
      <c r="G258" s="104">
        <v>62041526.82</v>
      </c>
    </row>
    <row r="260" spans="2:7" x14ac:dyDescent="0.25">
      <c r="B260" t="s">
        <v>1891</v>
      </c>
      <c r="C260" t="s">
        <v>102</v>
      </c>
    </row>
    <row r="261" spans="2:7" x14ac:dyDescent="0.25">
      <c r="C261" t="s">
        <v>1783</v>
      </c>
      <c r="D261" s="104">
        <v>13333.6</v>
      </c>
      <c r="E261" s="104">
        <v>6666.7</v>
      </c>
      <c r="F261" s="104">
        <v>20000</v>
      </c>
      <c r="G261">
        <v>0.3</v>
      </c>
    </row>
    <row r="262" spans="2:7" x14ac:dyDescent="0.25">
      <c r="C262" t="s">
        <v>1784</v>
      </c>
      <c r="D262" s="104">
        <v>3000</v>
      </c>
      <c r="E262" s="104">
        <v>1500</v>
      </c>
      <c r="F262" s="104">
        <v>4500</v>
      </c>
      <c r="G262">
        <v>0</v>
      </c>
    </row>
    <row r="263" spans="2:7" x14ac:dyDescent="0.25">
      <c r="C263" t="s">
        <v>1785</v>
      </c>
      <c r="D263" s="104">
        <v>4000</v>
      </c>
      <c r="E263" s="104">
        <v>2000</v>
      </c>
      <c r="F263">
        <v>0</v>
      </c>
      <c r="G263" s="104">
        <v>6000</v>
      </c>
    </row>
    <row r="264" spans="2:7" x14ac:dyDescent="0.25">
      <c r="C264" t="s">
        <v>1788</v>
      </c>
      <c r="D264" s="104">
        <v>3000</v>
      </c>
      <c r="E264" s="104">
        <v>1500</v>
      </c>
      <c r="F264">
        <v>0</v>
      </c>
      <c r="G264" s="104">
        <v>4500</v>
      </c>
    </row>
    <row r="265" spans="2:7" x14ac:dyDescent="0.25">
      <c r="B265" t="s">
        <v>1587</v>
      </c>
      <c r="D265" s="104">
        <v>23333.599999999999</v>
      </c>
      <c r="E265" s="104">
        <v>11666.7</v>
      </c>
      <c r="F265" s="104">
        <v>24500</v>
      </c>
      <c r="G265" s="104">
        <v>10500.3</v>
      </c>
    </row>
    <row r="267" spans="2:7" x14ac:dyDescent="0.25">
      <c r="B267" t="s">
        <v>1892</v>
      </c>
      <c r="C267" t="s">
        <v>103</v>
      </c>
    </row>
    <row r="268" spans="2:7" x14ac:dyDescent="0.25">
      <c r="C268" t="s">
        <v>1893</v>
      </c>
      <c r="D268" s="104">
        <v>442668.42</v>
      </c>
      <c r="E268">
        <v>0</v>
      </c>
      <c r="F268">
        <v>0</v>
      </c>
      <c r="G268" s="104">
        <v>442668.42</v>
      </c>
    </row>
    <row r="269" spans="2:7" x14ac:dyDescent="0.25">
      <c r="C269" t="s">
        <v>1894</v>
      </c>
      <c r="D269" s="104">
        <v>163141483.61000001</v>
      </c>
      <c r="E269">
        <v>0</v>
      </c>
      <c r="F269">
        <v>0</v>
      </c>
      <c r="G269" s="104">
        <v>163141483.61000001</v>
      </c>
    </row>
    <row r="270" spans="2:7" x14ac:dyDescent="0.25">
      <c r="C270" t="s">
        <v>1895</v>
      </c>
      <c r="D270">
        <v>615.6</v>
      </c>
      <c r="E270">
        <v>0</v>
      </c>
      <c r="F270">
        <v>0</v>
      </c>
      <c r="G270">
        <v>615.6</v>
      </c>
    </row>
    <row r="271" spans="2:7" x14ac:dyDescent="0.25">
      <c r="C271" t="s">
        <v>1896</v>
      </c>
      <c r="D271" s="104">
        <v>32292957.899999999</v>
      </c>
      <c r="E271">
        <v>0</v>
      </c>
      <c r="F271">
        <v>0</v>
      </c>
      <c r="G271" s="104">
        <v>32292957.899999999</v>
      </c>
    </row>
    <row r="272" spans="2:7" x14ac:dyDescent="0.25">
      <c r="C272" t="s">
        <v>1854</v>
      </c>
      <c r="D272" s="104">
        <v>18091719.52</v>
      </c>
      <c r="E272">
        <v>0</v>
      </c>
      <c r="F272">
        <v>0</v>
      </c>
      <c r="G272" s="104">
        <v>18091719.52</v>
      </c>
    </row>
    <row r="273" spans="3:7" x14ac:dyDescent="0.25">
      <c r="C273" t="s">
        <v>1897</v>
      </c>
      <c r="D273" s="104">
        <v>22504307.760000002</v>
      </c>
      <c r="E273" s="104">
        <v>1064676.8799999999</v>
      </c>
      <c r="F273">
        <v>0</v>
      </c>
      <c r="G273" s="104">
        <v>23568984.640000001</v>
      </c>
    </row>
    <row r="274" spans="3:7" x14ac:dyDescent="0.25">
      <c r="C274" t="s">
        <v>1824</v>
      </c>
      <c r="D274" s="104">
        <v>2778.1</v>
      </c>
      <c r="E274">
        <v>92.6</v>
      </c>
      <c r="F274">
        <v>0</v>
      </c>
      <c r="G274" s="104">
        <v>2870.7</v>
      </c>
    </row>
    <row r="275" spans="3:7" x14ac:dyDescent="0.25">
      <c r="C275" t="s">
        <v>1825</v>
      </c>
      <c r="D275" s="104">
        <v>4861.63</v>
      </c>
      <c r="E275">
        <v>231.5</v>
      </c>
      <c r="F275">
        <v>0</v>
      </c>
      <c r="G275" s="104">
        <v>5093.13</v>
      </c>
    </row>
    <row r="276" spans="3:7" x14ac:dyDescent="0.25">
      <c r="C276" t="s">
        <v>1826</v>
      </c>
      <c r="D276" s="104">
        <v>279975.28000000003</v>
      </c>
      <c r="E276">
        <v>0</v>
      </c>
      <c r="F276">
        <v>0</v>
      </c>
      <c r="G276" s="104">
        <v>279975.28000000003</v>
      </c>
    </row>
    <row r="277" spans="3:7" x14ac:dyDescent="0.25">
      <c r="C277" t="s">
        <v>1855</v>
      </c>
      <c r="D277" s="104">
        <v>209097.98</v>
      </c>
      <c r="E277">
        <v>0</v>
      </c>
      <c r="F277">
        <v>0</v>
      </c>
      <c r="G277" s="104">
        <v>209097.98</v>
      </c>
    </row>
    <row r="278" spans="3:7" x14ac:dyDescent="0.25">
      <c r="C278" t="s">
        <v>1828</v>
      </c>
      <c r="D278" s="104">
        <v>772051.11</v>
      </c>
      <c r="E278" s="104">
        <v>127440.48</v>
      </c>
      <c r="F278">
        <v>0</v>
      </c>
      <c r="G278" s="104">
        <v>899491.59</v>
      </c>
    </row>
    <row r="279" spans="3:7" x14ac:dyDescent="0.25">
      <c r="C279" t="s">
        <v>1857</v>
      </c>
      <c r="D279" s="104">
        <v>2754</v>
      </c>
      <c r="E279">
        <v>0</v>
      </c>
      <c r="F279">
        <v>0</v>
      </c>
      <c r="G279" s="104">
        <v>2754</v>
      </c>
    </row>
    <row r="280" spans="3:7" x14ac:dyDescent="0.25">
      <c r="C280" t="s">
        <v>1858</v>
      </c>
      <c r="D280" s="104">
        <v>3305.34</v>
      </c>
      <c r="E280">
        <v>0</v>
      </c>
      <c r="F280">
        <v>0</v>
      </c>
      <c r="G280" s="104">
        <v>3305.34</v>
      </c>
    </row>
    <row r="281" spans="3:7" x14ac:dyDescent="0.25">
      <c r="C281" t="s">
        <v>1754</v>
      </c>
      <c r="D281" s="104">
        <v>5180989.4000000004</v>
      </c>
      <c r="E281" s="104">
        <v>766781.12</v>
      </c>
      <c r="F281" s="104">
        <v>5180989.4000000004</v>
      </c>
      <c r="G281" s="104">
        <v>766781.12</v>
      </c>
    </row>
    <row r="282" spans="3:7" x14ac:dyDescent="0.25">
      <c r="C282" t="s">
        <v>1835</v>
      </c>
      <c r="D282">
        <v>232.86</v>
      </c>
      <c r="E282">
        <v>108.34</v>
      </c>
      <c r="F282">
        <v>0</v>
      </c>
      <c r="G282">
        <v>341.2</v>
      </c>
    </row>
    <row r="283" spans="3:7" x14ac:dyDescent="0.25">
      <c r="C283" t="s">
        <v>1842</v>
      </c>
      <c r="D283" s="104">
        <v>9877.66</v>
      </c>
      <c r="E283">
        <v>0</v>
      </c>
      <c r="F283">
        <v>0</v>
      </c>
      <c r="G283" s="104">
        <v>9877.66</v>
      </c>
    </row>
    <row r="284" spans="3:7" x14ac:dyDescent="0.25">
      <c r="C284" t="s">
        <v>1846</v>
      </c>
      <c r="D284" s="104">
        <v>52412.99</v>
      </c>
      <c r="E284" s="104">
        <v>1666.84</v>
      </c>
      <c r="F284">
        <v>0</v>
      </c>
      <c r="G284" s="104">
        <v>54079.83</v>
      </c>
    </row>
    <row r="285" spans="3:7" x14ac:dyDescent="0.25">
      <c r="C285" t="s">
        <v>1898</v>
      </c>
      <c r="D285" s="104">
        <v>17825</v>
      </c>
      <c r="E285">
        <v>0</v>
      </c>
      <c r="F285">
        <v>0</v>
      </c>
      <c r="G285" s="104">
        <v>17825</v>
      </c>
    </row>
    <row r="286" spans="3:7" x14ac:dyDescent="0.25">
      <c r="C286" t="s">
        <v>1899</v>
      </c>
      <c r="D286" s="104">
        <v>-13334.76</v>
      </c>
      <c r="E286">
        <v>0</v>
      </c>
      <c r="F286">
        <v>0</v>
      </c>
      <c r="G286" s="104">
        <v>-13334.76</v>
      </c>
    </row>
    <row r="287" spans="3:7" x14ac:dyDescent="0.25">
      <c r="C287" t="s">
        <v>1865</v>
      </c>
      <c r="D287" s="104">
        <v>27780.720000000001</v>
      </c>
      <c r="E287">
        <v>0</v>
      </c>
      <c r="F287">
        <v>0</v>
      </c>
      <c r="G287" s="104">
        <v>27780.720000000001</v>
      </c>
    </row>
    <row r="288" spans="3:7" x14ac:dyDescent="0.25">
      <c r="C288" t="s">
        <v>1900</v>
      </c>
      <c r="D288">
        <v>0</v>
      </c>
      <c r="E288">
        <v>0</v>
      </c>
      <c r="F288">
        <v>0</v>
      </c>
      <c r="G288">
        <v>0</v>
      </c>
    </row>
    <row r="289" spans="2:7" x14ac:dyDescent="0.25">
      <c r="C289" t="s">
        <v>1901</v>
      </c>
      <c r="D289">
        <v>0</v>
      </c>
      <c r="E289">
        <v>0</v>
      </c>
      <c r="F289">
        <v>0</v>
      </c>
      <c r="G289">
        <v>0</v>
      </c>
    </row>
    <row r="290" spans="2:7" x14ac:dyDescent="0.25">
      <c r="C290" t="s">
        <v>1881</v>
      </c>
      <c r="D290" s="104">
        <v>-3713.16</v>
      </c>
      <c r="E290">
        <v>0</v>
      </c>
      <c r="F290">
        <v>0</v>
      </c>
      <c r="G290" s="104">
        <v>-3713.16</v>
      </c>
    </row>
    <row r="291" spans="2:7" x14ac:dyDescent="0.25">
      <c r="B291" t="s">
        <v>1587</v>
      </c>
      <c r="D291" s="104">
        <v>243020646.96000001</v>
      </c>
      <c r="E291" s="104">
        <v>1960997.76</v>
      </c>
      <c r="F291" s="104">
        <v>5180989.4000000004</v>
      </c>
      <c r="G291" s="104">
        <v>239800655.31999999</v>
      </c>
    </row>
    <row r="293" spans="2:7" x14ac:dyDescent="0.25">
      <c r="B293" t="s">
        <v>1902</v>
      </c>
      <c r="C293" t="s">
        <v>109</v>
      </c>
    </row>
    <row r="294" spans="2:7" x14ac:dyDescent="0.25">
      <c r="C294" t="s">
        <v>1903</v>
      </c>
      <c r="D294" s="104">
        <v>5349.16</v>
      </c>
      <c r="E294">
        <v>0</v>
      </c>
      <c r="F294">
        <v>0</v>
      </c>
      <c r="G294" s="104">
        <v>5349.16</v>
      </c>
    </row>
    <row r="295" spans="2:7" x14ac:dyDescent="0.25">
      <c r="C295" t="s">
        <v>1904</v>
      </c>
      <c r="D295" s="104">
        <v>5685.1</v>
      </c>
      <c r="E295">
        <v>0</v>
      </c>
      <c r="F295">
        <v>0</v>
      </c>
      <c r="G295" s="104">
        <v>5685.1</v>
      </c>
    </row>
    <row r="296" spans="2:7" x14ac:dyDescent="0.25">
      <c r="C296" t="s">
        <v>1905</v>
      </c>
      <c r="D296" s="104">
        <v>5808.33</v>
      </c>
      <c r="E296">
        <v>0</v>
      </c>
      <c r="F296">
        <v>0</v>
      </c>
      <c r="G296" s="104">
        <v>5808.33</v>
      </c>
    </row>
    <row r="297" spans="2:7" x14ac:dyDescent="0.25">
      <c r="C297" t="s">
        <v>1906</v>
      </c>
      <c r="D297" s="104">
        <v>2261.63</v>
      </c>
      <c r="E297">
        <v>0</v>
      </c>
      <c r="F297">
        <v>0</v>
      </c>
      <c r="G297" s="104">
        <v>2261.63</v>
      </c>
    </row>
    <row r="298" spans="2:7" x14ac:dyDescent="0.25">
      <c r="C298" t="s">
        <v>1907</v>
      </c>
      <c r="D298" s="104">
        <v>2923.45</v>
      </c>
      <c r="E298">
        <v>0</v>
      </c>
      <c r="F298">
        <v>0</v>
      </c>
      <c r="G298" s="104">
        <v>2923.45</v>
      </c>
    </row>
    <row r="299" spans="2:7" x14ac:dyDescent="0.25">
      <c r="C299" t="s">
        <v>1908</v>
      </c>
      <c r="D299" s="104">
        <v>2448.92</v>
      </c>
      <c r="E299">
        <v>0</v>
      </c>
      <c r="F299">
        <v>0</v>
      </c>
      <c r="G299" s="104">
        <v>2448.92</v>
      </c>
    </row>
    <row r="300" spans="2:7" x14ac:dyDescent="0.25">
      <c r="C300" t="s">
        <v>1909</v>
      </c>
      <c r="D300">
        <v>641.41999999999996</v>
      </c>
      <c r="E300">
        <v>0</v>
      </c>
      <c r="F300">
        <v>0</v>
      </c>
      <c r="G300">
        <v>641.41999999999996</v>
      </c>
    </row>
    <row r="301" spans="2:7" x14ac:dyDescent="0.25">
      <c r="C301" t="s">
        <v>1910</v>
      </c>
      <c r="D301" s="104">
        <v>7179.13</v>
      </c>
      <c r="E301">
        <v>0</v>
      </c>
      <c r="F301">
        <v>0</v>
      </c>
      <c r="G301" s="104">
        <v>7179.13</v>
      </c>
    </row>
    <row r="302" spans="2:7" x14ac:dyDescent="0.25">
      <c r="C302" t="s">
        <v>1911</v>
      </c>
      <c r="D302" s="104">
        <v>9325.1200000000008</v>
      </c>
      <c r="E302">
        <v>0</v>
      </c>
      <c r="F302">
        <v>0</v>
      </c>
      <c r="G302" s="104">
        <v>9325.1200000000008</v>
      </c>
    </row>
    <row r="303" spans="2:7" x14ac:dyDescent="0.25">
      <c r="C303" t="s">
        <v>1912</v>
      </c>
      <c r="D303" s="104">
        <v>1343.48</v>
      </c>
      <c r="E303">
        <v>0</v>
      </c>
      <c r="F303">
        <v>0</v>
      </c>
      <c r="G303" s="104">
        <v>1343.48</v>
      </c>
    </row>
    <row r="304" spans="2:7" x14ac:dyDescent="0.25">
      <c r="C304" t="s">
        <v>1913</v>
      </c>
      <c r="D304" s="104">
        <v>3662.45</v>
      </c>
      <c r="E304">
        <v>0</v>
      </c>
      <c r="F304">
        <v>0</v>
      </c>
      <c r="G304" s="104">
        <v>3662.45</v>
      </c>
    </row>
    <row r="305" spans="3:7" x14ac:dyDescent="0.25">
      <c r="C305" t="s">
        <v>1914</v>
      </c>
      <c r="D305" s="104">
        <v>3351.39</v>
      </c>
      <c r="E305">
        <v>0</v>
      </c>
      <c r="F305">
        <v>0</v>
      </c>
      <c r="G305" s="104">
        <v>3351.39</v>
      </c>
    </row>
    <row r="306" spans="3:7" x14ac:dyDescent="0.25">
      <c r="C306" t="s">
        <v>1915</v>
      </c>
      <c r="D306" s="104">
        <v>6175.54</v>
      </c>
      <c r="E306">
        <v>0</v>
      </c>
      <c r="F306">
        <v>0</v>
      </c>
      <c r="G306" s="104">
        <v>6175.54</v>
      </c>
    </row>
    <row r="307" spans="3:7" x14ac:dyDescent="0.25">
      <c r="C307" t="s">
        <v>1916</v>
      </c>
      <c r="D307">
        <v>272.07</v>
      </c>
      <c r="E307">
        <v>0</v>
      </c>
      <c r="F307">
        <v>0</v>
      </c>
      <c r="G307">
        <v>272.07</v>
      </c>
    </row>
    <row r="308" spans="3:7" x14ac:dyDescent="0.25">
      <c r="C308" t="s">
        <v>1917</v>
      </c>
      <c r="D308" s="104">
        <v>1250.49</v>
      </c>
      <c r="E308">
        <v>0</v>
      </c>
      <c r="F308">
        <v>0</v>
      </c>
      <c r="G308" s="104">
        <v>1250.49</v>
      </c>
    </row>
    <row r="309" spans="3:7" x14ac:dyDescent="0.25">
      <c r="C309" t="s">
        <v>1918</v>
      </c>
      <c r="D309" s="104">
        <v>7809.99</v>
      </c>
      <c r="E309">
        <v>0</v>
      </c>
      <c r="F309">
        <v>0</v>
      </c>
      <c r="G309" s="104">
        <v>7809.99</v>
      </c>
    </row>
    <row r="310" spans="3:7" x14ac:dyDescent="0.25">
      <c r="C310" t="s">
        <v>1919</v>
      </c>
      <c r="D310" s="104">
        <v>3946.28</v>
      </c>
      <c r="E310">
        <v>0</v>
      </c>
      <c r="F310">
        <v>0</v>
      </c>
      <c r="G310" s="104">
        <v>3946.28</v>
      </c>
    </row>
    <row r="311" spans="3:7" x14ac:dyDescent="0.25">
      <c r="C311" t="s">
        <v>1920</v>
      </c>
      <c r="D311" s="104">
        <v>3551.02</v>
      </c>
      <c r="E311">
        <v>0</v>
      </c>
      <c r="F311">
        <v>0</v>
      </c>
      <c r="G311" s="104">
        <v>3551.02</v>
      </c>
    </row>
    <row r="312" spans="3:7" x14ac:dyDescent="0.25">
      <c r="C312" t="s">
        <v>1921</v>
      </c>
      <c r="D312" s="104">
        <v>8624.83</v>
      </c>
      <c r="E312">
        <v>0</v>
      </c>
      <c r="F312">
        <v>0</v>
      </c>
      <c r="G312" s="104">
        <v>8624.83</v>
      </c>
    </row>
    <row r="313" spans="3:7" x14ac:dyDescent="0.25">
      <c r="C313" t="s">
        <v>1922</v>
      </c>
      <c r="D313">
        <v>734.17</v>
      </c>
      <c r="E313">
        <v>0</v>
      </c>
      <c r="F313">
        <v>0</v>
      </c>
      <c r="G313">
        <v>734.17</v>
      </c>
    </row>
    <row r="314" spans="3:7" x14ac:dyDescent="0.25">
      <c r="C314" t="s">
        <v>1923</v>
      </c>
      <c r="D314">
        <v>209.07</v>
      </c>
      <c r="E314">
        <v>0</v>
      </c>
      <c r="F314">
        <v>0</v>
      </c>
      <c r="G314">
        <v>209.07</v>
      </c>
    </row>
    <row r="315" spans="3:7" x14ac:dyDescent="0.25">
      <c r="C315" t="s">
        <v>1924</v>
      </c>
      <c r="D315" s="104">
        <v>5190.5600000000004</v>
      </c>
      <c r="E315">
        <v>0</v>
      </c>
      <c r="F315">
        <v>0</v>
      </c>
      <c r="G315" s="104">
        <v>5190.5600000000004</v>
      </c>
    </row>
    <row r="316" spans="3:7" x14ac:dyDescent="0.25">
      <c r="C316" t="s">
        <v>1925</v>
      </c>
      <c r="D316" s="104">
        <v>20353.39</v>
      </c>
      <c r="E316">
        <v>0</v>
      </c>
      <c r="F316">
        <v>0</v>
      </c>
      <c r="G316" s="104">
        <v>20353.39</v>
      </c>
    </row>
    <row r="317" spans="3:7" x14ac:dyDescent="0.25">
      <c r="C317" t="s">
        <v>1926</v>
      </c>
      <c r="D317" s="104">
        <v>2959.49</v>
      </c>
      <c r="E317">
        <v>0</v>
      </c>
      <c r="F317">
        <v>0</v>
      </c>
      <c r="G317" s="104">
        <v>2959.49</v>
      </c>
    </row>
    <row r="318" spans="3:7" x14ac:dyDescent="0.25">
      <c r="C318" t="s">
        <v>1927</v>
      </c>
      <c r="D318">
        <v>821.21</v>
      </c>
      <c r="E318">
        <v>0</v>
      </c>
      <c r="F318">
        <v>0</v>
      </c>
      <c r="G318">
        <v>821.21</v>
      </c>
    </row>
    <row r="319" spans="3:7" x14ac:dyDescent="0.25">
      <c r="C319" t="s">
        <v>1928</v>
      </c>
      <c r="D319">
        <v>44.18</v>
      </c>
      <c r="E319">
        <v>0</v>
      </c>
      <c r="F319">
        <v>0</v>
      </c>
      <c r="G319">
        <v>44.18</v>
      </c>
    </row>
    <row r="320" spans="3:7" x14ac:dyDescent="0.25">
      <c r="C320" t="s">
        <v>1929</v>
      </c>
      <c r="D320" s="104">
        <v>2553.79</v>
      </c>
      <c r="E320">
        <v>0</v>
      </c>
      <c r="F320">
        <v>0</v>
      </c>
      <c r="G320" s="104">
        <v>2553.79</v>
      </c>
    </row>
    <row r="321" spans="3:7" x14ac:dyDescent="0.25">
      <c r="C321" t="s">
        <v>1930</v>
      </c>
      <c r="D321" s="104">
        <v>2228.38</v>
      </c>
      <c r="E321">
        <v>0</v>
      </c>
      <c r="F321">
        <v>0</v>
      </c>
      <c r="G321" s="104">
        <v>2228.38</v>
      </c>
    </row>
    <row r="322" spans="3:7" x14ac:dyDescent="0.25">
      <c r="C322" t="s">
        <v>1931</v>
      </c>
      <c r="D322">
        <v>522.19000000000005</v>
      </c>
      <c r="E322">
        <v>0</v>
      </c>
      <c r="F322">
        <v>0</v>
      </c>
      <c r="G322">
        <v>522.19000000000005</v>
      </c>
    </row>
    <row r="323" spans="3:7" x14ac:dyDescent="0.25">
      <c r="C323" t="s">
        <v>1932</v>
      </c>
      <c r="D323" s="104">
        <v>1944</v>
      </c>
      <c r="E323">
        <v>0</v>
      </c>
      <c r="F323">
        <v>0</v>
      </c>
      <c r="G323" s="104">
        <v>1944</v>
      </c>
    </row>
    <row r="324" spans="3:7" x14ac:dyDescent="0.25">
      <c r="C324" t="s">
        <v>1933</v>
      </c>
      <c r="D324">
        <v>506.89</v>
      </c>
      <c r="E324">
        <v>0</v>
      </c>
      <c r="F324">
        <v>0</v>
      </c>
      <c r="G324">
        <v>506.89</v>
      </c>
    </row>
    <row r="325" spans="3:7" x14ac:dyDescent="0.25">
      <c r="C325" t="s">
        <v>1934</v>
      </c>
      <c r="D325">
        <v>120</v>
      </c>
      <c r="E325">
        <v>0</v>
      </c>
      <c r="F325">
        <v>0</v>
      </c>
      <c r="G325">
        <v>120</v>
      </c>
    </row>
    <row r="326" spans="3:7" x14ac:dyDescent="0.25">
      <c r="C326" t="s">
        <v>1935</v>
      </c>
      <c r="D326">
        <v>961.58</v>
      </c>
      <c r="E326">
        <v>0</v>
      </c>
      <c r="F326">
        <v>0</v>
      </c>
      <c r="G326">
        <v>961.58</v>
      </c>
    </row>
    <row r="327" spans="3:7" x14ac:dyDescent="0.25">
      <c r="C327" t="s">
        <v>1936</v>
      </c>
      <c r="D327">
        <v>105.02</v>
      </c>
      <c r="E327">
        <v>0</v>
      </c>
      <c r="F327">
        <v>0</v>
      </c>
      <c r="G327">
        <v>105.02</v>
      </c>
    </row>
    <row r="328" spans="3:7" x14ac:dyDescent="0.25">
      <c r="C328" t="s">
        <v>1937</v>
      </c>
      <c r="D328" s="104">
        <v>29585.98</v>
      </c>
      <c r="E328">
        <v>0</v>
      </c>
      <c r="F328">
        <v>0</v>
      </c>
      <c r="G328" s="104">
        <v>29585.98</v>
      </c>
    </row>
    <row r="329" spans="3:7" x14ac:dyDescent="0.25">
      <c r="C329" t="s">
        <v>1938</v>
      </c>
      <c r="D329" s="104">
        <v>92319</v>
      </c>
      <c r="E329">
        <v>0</v>
      </c>
      <c r="F329">
        <v>0</v>
      </c>
      <c r="G329" s="104">
        <v>92319</v>
      </c>
    </row>
    <row r="330" spans="3:7" x14ac:dyDescent="0.25">
      <c r="C330" t="s">
        <v>1939</v>
      </c>
      <c r="D330" s="104">
        <v>27218.560000000001</v>
      </c>
      <c r="E330">
        <v>0</v>
      </c>
      <c r="F330">
        <v>0</v>
      </c>
      <c r="G330" s="104">
        <v>27218.560000000001</v>
      </c>
    </row>
    <row r="331" spans="3:7" x14ac:dyDescent="0.25">
      <c r="C331" t="s">
        <v>1940</v>
      </c>
      <c r="D331">
        <v>0</v>
      </c>
      <c r="E331">
        <v>0</v>
      </c>
      <c r="F331">
        <v>0</v>
      </c>
      <c r="G331">
        <v>0</v>
      </c>
    </row>
    <row r="332" spans="3:7" x14ac:dyDescent="0.25">
      <c r="C332" t="s">
        <v>1941</v>
      </c>
      <c r="D332" s="104">
        <v>11020.21</v>
      </c>
      <c r="E332">
        <v>0</v>
      </c>
      <c r="F332">
        <v>0</v>
      </c>
      <c r="G332" s="104">
        <v>11020.21</v>
      </c>
    </row>
    <row r="333" spans="3:7" x14ac:dyDescent="0.25">
      <c r="C333" t="s">
        <v>1942</v>
      </c>
      <c r="D333" s="104">
        <v>2925.86</v>
      </c>
      <c r="E333">
        <v>0</v>
      </c>
      <c r="F333">
        <v>0</v>
      </c>
      <c r="G333" s="104">
        <v>2925.86</v>
      </c>
    </row>
    <row r="334" spans="3:7" x14ac:dyDescent="0.25">
      <c r="C334" t="s">
        <v>1943</v>
      </c>
      <c r="D334" s="104">
        <v>26619.759999999998</v>
      </c>
      <c r="E334">
        <v>0</v>
      </c>
      <c r="F334">
        <v>0</v>
      </c>
      <c r="G334" s="104">
        <v>26619.759999999998</v>
      </c>
    </row>
    <row r="335" spans="3:7" x14ac:dyDescent="0.25">
      <c r="C335" t="s">
        <v>1944</v>
      </c>
      <c r="D335" s="104">
        <v>14916.66</v>
      </c>
      <c r="E335">
        <v>0</v>
      </c>
      <c r="F335">
        <v>0</v>
      </c>
      <c r="G335" s="104">
        <v>14916.66</v>
      </c>
    </row>
    <row r="336" spans="3:7" x14ac:dyDescent="0.25">
      <c r="C336" t="s">
        <v>1945</v>
      </c>
      <c r="D336" s="104">
        <v>93668.77</v>
      </c>
      <c r="E336">
        <v>0</v>
      </c>
      <c r="F336">
        <v>0</v>
      </c>
      <c r="G336" s="104">
        <v>93668.77</v>
      </c>
    </row>
    <row r="337" spans="3:7" x14ac:dyDescent="0.25">
      <c r="C337" t="s">
        <v>1946</v>
      </c>
      <c r="D337" s="104">
        <v>47000</v>
      </c>
      <c r="E337">
        <v>0</v>
      </c>
      <c r="F337">
        <v>0</v>
      </c>
      <c r="G337" s="104">
        <v>47000</v>
      </c>
    </row>
    <row r="338" spans="3:7" x14ac:dyDescent="0.25">
      <c r="C338" t="s">
        <v>1947</v>
      </c>
      <c r="D338" s="104">
        <v>24395.56</v>
      </c>
      <c r="E338">
        <v>0</v>
      </c>
      <c r="F338">
        <v>0</v>
      </c>
      <c r="G338" s="104">
        <v>24395.56</v>
      </c>
    </row>
    <row r="339" spans="3:7" x14ac:dyDescent="0.25">
      <c r="C339" t="s">
        <v>1819</v>
      </c>
      <c r="D339" s="104">
        <v>1956.61</v>
      </c>
      <c r="E339">
        <v>0</v>
      </c>
      <c r="F339">
        <v>0</v>
      </c>
      <c r="G339" s="104">
        <v>1956.61</v>
      </c>
    </row>
    <row r="340" spans="3:7" x14ac:dyDescent="0.25">
      <c r="C340" t="s">
        <v>1948</v>
      </c>
      <c r="D340" s="104">
        <v>9000</v>
      </c>
      <c r="E340">
        <v>0</v>
      </c>
      <c r="F340">
        <v>0</v>
      </c>
      <c r="G340" s="104">
        <v>9000</v>
      </c>
    </row>
    <row r="341" spans="3:7" x14ac:dyDescent="0.25">
      <c r="C341" t="s">
        <v>1949</v>
      </c>
      <c r="D341" s="104">
        <v>9000</v>
      </c>
      <c r="E341">
        <v>0</v>
      </c>
      <c r="F341">
        <v>0</v>
      </c>
      <c r="G341" s="104">
        <v>9000</v>
      </c>
    </row>
    <row r="342" spans="3:7" x14ac:dyDescent="0.25">
      <c r="C342" t="s">
        <v>1950</v>
      </c>
      <c r="D342" s="104">
        <v>2000</v>
      </c>
      <c r="E342">
        <v>0</v>
      </c>
      <c r="F342">
        <v>0</v>
      </c>
      <c r="G342" s="104">
        <v>2000</v>
      </c>
    </row>
    <row r="343" spans="3:7" x14ac:dyDescent="0.25">
      <c r="C343" t="s">
        <v>1951</v>
      </c>
      <c r="D343" s="104">
        <v>20000</v>
      </c>
      <c r="E343">
        <v>0</v>
      </c>
      <c r="F343">
        <v>0</v>
      </c>
      <c r="G343" s="104">
        <v>20000</v>
      </c>
    </row>
    <row r="344" spans="3:7" x14ac:dyDescent="0.25">
      <c r="C344" t="s">
        <v>1952</v>
      </c>
      <c r="D344">
        <v>0</v>
      </c>
      <c r="E344">
        <v>0</v>
      </c>
      <c r="F344">
        <v>0</v>
      </c>
      <c r="G344">
        <v>0</v>
      </c>
    </row>
    <row r="345" spans="3:7" x14ac:dyDescent="0.25">
      <c r="C345" t="s">
        <v>1953</v>
      </c>
      <c r="D345">
        <v>318.60000000000002</v>
      </c>
      <c r="E345">
        <v>0</v>
      </c>
      <c r="F345">
        <v>0</v>
      </c>
      <c r="G345">
        <v>318.60000000000002</v>
      </c>
    </row>
    <row r="346" spans="3:7" x14ac:dyDescent="0.25">
      <c r="C346" t="s">
        <v>1791</v>
      </c>
      <c r="D346" s="104">
        <v>170529.24</v>
      </c>
      <c r="E346">
        <v>0</v>
      </c>
      <c r="F346">
        <v>0</v>
      </c>
      <c r="G346" s="104">
        <v>170529.24</v>
      </c>
    </row>
    <row r="347" spans="3:7" x14ac:dyDescent="0.25">
      <c r="C347" t="s">
        <v>1854</v>
      </c>
      <c r="D347" s="104">
        <v>3545503.21</v>
      </c>
      <c r="E347">
        <v>0</v>
      </c>
      <c r="F347">
        <v>0</v>
      </c>
      <c r="G347" s="104">
        <v>3545503.21</v>
      </c>
    </row>
    <row r="348" spans="3:7" x14ac:dyDescent="0.25">
      <c r="C348" t="s">
        <v>1897</v>
      </c>
      <c r="D348" s="104">
        <v>19754249.800000001</v>
      </c>
      <c r="E348">
        <v>0</v>
      </c>
      <c r="F348">
        <v>0</v>
      </c>
      <c r="G348" s="104">
        <v>19754249.800000001</v>
      </c>
    </row>
    <row r="349" spans="3:7" x14ac:dyDescent="0.25">
      <c r="C349" t="s">
        <v>1783</v>
      </c>
      <c r="D349" s="104">
        <v>93724.46</v>
      </c>
      <c r="E349" s="104">
        <v>31999.59</v>
      </c>
      <c r="F349">
        <v>0</v>
      </c>
      <c r="G349" s="104">
        <v>125724.05</v>
      </c>
    </row>
    <row r="350" spans="3:7" x14ac:dyDescent="0.25">
      <c r="C350" t="s">
        <v>1820</v>
      </c>
      <c r="D350" s="104">
        <v>-433960.56</v>
      </c>
      <c r="E350" s="104">
        <v>165324.9</v>
      </c>
      <c r="F350" s="104">
        <v>165324.9</v>
      </c>
      <c r="G350" s="104">
        <v>-433960.56</v>
      </c>
    </row>
    <row r="351" spans="3:7" x14ac:dyDescent="0.25">
      <c r="C351" t="s">
        <v>1954</v>
      </c>
      <c r="D351" s="104">
        <v>-1565714.09</v>
      </c>
      <c r="E351">
        <v>0</v>
      </c>
      <c r="F351">
        <v>0</v>
      </c>
      <c r="G351" s="104">
        <v>-1565714.09</v>
      </c>
    </row>
    <row r="352" spans="3:7" x14ac:dyDescent="0.25">
      <c r="C352" t="s">
        <v>1955</v>
      </c>
      <c r="D352" s="104">
        <v>36299146.350000001</v>
      </c>
      <c r="E352">
        <v>0</v>
      </c>
      <c r="F352">
        <v>0</v>
      </c>
      <c r="G352" s="104">
        <v>36299146.350000001</v>
      </c>
    </row>
    <row r="353" spans="3:7" x14ac:dyDescent="0.25">
      <c r="C353" t="s">
        <v>1893</v>
      </c>
      <c r="D353">
        <v>961.8</v>
      </c>
      <c r="E353">
        <v>0</v>
      </c>
      <c r="F353">
        <v>0</v>
      </c>
      <c r="G353">
        <v>961.8</v>
      </c>
    </row>
    <row r="354" spans="3:7" x14ac:dyDescent="0.25">
      <c r="C354" t="s">
        <v>1956</v>
      </c>
      <c r="D354" s="104">
        <v>5539.65</v>
      </c>
      <c r="E354">
        <v>0</v>
      </c>
      <c r="F354">
        <v>0</v>
      </c>
      <c r="G354" s="104">
        <v>5539.65</v>
      </c>
    </row>
    <row r="355" spans="3:7" x14ac:dyDescent="0.25">
      <c r="C355" t="s">
        <v>1822</v>
      </c>
      <c r="D355" s="104">
        <v>41613.74</v>
      </c>
      <c r="E355" s="104">
        <v>36188.660000000003</v>
      </c>
      <c r="F355" s="104">
        <v>7140</v>
      </c>
      <c r="G355" s="104">
        <v>70662.399999999994</v>
      </c>
    </row>
    <row r="356" spans="3:7" x14ac:dyDescent="0.25">
      <c r="C356" t="s">
        <v>1823</v>
      </c>
      <c r="D356" s="104">
        <v>136863.85</v>
      </c>
      <c r="E356" s="104">
        <v>52616.1</v>
      </c>
      <c r="F356" s="104">
        <v>105232.2</v>
      </c>
      <c r="G356" s="104">
        <v>84247.75</v>
      </c>
    </row>
    <row r="357" spans="3:7" x14ac:dyDescent="0.25">
      <c r="C357" t="s">
        <v>1741</v>
      </c>
      <c r="D357" s="104">
        <v>9580</v>
      </c>
      <c r="E357">
        <v>0</v>
      </c>
      <c r="F357">
        <v>0</v>
      </c>
      <c r="G357" s="104">
        <v>9580</v>
      </c>
    </row>
    <row r="358" spans="3:7" x14ac:dyDescent="0.25">
      <c r="C358" t="s">
        <v>1824</v>
      </c>
      <c r="D358" s="104">
        <v>75058.83</v>
      </c>
      <c r="E358">
        <v>0</v>
      </c>
      <c r="F358">
        <v>0</v>
      </c>
      <c r="G358" s="104">
        <v>75058.83</v>
      </c>
    </row>
    <row r="359" spans="3:7" x14ac:dyDescent="0.25">
      <c r="C359" t="s">
        <v>1784</v>
      </c>
      <c r="D359" s="104">
        <v>129304.82</v>
      </c>
      <c r="E359" s="104">
        <v>27253.99</v>
      </c>
      <c r="F359">
        <v>0</v>
      </c>
      <c r="G359" s="104">
        <v>156558.81</v>
      </c>
    </row>
    <row r="360" spans="3:7" x14ac:dyDescent="0.25">
      <c r="C360" t="s">
        <v>1825</v>
      </c>
      <c r="D360" s="104">
        <v>5093.2700000000004</v>
      </c>
      <c r="E360">
        <v>0</v>
      </c>
      <c r="F360">
        <v>0</v>
      </c>
      <c r="G360" s="104">
        <v>5093.2700000000004</v>
      </c>
    </row>
    <row r="361" spans="3:7" x14ac:dyDescent="0.25">
      <c r="C361" t="s">
        <v>1785</v>
      </c>
      <c r="D361" s="104">
        <v>68224.66</v>
      </c>
      <c r="E361" s="104">
        <v>40383.78</v>
      </c>
      <c r="F361">
        <v>0</v>
      </c>
      <c r="G361" s="104">
        <v>108608.44</v>
      </c>
    </row>
    <row r="362" spans="3:7" x14ac:dyDescent="0.25">
      <c r="C362" t="s">
        <v>1957</v>
      </c>
      <c r="D362">
        <v>595.48</v>
      </c>
      <c r="E362">
        <v>0</v>
      </c>
      <c r="F362">
        <v>0</v>
      </c>
      <c r="G362">
        <v>595.48</v>
      </c>
    </row>
    <row r="363" spans="3:7" x14ac:dyDescent="0.25">
      <c r="C363" t="s">
        <v>1826</v>
      </c>
      <c r="D363" s="104">
        <v>43073.120000000003</v>
      </c>
      <c r="E363">
        <v>0</v>
      </c>
      <c r="F363">
        <v>0</v>
      </c>
      <c r="G363" s="104">
        <v>43073.120000000003</v>
      </c>
    </row>
    <row r="364" spans="3:7" x14ac:dyDescent="0.25">
      <c r="C364" t="s">
        <v>1786</v>
      </c>
      <c r="D364" s="104">
        <v>645370.28</v>
      </c>
      <c r="E364" s="104">
        <v>71950.3</v>
      </c>
      <c r="F364" s="104">
        <v>505309.93</v>
      </c>
      <c r="G364" s="104">
        <v>212010.65</v>
      </c>
    </row>
    <row r="365" spans="3:7" x14ac:dyDescent="0.25">
      <c r="C365" t="s">
        <v>1958</v>
      </c>
      <c r="D365" s="104">
        <v>50760</v>
      </c>
      <c r="E365">
        <v>0</v>
      </c>
      <c r="F365">
        <v>0</v>
      </c>
      <c r="G365" s="104">
        <v>50760</v>
      </c>
    </row>
    <row r="366" spans="3:7" x14ac:dyDescent="0.25">
      <c r="C366" t="s">
        <v>1765</v>
      </c>
      <c r="D366">
        <v>711.14</v>
      </c>
      <c r="E366">
        <v>0</v>
      </c>
      <c r="F366">
        <v>0</v>
      </c>
      <c r="G366">
        <v>711.14</v>
      </c>
    </row>
    <row r="367" spans="3:7" x14ac:dyDescent="0.25">
      <c r="C367" t="s">
        <v>1855</v>
      </c>
      <c r="D367" s="104">
        <v>12499.93</v>
      </c>
      <c r="E367">
        <v>0</v>
      </c>
      <c r="F367">
        <v>0</v>
      </c>
      <c r="G367" s="104">
        <v>12499.93</v>
      </c>
    </row>
    <row r="368" spans="3:7" x14ac:dyDescent="0.25">
      <c r="C368" t="s">
        <v>1828</v>
      </c>
      <c r="D368" s="104">
        <v>831171.23</v>
      </c>
      <c r="E368">
        <v>0</v>
      </c>
      <c r="F368">
        <v>0</v>
      </c>
      <c r="G368" s="104">
        <v>831171.23</v>
      </c>
    </row>
    <row r="369" spans="3:7" x14ac:dyDescent="0.25">
      <c r="C369" t="s">
        <v>1787</v>
      </c>
      <c r="D369" s="104">
        <v>392969.1</v>
      </c>
      <c r="E369" s="104">
        <v>64995.75</v>
      </c>
      <c r="F369">
        <v>0</v>
      </c>
      <c r="G369" s="104">
        <v>457964.85</v>
      </c>
    </row>
    <row r="370" spans="3:7" x14ac:dyDescent="0.25">
      <c r="C370" t="s">
        <v>1788</v>
      </c>
      <c r="D370" s="104">
        <v>20680.919999999998</v>
      </c>
      <c r="E370" s="104">
        <v>5624.49</v>
      </c>
      <c r="F370">
        <v>0</v>
      </c>
      <c r="G370" s="104">
        <v>26305.41</v>
      </c>
    </row>
    <row r="371" spans="3:7" x14ac:dyDescent="0.25">
      <c r="C371" t="s">
        <v>1768</v>
      </c>
      <c r="D371" s="104">
        <v>2643127.4900000002</v>
      </c>
      <c r="E371">
        <v>0</v>
      </c>
      <c r="F371">
        <v>0</v>
      </c>
      <c r="G371" s="104">
        <v>2643127.4900000002</v>
      </c>
    </row>
    <row r="372" spans="3:7" x14ac:dyDescent="0.25">
      <c r="C372" t="s">
        <v>1857</v>
      </c>
      <c r="D372" s="104">
        <v>1162.82</v>
      </c>
      <c r="E372">
        <v>0</v>
      </c>
      <c r="F372">
        <v>0</v>
      </c>
      <c r="G372" s="104">
        <v>1162.82</v>
      </c>
    </row>
    <row r="373" spans="3:7" x14ac:dyDescent="0.25">
      <c r="C373" t="s">
        <v>1858</v>
      </c>
      <c r="D373" s="104">
        <v>-3505.91</v>
      </c>
      <c r="E373">
        <v>0</v>
      </c>
      <c r="F373">
        <v>0</v>
      </c>
      <c r="G373" s="104">
        <v>-3505.91</v>
      </c>
    </row>
    <row r="374" spans="3:7" x14ac:dyDescent="0.25">
      <c r="C374" t="s">
        <v>1959</v>
      </c>
      <c r="D374">
        <v>100</v>
      </c>
      <c r="E374">
        <v>0</v>
      </c>
      <c r="F374">
        <v>0</v>
      </c>
      <c r="G374">
        <v>100</v>
      </c>
    </row>
    <row r="375" spans="3:7" x14ac:dyDescent="0.25">
      <c r="C375" t="s">
        <v>1960</v>
      </c>
      <c r="D375" s="104">
        <v>1574.25</v>
      </c>
      <c r="E375">
        <v>0</v>
      </c>
      <c r="F375">
        <v>0</v>
      </c>
      <c r="G375" s="104">
        <v>1574.25</v>
      </c>
    </row>
    <row r="376" spans="3:7" x14ac:dyDescent="0.25">
      <c r="C376" t="s">
        <v>1961</v>
      </c>
      <c r="D376" s="104">
        <v>15277899.199999999</v>
      </c>
      <c r="E376">
        <v>0</v>
      </c>
      <c r="F376">
        <v>0</v>
      </c>
      <c r="G376" s="104">
        <v>15277899.199999999</v>
      </c>
    </row>
    <row r="377" spans="3:7" x14ac:dyDescent="0.25">
      <c r="C377" t="s">
        <v>1754</v>
      </c>
      <c r="D377" s="104">
        <v>190619.85</v>
      </c>
      <c r="E377">
        <v>0</v>
      </c>
      <c r="F377" s="104">
        <v>190619.85</v>
      </c>
      <c r="G377">
        <v>0</v>
      </c>
    </row>
    <row r="378" spans="3:7" x14ac:dyDescent="0.25">
      <c r="C378" t="s">
        <v>1962</v>
      </c>
      <c r="D378">
        <v>392.5</v>
      </c>
      <c r="E378">
        <v>0</v>
      </c>
      <c r="F378">
        <v>0</v>
      </c>
      <c r="G378">
        <v>392.5</v>
      </c>
    </row>
    <row r="379" spans="3:7" x14ac:dyDescent="0.25">
      <c r="C379" t="s">
        <v>1895</v>
      </c>
      <c r="D379" s="104">
        <v>1726.04</v>
      </c>
      <c r="E379">
        <v>0</v>
      </c>
      <c r="F379">
        <v>0</v>
      </c>
      <c r="G379" s="104">
        <v>1726.04</v>
      </c>
    </row>
    <row r="380" spans="3:7" x14ac:dyDescent="0.25">
      <c r="C380" t="s">
        <v>1963</v>
      </c>
      <c r="D380" s="104">
        <v>20557.53</v>
      </c>
      <c r="E380">
        <v>0</v>
      </c>
      <c r="F380">
        <v>0</v>
      </c>
      <c r="G380" s="104">
        <v>20557.53</v>
      </c>
    </row>
    <row r="381" spans="3:7" x14ac:dyDescent="0.25">
      <c r="C381" t="s">
        <v>1964</v>
      </c>
      <c r="D381" s="104">
        <v>-11263982.060000001</v>
      </c>
      <c r="E381">
        <v>0</v>
      </c>
      <c r="F381">
        <v>0</v>
      </c>
      <c r="G381" s="104">
        <v>-11263982.060000001</v>
      </c>
    </row>
    <row r="382" spans="3:7" x14ac:dyDescent="0.25">
      <c r="C382" t="s">
        <v>1761</v>
      </c>
      <c r="D382" s="104">
        <v>64014.86</v>
      </c>
      <c r="E382" s="104">
        <v>2118.31</v>
      </c>
      <c r="F382">
        <v>0</v>
      </c>
      <c r="G382" s="104">
        <v>66133.17</v>
      </c>
    </row>
    <row r="383" spans="3:7" x14ac:dyDescent="0.25">
      <c r="C383" t="s">
        <v>1965</v>
      </c>
      <c r="D383">
        <v>708.16</v>
      </c>
      <c r="E383">
        <v>0</v>
      </c>
      <c r="F383">
        <v>0</v>
      </c>
      <c r="G383">
        <v>708.16</v>
      </c>
    </row>
    <row r="384" spans="3:7" x14ac:dyDescent="0.25">
      <c r="C384" t="s">
        <v>1793</v>
      </c>
      <c r="D384" s="104">
        <v>639376.68000000005</v>
      </c>
      <c r="E384">
        <v>0</v>
      </c>
      <c r="F384">
        <v>0</v>
      </c>
      <c r="G384" s="104">
        <v>639376.68000000005</v>
      </c>
    </row>
    <row r="385" spans="3:7" x14ac:dyDescent="0.25">
      <c r="C385" t="s">
        <v>1830</v>
      </c>
      <c r="D385" s="104">
        <v>376556.34</v>
      </c>
      <c r="E385" s="104">
        <v>12919.8</v>
      </c>
      <c r="F385" s="104">
        <v>12919.8</v>
      </c>
      <c r="G385" s="104">
        <v>376556.34</v>
      </c>
    </row>
    <row r="386" spans="3:7" x14ac:dyDescent="0.25">
      <c r="C386" t="s">
        <v>1832</v>
      </c>
      <c r="D386" s="104">
        <v>2346.06</v>
      </c>
      <c r="E386">
        <v>0</v>
      </c>
      <c r="F386">
        <v>0</v>
      </c>
      <c r="G386" s="104">
        <v>2346.06</v>
      </c>
    </row>
    <row r="387" spans="3:7" x14ac:dyDescent="0.25">
      <c r="C387" t="s">
        <v>1966</v>
      </c>
      <c r="D387">
        <v>143.5</v>
      </c>
      <c r="E387">
        <v>0</v>
      </c>
      <c r="F387">
        <v>0</v>
      </c>
      <c r="G387">
        <v>143.5</v>
      </c>
    </row>
    <row r="388" spans="3:7" x14ac:dyDescent="0.25">
      <c r="C388" t="s">
        <v>1967</v>
      </c>
      <c r="D388" s="104">
        <v>3396.7</v>
      </c>
      <c r="E388">
        <v>0</v>
      </c>
      <c r="F388">
        <v>0</v>
      </c>
      <c r="G388" s="104">
        <v>3396.7</v>
      </c>
    </row>
    <row r="389" spans="3:7" x14ac:dyDescent="0.25">
      <c r="C389" t="s">
        <v>1833</v>
      </c>
      <c r="D389" s="104">
        <v>114329.88</v>
      </c>
      <c r="E389">
        <v>0</v>
      </c>
      <c r="F389">
        <v>0</v>
      </c>
      <c r="G389" s="104">
        <v>114329.88</v>
      </c>
    </row>
    <row r="390" spans="3:7" x14ac:dyDescent="0.25">
      <c r="C390" t="s">
        <v>1762</v>
      </c>
      <c r="D390" s="104">
        <v>64338.720000000001</v>
      </c>
      <c r="E390" s="104">
        <v>2040.54</v>
      </c>
      <c r="F390">
        <v>0</v>
      </c>
      <c r="G390" s="104">
        <v>66379.259999999995</v>
      </c>
    </row>
    <row r="391" spans="3:7" x14ac:dyDescent="0.25">
      <c r="C391" t="s">
        <v>1755</v>
      </c>
      <c r="D391" s="104">
        <v>52882.1</v>
      </c>
      <c r="E391">
        <v>0</v>
      </c>
      <c r="F391">
        <v>0</v>
      </c>
      <c r="G391" s="104">
        <v>52882.1</v>
      </c>
    </row>
    <row r="392" spans="3:7" x14ac:dyDescent="0.25">
      <c r="C392" t="s">
        <v>1772</v>
      </c>
      <c r="D392" s="104">
        <v>1884.75</v>
      </c>
      <c r="E392">
        <v>0</v>
      </c>
      <c r="F392">
        <v>0</v>
      </c>
      <c r="G392" s="104">
        <v>1884.75</v>
      </c>
    </row>
    <row r="393" spans="3:7" x14ac:dyDescent="0.25">
      <c r="C393" t="s">
        <v>1968</v>
      </c>
      <c r="D393" s="104">
        <v>565566.81000000006</v>
      </c>
      <c r="E393">
        <v>0</v>
      </c>
      <c r="F393">
        <v>0</v>
      </c>
      <c r="G393" s="104">
        <v>565566.81000000006</v>
      </c>
    </row>
    <row r="394" spans="3:7" x14ac:dyDescent="0.25">
      <c r="C394" t="s">
        <v>1834</v>
      </c>
      <c r="D394" s="104">
        <v>3830639.97</v>
      </c>
      <c r="E394">
        <v>0</v>
      </c>
      <c r="F394">
        <v>0</v>
      </c>
      <c r="G394" s="104">
        <v>3830639.97</v>
      </c>
    </row>
    <row r="395" spans="3:7" x14ac:dyDescent="0.25">
      <c r="C395" t="s">
        <v>1773</v>
      </c>
      <c r="D395" s="104">
        <v>4494.6400000000003</v>
      </c>
      <c r="E395">
        <v>0</v>
      </c>
      <c r="F395">
        <v>0</v>
      </c>
      <c r="G395" s="104">
        <v>4494.6400000000003</v>
      </c>
    </row>
    <row r="396" spans="3:7" x14ac:dyDescent="0.25">
      <c r="C396" t="s">
        <v>1835</v>
      </c>
      <c r="D396">
        <v>308.83999999999997</v>
      </c>
      <c r="E396">
        <v>0</v>
      </c>
      <c r="F396">
        <v>0</v>
      </c>
      <c r="G396">
        <v>308.83999999999997</v>
      </c>
    </row>
    <row r="397" spans="3:7" x14ac:dyDescent="0.25">
      <c r="C397" t="s">
        <v>1969</v>
      </c>
      <c r="D397" s="104">
        <v>69127.23</v>
      </c>
      <c r="E397">
        <v>0</v>
      </c>
      <c r="F397">
        <v>0</v>
      </c>
      <c r="G397" s="104">
        <v>69127.23</v>
      </c>
    </row>
    <row r="398" spans="3:7" x14ac:dyDescent="0.25">
      <c r="C398" t="s">
        <v>1896</v>
      </c>
      <c r="D398" s="104">
        <v>21566484.59</v>
      </c>
      <c r="E398">
        <v>0</v>
      </c>
      <c r="F398">
        <v>0</v>
      </c>
      <c r="G398" s="104">
        <v>21566484.59</v>
      </c>
    </row>
    <row r="399" spans="3:7" x14ac:dyDescent="0.25">
      <c r="C399" t="s">
        <v>1970</v>
      </c>
      <c r="D399">
        <v>512.02</v>
      </c>
      <c r="E399">
        <v>0</v>
      </c>
      <c r="F399">
        <v>0</v>
      </c>
      <c r="G399">
        <v>512.02</v>
      </c>
    </row>
    <row r="400" spans="3:7" x14ac:dyDescent="0.25">
      <c r="C400" t="s">
        <v>1838</v>
      </c>
      <c r="D400" s="104">
        <v>25235.42</v>
      </c>
      <c r="E400">
        <v>0</v>
      </c>
      <c r="F400">
        <v>0</v>
      </c>
      <c r="G400" s="104">
        <v>25235.42</v>
      </c>
    </row>
    <row r="401" spans="3:7" x14ac:dyDescent="0.25">
      <c r="C401" t="s">
        <v>1839</v>
      </c>
      <c r="D401" s="104">
        <v>55808.07</v>
      </c>
      <c r="E401">
        <v>0</v>
      </c>
      <c r="F401">
        <v>0</v>
      </c>
      <c r="G401" s="104">
        <v>55808.07</v>
      </c>
    </row>
    <row r="402" spans="3:7" x14ac:dyDescent="0.25">
      <c r="C402" t="s">
        <v>1840</v>
      </c>
      <c r="D402" s="104">
        <v>-28356.13</v>
      </c>
      <c r="E402">
        <v>0</v>
      </c>
      <c r="F402">
        <v>0</v>
      </c>
      <c r="G402" s="104">
        <v>-28356.13</v>
      </c>
    </row>
    <row r="403" spans="3:7" x14ac:dyDescent="0.25">
      <c r="C403" t="s">
        <v>1841</v>
      </c>
      <c r="D403">
        <v>-124.29</v>
      </c>
      <c r="E403">
        <v>0</v>
      </c>
      <c r="F403">
        <v>0</v>
      </c>
      <c r="G403">
        <v>-124.29</v>
      </c>
    </row>
    <row r="404" spans="3:7" x14ac:dyDescent="0.25">
      <c r="C404" t="s">
        <v>1842</v>
      </c>
      <c r="D404" s="104">
        <v>5556.13</v>
      </c>
      <c r="E404">
        <v>0</v>
      </c>
      <c r="F404">
        <v>0</v>
      </c>
      <c r="G404" s="104">
        <v>5556.13</v>
      </c>
    </row>
    <row r="405" spans="3:7" x14ac:dyDescent="0.25">
      <c r="C405" t="s">
        <v>1971</v>
      </c>
      <c r="D405">
        <v>535.71</v>
      </c>
      <c r="E405">
        <v>0</v>
      </c>
      <c r="F405">
        <v>0</v>
      </c>
      <c r="G405">
        <v>535.71</v>
      </c>
    </row>
    <row r="406" spans="3:7" x14ac:dyDescent="0.25">
      <c r="C406" t="s">
        <v>1843</v>
      </c>
      <c r="D406" s="104">
        <v>133662.24</v>
      </c>
      <c r="E406">
        <v>0</v>
      </c>
      <c r="F406">
        <v>0</v>
      </c>
      <c r="G406" s="104">
        <v>133662.24</v>
      </c>
    </row>
    <row r="407" spans="3:7" x14ac:dyDescent="0.25">
      <c r="C407" t="s">
        <v>1844</v>
      </c>
      <c r="D407" s="104">
        <v>270241.53000000003</v>
      </c>
      <c r="E407" s="104">
        <v>60327.88</v>
      </c>
      <c r="F407" s="104">
        <v>97460.96</v>
      </c>
      <c r="G407" s="104">
        <v>233108.45</v>
      </c>
    </row>
    <row r="408" spans="3:7" x14ac:dyDescent="0.25">
      <c r="C408" t="s">
        <v>1860</v>
      </c>
      <c r="D408" s="104">
        <v>7460.09</v>
      </c>
      <c r="E408">
        <v>0</v>
      </c>
      <c r="F408">
        <v>0</v>
      </c>
      <c r="G408" s="104">
        <v>7460.09</v>
      </c>
    </row>
    <row r="409" spans="3:7" x14ac:dyDescent="0.25">
      <c r="C409" t="s">
        <v>1846</v>
      </c>
      <c r="D409" s="104">
        <v>-60815.68</v>
      </c>
      <c r="E409">
        <v>0</v>
      </c>
      <c r="F409">
        <v>0</v>
      </c>
      <c r="G409" s="104">
        <v>-60815.68</v>
      </c>
    </row>
    <row r="410" spans="3:7" x14ac:dyDescent="0.25">
      <c r="C410" t="s">
        <v>1847</v>
      </c>
      <c r="D410" s="104">
        <v>273177.71999999997</v>
      </c>
      <c r="E410">
        <v>0</v>
      </c>
      <c r="F410">
        <v>0</v>
      </c>
      <c r="G410" s="104">
        <v>273177.71999999997</v>
      </c>
    </row>
    <row r="411" spans="3:7" x14ac:dyDescent="0.25">
      <c r="C411" t="s">
        <v>1972</v>
      </c>
      <c r="D411" s="104">
        <v>80017.81</v>
      </c>
      <c r="E411">
        <v>0</v>
      </c>
      <c r="F411">
        <v>0</v>
      </c>
      <c r="G411" s="104">
        <v>80017.81</v>
      </c>
    </row>
    <row r="412" spans="3:7" x14ac:dyDescent="0.25">
      <c r="C412" t="s">
        <v>1852</v>
      </c>
      <c r="D412" s="104">
        <v>-28005.96</v>
      </c>
      <c r="E412">
        <v>0</v>
      </c>
      <c r="F412">
        <v>0</v>
      </c>
      <c r="G412" s="104">
        <v>-28005.96</v>
      </c>
    </row>
    <row r="413" spans="3:7" x14ac:dyDescent="0.25">
      <c r="C413" t="s">
        <v>1861</v>
      </c>
      <c r="D413" s="104">
        <v>-2164.08</v>
      </c>
      <c r="E413">
        <v>0</v>
      </c>
      <c r="F413">
        <v>0</v>
      </c>
      <c r="G413" s="104">
        <v>-2164.08</v>
      </c>
    </row>
    <row r="414" spans="3:7" x14ac:dyDescent="0.25">
      <c r="C414" t="s">
        <v>1899</v>
      </c>
      <c r="D414" s="104">
        <v>13334.76</v>
      </c>
      <c r="E414">
        <v>0</v>
      </c>
      <c r="F414">
        <v>0</v>
      </c>
      <c r="G414" s="104">
        <v>13334.76</v>
      </c>
    </row>
    <row r="415" spans="3:7" x14ac:dyDescent="0.25">
      <c r="C415" t="s">
        <v>1973</v>
      </c>
      <c r="D415" s="104">
        <v>5034.17</v>
      </c>
      <c r="E415">
        <v>0</v>
      </c>
      <c r="F415">
        <v>0</v>
      </c>
      <c r="G415" s="104">
        <v>5034.17</v>
      </c>
    </row>
    <row r="416" spans="3:7" x14ac:dyDescent="0.25">
      <c r="C416" t="s">
        <v>1865</v>
      </c>
      <c r="D416" s="104">
        <v>13890.36</v>
      </c>
      <c r="E416">
        <v>0</v>
      </c>
      <c r="F416">
        <v>0</v>
      </c>
      <c r="G416" s="104">
        <v>13890.36</v>
      </c>
    </row>
    <row r="417" spans="3:7" x14ac:dyDescent="0.25">
      <c r="C417" t="s">
        <v>1900</v>
      </c>
      <c r="D417">
        <v>0</v>
      </c>
      <c r="E417">
        <v>0</v>
      </c>
      <c r="F417">
        <v>0</v>
      </c>
      <c r="G417">
        <v>0</v>
      </c>
    </row>
    <row r="418" spans="3:7" x14ac:dyDescent="0.25">
      <c r="C418" t="s">
        <v>1814</v>
      </c>
      <c r="D418" s="104">
        <v>95304.23</v>
      </c>
      <c r="E418">
        <v>0</v>
      </c>
      <c r="F418">
        <v>0</v>
      </c>
      <c r="G418" s="104">
        <v>95304.23</v>
      </c>
    </row>
    <row r="419" spans="3:7" x14ac:dyDescent="0.25">
      <c r="C419" t="s">
        <v>1974</v>
      </c>
      <c r="D419">
        <v>0</v>
      </c>
      <c r="E419">
        <v>0</v>
      </c>
      <c r="F419">
        <v>0</v>
      </c>
      <c r="G419">
        <v>0</v>
      </c>
    </row>
    <row r="420" spans="3:7" x14ac:dyDescent="0.25">
      <c r="C420" t="s">
        <v>1975</v>
      </c>
      <c r="D420" s="104">
        <v>2352.6799999999998</v>
      </c>
      <c r="E420">
        <v>0</v>
      </c>
      <c r="F420">
        <v>0</v>
      </c>
      <c r="G420" s="104">
        <v>2352.6799999999998</v>
      </c>
    </row>
    <row r="421" spans="3:7" x14ac:dyDescent="0.25">
      <c r="C421" t="s">
        <v>1976</v>
      </c>
      <c r="D421" s="104">
        <v>4099</v>
      </c>
      <c r="E421">
        <v>0</v>
      </c>
      <c r="F421">
        <v>0</v>
      </c>
      <c r="G421" s="104">
        <v>4099</v>
      </c>
    </row>
    <row r="422" spans="3:7" x14ac:dyDescent="0.25">
      <c r="C422" t="s">
        <v>1977</v>
      </c>
      <c r="D422" s="104">
        <v>2528.13</v>
      </c>
      <c r="E422">
        <v>0</v>
      </c>
      <c r="F422">
        <v>0</v>
      </c>
      <c r="G422" s="104">
        <v>2528.13</v>
      </c>
    </row>
    <row r="423" spans="3:7" x14ac:dyDescent="0.25">
      <c r="C423" t="s">
        <v>1978</v>
      </c>
      <c r="D423" s="104">
        <v>33969.839999999997</v>
      </c>
      <c r="E423">
        <v>0</v>
      </c>
      <c r="F423">
        <v>0</v>
      </c>
      <c r="G423" s="104">
        <v>33969.839999999997</v>
      </c>
    </row>
    <row r="424" spans="3:7" x14ac:dyDescent="0.25">
      <c r="C424" t="s">
        <v>1979</v>
      </c>
      <c r="D424">
        <v>658.15</v>
      </c>
      <c r="E424">
        <v>0</v>
      </c>
      <c r="F424">
        <v>0</v>
      </c>
      <c r="G424">
        <v>658.15</v>
      </c>
    </row>
    <row r="425" spans="3:7" x14ac:dyDescent="0.25">
      <c r="C425" t="s">
        <v>1980</v>
      </c>
      <c r="D425" s="104">
        <v>-34624.230000000003</v>
      </c>
      <c r="E425">
        <v>0</v>
      </c>
      <c r="F425">
        <v>0</v>
      </c>
      <c r="G425" s="104">
        <v>-34624.230000000003</v>
      </c>
    </row>
    <row r="426" spans="3:7" x14ac:dyDescent="0.25">
      <c r="C426" t="s">
        <v>1851</v>
      </c>
      <c r="D426" s="104">
        <v>2970</v>
      </c>
      <c r="E426">
        <v>990</v>
      </c>
      <c r="F426">
        <v>0</v>
      </c>
      <c r="G426" s="104">
        <v>3960</v>
      </c>
    </row>
    <row r="427" spans="3:7" x14ac:dyDescent="0.25">
      <c r="C427" t="s">
        <v>1871</v>
      </c>
      <c r="D427" s="104">
        <v>49700.56</v>
      </c>
      <c r="E427">
        <v>0</v>
      </c>
      <c r="F427">
        <v>0</v>
      </c>
      <c r="G427" s="104">
        <v>49700.56</v>
      </c>
    </row>
    <row r="428" spans="3:7" x14ac:dyDescent="0.25">
      <c r="C428" t="s">
        <v>1982</v>
      </c>
      <c r="D428" s="104">
        <v>12166.89</v>
      </c>
      <c r="E428">
        <v>0</v>
      </c>
      <c r="F428" s="104">
        <v>12166.89</v>
      </c>
      <c r="G428">
        <v>0</v>
      </c>
    </row>
    <row r="429" spans="3:7" x14ac:dyDescent="0.25">
      <c r="C429" t="s">
        <v>1874</v>
      </c>
      <c r="D429" s="104">
        <v>34237.760000000002</v>
      </c>
      <c r="E429" s="104">
        <v>12322.5</v>
      </c>
      <c r="F429" s="104">
        <v>12322.5</v>
      </c>
      <c r="G429" s="104">
        <v>34237.760000000002</v>
      </c>
    </row>
    <row r="430" spans="3:7" x14ac:dyDescent="0.25">
      <c r="C430" t="s">
        <v>1983</v>
      </c>
      <c r="D430" s="104">
        <v>1813.43</v>
      </c>
      <c r="E430">
        <v>0</v>
      </c>
      <c r="F430">
        <v>0</v>
      </c>
      <c r="G430" s="104">
        <v>1813.43</v>
      </c>
    </row>
    <row r="431" spans="3:7" x14ac:dyDescent="0.25">
      <c r="C431" t="s">
        <v>1985</v>
      </c>
      <c r="D431" s="104">
        <v>129485.64</v>
      </c>
      <c r="E431" s="104">
        <v>27961.09</v>
      </c>
      <c r="F431">
        <v>0</v>
      </c>
      <c r="G431" s="104">
        <v>157446.73000000001</v>
      </c>
    </row>
    <row r="432" spans="3:7" x14ac:dyDescent="0.25">
      <c r="C432" t="s">
        <v>1881</v>
      </c>
      <c r="D432" s="104">
        <v>-3704.24</v>
      </c>
      <c r="E432">
        <v>0</v>
      </c>
      <c r="F432">
        <v>0</v>
      </c>
      <c r="G432" s="104">
        <v>-3704.24</v>
      </c>
    </row>
    <row r="433" spans="2:7" x14ac:dyDescent="0.25">
      <c r="C433" t="s">
        <v>1884</v>
      </c>
      <c r="D433" s="104">
        <v>13290.83</v>
      </c>
      <c r="E433" s="104">
        <v>5824.8</v>
      </c>
      <c r="F433" s="104">
        <v>5824.8</v>
      </c>
      <c r="G433" s="104">
        <v>13290.83</v>
      </c>
    </row>
    <row r="434" spans="2:7" x14ac:dyDescent="0.25">
      <c r="C434" t="s">
        <v>1885</v>
      </c>
      <c r="D434" s="104">
        <v>-2165.98</v>
      </c>
      <c r="E434" s="104">
        <v>16594.39</v>
      </c>
      <c r="F434" s="104">
        <v>1309.2</v>
      </c>
      <c r="G434" s="104">
        <v>13119.21</v>
      </c>
    </row>
    <row r="435" spans="2:7" x14ac:dyDescent="0.25">
      <c r="C435" t="s">
        <v>1886</v>
      </c>
      <c r="D435" s="104">
        <v>176169.48</v>
      </c>
      <c r="E435" s="104">
        <v>19215.41</v>
      </c>
      <c r="F435" s="104">
        <v>4500</v>
      </c>
      <c r="G435" s="104">
        <v>190884.89</v>
      </c>
    </row>
    <row r="436" spans="2:7" x14ac:dyDescent="0.25">
      <c r="C436" t="s">
        <v>1887</v>
      </c>
      <c r="D436" s="104">
        <v>27538.33</v>
      </c>
      <c r="E436" s="104">
        <v>5824.8</v>
      </c>
      <c r="F436" s="104">
        <v>5824.8</v>
      </c>
      <c r="G436" s="104">
        <v>27538.33</v>
      </c>
    </row>
    <row r="437" spans="2:7" x14ac:dyDescent="0.25">
      <c r="C437" t="s">
        <v>1888</v>
      </c>
      <c r="D437" s="104">
        <v>11778.4</v>
      </c>
      <c r="E437" s="104">
        <v>2857.8</v>
      </c>
      <c r="F437" s="104">
        <v>2857.8</v>
      </c>
      <c r="G437" s="104">
        <v>11778.4</v>
      </c>
    </row>
    <row r="438" spans="2:7" x14ac:dyDescent="0.25">
      <c r="C438" t="s">
        <v>2757</v>
      </c>
      <c r="D438" s="104">
        <v>424471202.39999998</v>
      </c>
      <c r="E438">
        <v>0</v>
      </c>
      <c r="F438">
        <v>0</v>
      </c>
      <c r="G438" s="104">
        <v>424471202.39999998</v>
      </c>
    </row>
    <row r="439" spans="2:7" x14ac:dyDescent="0.25">
      <c r="B439" t="s">
        <v>1587</v>
      </c>
      <c r="D439" s="104">
        <v>520886402.25</v>
      </c>
      <c r="E439" s="104">
        <v>665334.88</v>
      </c>
      <c r="F439" s="104">
        <v>1128813.6299999999</v>
      </c>
      <c r="G439" s="104">
        <v>520422923.5</v>
      </c>
    </row>
    <row r="441" spans="2:7" x14ac:dyDescent="0.25">
      <c r="B441">
        <v>10301011</v>
      </c>
      <c r="C441" t="s">
        <v>1986</v>
      </c>
      <c r="D441" s="104">
        <v>-1259982327.96</v>
      </c>
      <c r="E441" s="104">
        <v>1101254.6299999999</v>
      </c>
      <c r="F441">
        <v>0</v>
      </c>
      <c r="G441" s="104">
        <v>-1258881073.3299999</v>
      </c>
    </row>
    <row r="442" spans="2:7" x14ac:dyDescent="0.25">
      <c r="B442" t="s">
        <v>1987</v>
      </c>
      <c r="C442" t="s">
        <v>114</v>
      </c>
    </row>
    <row r="443" spans="2:7" x14ac:dyDescent="0.25">
      <c r="C443" t="s">
        <v>1854</v>
      </c>
      <c r="D443" s="104">
        <v>-3545503.21</v>
      </c>
      <c r="E443">
        <v>0</v>
      </c>
      <c r="F443">
        <v>0</v>
      </c>
      <c r="G443" s="104">
        <v>-3545503.21</v>
      </c>
    </row>
    <row r="444" spans="2:7" x14ac:dyDescent="0.25">
      <c r="C444" t="s">
        <v>1897</v>
      </c>
      <c r="D444" s="104">
        <v>-19754249.800000001</v>
      </c>
      <c r="E444">
        <v>0</v>
      </c>
      <c r="F444">
        <v>0</v>
      </c>
      <c r="G444" s="104">
        <v>-19754249.800000001</v>
      </c>
    </row>
    <row r="445" spans="2:7" x14ac:dyDescent="0.25">
      <c r="C445" t="s">
        <v>1893</v>
      </c>
      <c r="D445" s="104">
        <v>-443630.22</v>
      </c>
      <c r="E445">
        <v>0</v>
      </c>
      <c r="F445">
        <v>0</v>
      </c>
      <c r="G445" s="104">
        <v>-443630.22</v>
      </c>
    </row>
    <row r="446" spans="2:7" x14ac:dyDescent="0.25">
      <c r="C446" t="s">
        <v>1956</v>
      </c>
      <c r="D446" s="104">
        <v>-5539.65</v>
      </c>
      <c r="E446">
        <v>0</v>
      </c>
      <c r="F446">
        <v>0</v>
      </c>
      <c r="G446" s="104">
        <v>-5539.65</v>
      </c>
    </row>
    <row r="447" spans="2:7" x14ac:dyDescent="0.25">
      <c r="C447" t="s">
        <v>1894</v>
      </c>
      <c r="D447" s="104">
        <v>-107853976.59</v>
      </c>
      <c r="E447">
        <v>0</v>
      </c>
      <c r="F447">
        <v>0</v>
      </c>
      <c r="G447" s="104">
        <v>-107853976.59</v>
      </c>
    </row>
    <row r="448" spans="2:7" x14ac:dyDescent="0.25">
      <c r="C448" t="s">
        <v>1741</v>
      </c>
      <c r="D448" s="104">
        <v>-9580</v>
      </c>
      <c r="E448">
        <v>0</v>
      </c>
      <c r="F448">
        <v>0</v>
      </c>
      <c r="G448" s="104">
        <v>-9580</v>
      </c>
    </row>
    <row r="449" spans="3:7" x14ac:dyDescent="0.25">
      <c r="C449" t="s">
        <v>1824</v>
      </c>
      <c r="D449" s="104">
        <v>-27210.639999999999</v>
      </c>
      <c r="E449">
        <v>0</v>
      </c>
      <c r="F449">
        <v>0</v>
      </c>
      <c r="G449" s="104">
        <v>-27210.639999999999</v>
      </c>
    </row>
    <row r="450" spans="3:7" x14ac:dyDescent="0.25">
      <c r="C450" t="s">
        <v>1785</v>
      </c>
      <c r="D450">
        <v>0</v>
      </c>
      <c r="E450">
        <v>0</v>
      </c>
      <c r="F450">
        <v>0</v>
      </c>
      <c r="G450">
        <v>0</v>
      </c>
    </row>
    <row r="451" spans="3:7" x14ac:dyDescent="0.25">
      <c r="C451" t="s">
        <v>1957</v>
      </c>
      <c r="D451">
        <v>-595.48</v>
      </c>
      <c r="E451">
        <v>0</v>
      </c>
      <c r="F451">
        <v>0</v>
      </c>
      <c r="G451">
        <v>-595.48</v>
      </c>
    </row>
    <row r="452" spans="3:7" x14ac:dyDescent="0.25">
      <c r="C452" t="s">
        <v>1958</v>
      </c>
      <c r="D452" s="104">
        <v>-50760</v>
      </c>
      <c r="E452">
        <v>0</v>
      </c>
      <c r="F452">
        <v>0</v>
      </c>
      <c r="G452" s="104">
        <v>-50760</v>
      </c>
    </row>
    <row r="453" spans="3:7" x14ac:dyDescent="0.25">
      <c r="C453" t="s">
        <v>1765</v>
      </c>
      <c r="D453">
        <v>-711.14</v>
      </c>
      <c r="E453">
        <v>0</v>
      </c>
      <c r="F453">
        <v>0</v>
      </c>
      <c r="G453">
        <v>-711.14</v>
      </c>
    </row>
    <row r="454" spans="3:7" x14ac:dyDescent="0.25">
      <c r="C454" t="s">
        <v>1855</v>
      </c>
      <c r="D454" s="104">
        <v>-12499.93</v>
      </c>
      <c r="E454">
        <v>0</v>
      </c>
      <c r="F454">
        <v>0</v>
      </c>
      <c r="G454" s="104">
        <v>-12499.93</v>
      </c>
    </row>
    <row r="455" spans="3:7" x14ac:dyDescent="0.25">
      <c r="C455" t="s">
        <v>1828</v>
      </c>
      <c r="D455" s="104">
        <v>-831171.23</v>
      </c>
      <c r="E455">
        <v>0</v>
      </c>
      <c r="F455">
        <v>0</v>
      </c>
      <c r="G455" s="104">
        <v>-831171.23</v>
      </c>
    </row>
    <row r="456" spans="3:7" x14ac:dyDescent="0.25">
      <c r="C456" t="s">
        <v>1768</v>
      </c>
      <c r="D456" s="104">
        <v>-2367438.34</v>
      </c>
      <c r="E456">
        <v>0</v>
      </c>
      <c r="F456">
        <v>0</v>
      </c>
      <c r="G456" s="104">
        <v>-2367438.34</v>
      </c>
    </row>
    <row r="457" spans="3:7" x14ac:dyDescent="0.25">
      <c r="C457" t="s">
        <v>1959</v>
      </c>
      <c r="D457">
        <v>-100</v>
      </c>
      <c r="E457">
        <v>0</v>
      </c>
      <c r="F457">
        <v>0</v>
      </c>
      <c r="G457">
        <v>-100</v>
      </c>
    </row>
    <row r="458" spans="3:7" x14ac:dyDescent="0.25">
      <c r="C458" t="s">
        <v>1961</v>
      </c>
      <c r="D458" s="104">
        <v>-15277899.199999999</v>
      </c>
      <c r="E458">
        <v>0</v>
      </c>
      <c r="F458">
        <v>0</v>
      </c>
      <c r="G458" s="104">
        <v>-15277899.199999999</v>
      </c>
    </row>
    <row r="459" spans="3:7" x14ac:dyDescent="0.25">
      <c r="C459" t="s">
        <v>1895</v>
      </c>
      <c r="D459" s="104">
        <v>-2341.64</v>
      </c>
      <c r="E459">
        <v>0</v>
      </c>
      <c r="F459">
        <v>0</v>
      </c>
      <c r="G459" s="104">
        <v>-2341.64</v>
      </c>
    </row>
    <row r="460" spans="3:7" x14ac:dyDescent="0.25">
      <c r="C460" t="s">
        <v>1965</v>
      </c>
      <c r="D460">
        <v>-708.16</v>
      </c>
      <c r="E460">
        <v>0</v>
      </c>
      <c r="F460">
        <v>0</v>
      </c>
      <c r="G460">
        <v>-708.16</v>
      </c>
    </row>
    <row r="461" spans="3:7" x14ac:dyDescent="0.25">
      <c r="C461" t="s">
        <v>1832</v>
      </c>
      <c r="D461" s="104">
        <v>-2346.06</v>
      </c>
      <c r="E461">
        <v>0</v>
      </c>
      <c r="F461">
        <v>0</v>
      </c>
      <c r="G461" s="104">
        <v>-2346.06</v>
      </c>
    </row>
    <row r="462" spans="3:7" x14ac:dyDescent="0.25">
      <c r="C462" t="s">
        <v>1966</v>
      </c>
      <c r="D462">
        <v>-143.5</v>
      </c>
      <c r="E462">
        <v>0</v>
      </c>
      <c r="F462">
        <v>0</v>
      </c>
      <c r="G462">
        <v>-143.5</v>
      </c>
    </row>
    <row r="463" spans="3:7" x14ac:dyDescent="0.25">
      <c r="C463" t="s">
        <v>1967</v>
      </c>
      <c r="D463" s="104">
        <v>-3396.7</v>
      </c>
      <c r="E463">
        <v>0</v>
      </c>
      <c r="F463">
        <v>0</v>
      </c>
      <c r="G463" s="104">
        <v>-3396.7</v>
      </c>
    </row>
    <row r="464" spans="3:7" x14ac:dyDescent="0.25">
      <c r="C464" t="s">
        <v>1833</v>
      </c>
      <c r="D464" s="104">
        <v>-114329.88</v>
      </c>
      <c r="E464">
        <v>0</v>
      </c>
      <c r="F464">
        <v>0</v>
      </c>
      <c r="G464" s="104">
        <v>-114329.88</v>
      </c>
    </row>
    <row r="465" spans="3:7" x14ac:dyDescent="0.25">
      <c r="C465" t="s">
        <v>1772</v>
      </c>
      <c r="D465" s="104">
        <v>-1884.75</v>
      </c>
      <c r="E465">
        <v>0</v>
      </c>
      <c r="F465">
        <v>0</v>
      </c>
      <c r="G465" s="104">
        <v>-1884.75</v>
      </c>
    </row>
    <row r="466" spans="3:7" x14ac:dyDescent="0.25">
      <c r="C466" t="s">
        <v>1968</v>
      </c>
      <c r="D466" s="104">
        <v>-565566.81000000006</v>
      </c>
      <c r="E466">
        <v>0</v>
      </c>
      <c r="F466">
        <v>0</v>
      </c>
      <c r="G466" s="104">
        <v>-565566.81000000006</v>
      </c>
    </row>
    <row r="467" spans="3:7" x14ac:dyDescent="0.25">
      <c r="C467" t="s">
        <v>1834</v>
      </c>
      <c r="D467" s="104">
        <v>-3830639.97</v>
      </c>
      <c r="E467">
        <v>0</v>
      </c>
      <c r="F467">
        <v>0</v>
      </c>
      <c r="G467" s="104">
        <v>-3830639.97</v>
      </c>
    </row>
    <row r="468" spans="3:7" x14ac:dyDescent="0.25">
      <c r="C468" t="s">
        <v>1969</v>
      </c>
      <c r="D468" s="104">
        <v>-69127.23</v>
      </c>
      <c r="E468">
        <v>0</v>
      </c>
      <c r="F468">
        <v>0</v>
      </c>
      <c r="G468" s="104">
        <v>-69127.23</v>
      </c>
    </row>
    <row r="469" spans="3:7" x14ac:dyDescent="0.25">
      <c r="C469" t="s">
        <v>1896</v>
      </c>
      <c r="D469" s="104">
        <v>-50909356.719999999</v>
      </c>
      <c r="E469">
        <v>0</v>
      </c>
      <c r="F469">
        <v>0</v>
      </c>
      <c r="G469" s="104">
        <v>-50909356.719999999</v>
      </c>
    </row>
    <row r="470" spans="3:7" x14ac:dyDescent="0.25">
      <c r="C470" t="s">
        <v>1970</v>
      </c>
      <c r="D470">
        <v>-512.02</v>
      </c>
      <c r="E470">
        <v>0</v>
      </c>
      <c r="F470">
        <v>0</v>
      </c>
      <c r="G470">
        <v>-512.02</v>
      </c>
    </row>
    <row r="471" spans="3:7" x14ac:dyDescent="0.25">
      <c r="C471" t="s">
        <v>1838</v>
      </c>
      <c r="D471" s="104">
        <v>-25235.42</v>
      </c>
      <c r="E471">
        <v>0</v>
      </c>
      <c r="F471">
        <v>0</v>
      </c>
      <c r="G471" s="104">
        <v>-25235.42</v>
      </c>
    </row>
    <row r="472" spans="3:7" x14ac:dyDescent="0.25">
      <c r="C472" t="s">
        <v>1839</v>
      </c>
      <c r="D472" s="104">
        <v>-55808.07</v>
      </c>
      <c r="E472">
        <v>0</v>
      </c>
      <c r="F472">
        <v>0</v>
      </c>
      <c r="G472" s="104">
        <v>-55808.07</v>
      </c>
    </row>
    <row r="473" spans="3:7" x14ac:dyDescent="0.25">
      <c r="C473" t="s">
        <v>1840</v>
      </c>
      <c r="D473" s="104">
        <v>-49634.16</v>
      </c>
      <c r="E473">
        <v>0</v>
      </c>
      <c r="F473">
        <v>0</v>
      </c>
      <c r="G473" s="104">
        <v>-49634.16</v>
      </c>
    </row>
    <row r="474" spans="3:7" x14ac:dyDescent="0.25">
      <c r="C474" t="s">
        <v>1843</v>
      </c>
      <c r="D474" s="104">
        <v>-133662.24</v>
      </c>
      <c r="E474">
        <v>0</v>
      </c>
      <c r="F474">
        <v>0</v>
      </c>
      <c r="G474" s="104">
        <v>-133662.24</v>
      </c>
    </row>
    <row r="475" spans="3:7" x14ac:dyDescent="0.25">
      <c r="C475" t="s">
        <v>1814</v>
      </c>
      <c r="D475" s="104">
        <v>-95304.23</v>
      </c>
      <c r="E475">
        <v>0</v>
      </c>
      <c r="F475">
        <v>0</v>
      </c>
      <c r="G475" s="104">
        <v>-95304.23</v>
      </c>
    </row>
    <row r="476" spans="3:7" x14ac:dyDescent="0.25">
      <c r="C476" t="s">
        <v>1903</v>
      </c>
      <c r="D476" s="104">
        <v>-5349.16</v>
      </c>
      <c r="E476">
        <v>0</v>
      </c>
      <c r="F476">
        <v>0</v>
      </c>
      <c r="G476" s="104">
        <v>-5349.16</v>
      </c>
    </row>
    <row r="477" spans="3:7" x14ac:dyDescent="0.25">
      <c r="C477" t="s">
        <v>1904</v>
      </c>
      <c r="D477" s="104">
        <v>-5685.1</v>
      </c>
      <c r="E477">
        <v>0</v>
      </c>
      <c r="F477">
        <v>0</v>
      </c>
      <c r="G477" s="104">
        <v>-5685.1</v>
      </c>
    </row>
    <row r="478" spans="3:7" x14ac:dyDescent="0.25">
      <c r="C478" t="s">
        <v>1905</v>
      </c>
      <c r="D478" s="104">
        <v>-5808.33</v>
      </c>
      <c r="E478">
        <v>0</v>
      </c>
      <c r="F478">
        <v>0</v>
      </c>
      <c r="G478" s="104">
        <v>-5808.33</v>
      </c>
    </row>
    <row r="479" spans="3:7" x14ac:dyDescent="0.25">
      <c r="C479" t="s">
        <v>1906</v>
      </c>
      <c r="D479" s="104">
        <v>-2261.63</v>
      </c>
      <c r="E479">
        <v>0</v>
      </c>
      <c r="F479">
        <v>0</v>
      </c>
      <c r="G479" s="104">
        <v>-2261.63</v>
      </c>
    </row>
    <row r="480" spans="3:7" x14ac:dyDescent="0.25">
      <c r="C480" t="s">
        <v>1907</v>
      </c>
      <c r="D480" s="104">
        <v>-2923.45</v>
      </c>
      <c r="E480">
        <v>0</v>
      </c>
      <c r="F480">
        <v>0</v>
      </c>
      <c r="G480" s="104">
        <v>-2923.45</v>
      </c>
    </row>
    <row r="481" spans="3:7" x14ac:dyDescent="0.25">
      <c r="C481" t="s">
        <v>1908</v>
      </c>
      <c r="D481" s="104">
        <v>-2448.92</v>
      </c>
      <c r="E481">
        <v>0</v>
      </c>
      <c r="F481">
        <v>0</v>
      </c>
      <c r="G481" s="104">
        <v>-2448.92</v>
      </c>
    </row>
    <row r="482" spans="3:7" x14ac:dyDescent="0.25">
      <c r="C482" t="s">
        <v>1909</v>
      </c>
      <c r="D482">
        <v>-641.41999999999996</v>
      </c>
      <c r="E482">
        <v>0</v>
      </c>
      <c r="F482">
        <v>0</v>
      </c>
      <c r="G482">
        <v>-641.41999999999996</v>
      </c>
    </row>
    <row r="483" spans="3:7" x14ac:dyDescent="0.25">
      <c r="C483" t="s">
        <v>1910</v>
      </c>
      <c r="D483" s="104">
        <v>-7179.13</v>
      </c>
      <c r="E483">
        <v>0</v>
      </c>
      <c r="F483">
        <v>0</v>
      </c>
      <c r="G483" s="104">
        <v>-7179.13</v>
      </c>
    </row>
    <row r="484" spans="3:7" x14ac:dyDescent="0.25">
      <c r="C484" t="s">
        <v>1912</v>
      </c>
      <c r="D484" s="104">
        <v>-1343.48</v>
      </c>
      <c r="E484">
        <v>0</v>
      </c>
      <c r="F484">
        <v>0</v>
      </c>
      <c r="G484" s="104">
        <v>-1343.48</v>
      </c>
    </row>
    <row r="485" spans="3:7" x14ac:dyDescent="0.25">
      <c r="C485" t="s">
        <v>1913</v>
      </c>
      <c r="D485" s="104">
        <v>-3662.45</v>
      </c>
      <c r="E485">
        <v>0</v>
      </c>
      <c r="F485">
        <v>0</v>
      </c>
      <c r="G485" s="104">
        <v>-3662.45</v>
      </c>
    </row>
    <row r="486" spans="3:7" x14ac:dyDescent="0.25">
      <c r="C486" t="s">
        <v>1914</v>
      </c>
      <c r="D486" s="104">
        <v>-3351.39</v>
      </c>
      <c r="E486">
        <v>0</v>
      </c>
      <c r="F486">
        <v>0</v>
      </c>
      <c r="G486" s="104">
        <v>-3351.39</v>
      </c>
    </row>
    <row r="487" spans="3:7" x14ac:dyDescent="0.25">
      <c r="C487" t="s">
        <v>1915</v>
      </c>
      <c r="D487" s="104">
        <v>-6175.54</v>
      </c>
      <c r="E487">
        <v>0</v>
      </c>
      <c r="F487">
        <v>0</v>
      </c>
      <c r="G487" s="104">
        <v>-6175.54</v>
      </c>
    </row>
    <row r="488" spans="3:7" x14ac:dyDescent="0.25">
      <c r="C488" t="s">
        <v>1916</v>
      </c>
      <c r="D488">
        <v>-272.07</v>
      </c>
      <c r="E488">
        <v>0</v>
      </c>
      <c r="F488">
        <v>0</v>
      </c>
      <c r="G488">
        <v>-272.07</v>
      </c>
    </row>
    <row r="489" spans="3:7" x14ac:dyDescent="0.25">
      <c r="C489" t="s">
        <v>1918</v>
      </c>
      <c r="D489" s="104">
        <v>-7809.99</v>
      </c>
      <c r="E489">
        <v>0</v>
      </c>
      <c r="F489">
        <v>0</v>
      </c>
      <c r="G489" s="104">
        <v>-7809.99</v>
      </c>
    </row>
    <row r="490" spans="3:7" x14ac:dyDescent="0.25">
      <c r="C490" t="s">
        <v>1919</v>
      </c>
      <c r="D490" s="104">
        <v>-3946.28</v>
      </c>
      <c r="E490">
        <v>0</v>
      </c>
      <c r="F490">
        <v>0</v>
      </c>
      <c r="G490" s="104">
        <v>-3946.28</v>
      </c>
    </row>
    <row r="491" spans="3:7" x14ac:dyDescent="0.25">
      <c r="C491" t="s">
        <v>1920</v>
      </c>
      <c r="D491" s="104">
        <v>-3551.02</v>
      </c>
      <c r="E491">
        <v>0</v>
      </c>
      <c r="F491">
        <v>0</v>
      </c>
      <c r="G491" s="104">
        <v>-3551.02</v>
      </c>
    </row>
    <row r="492" spans="3:7" x14ac:dyDescent="0.25">
      <c r="C492" t="s">
        <v>1921</v>
      </c>
      <c r="D492" s="104">
        <v>-8624.83</v>
      </c>
      <c r="E492">
        <v>0</v>
      </c>
      <c r="F492">
        <v>0</v>
      </c>
      <c r="G492" s="104">
        <v>-8624.83</v>
      </c>
    </row>
    <row r="493" spans="3:7" x14ac:dyDescent="0.25">
      <c r="C493" t="s">
        <v>1922</v>
      </c>
      <c r="D493">
        <v>-734.17</v>
      </c>
      <c r="E493">
        <v>0</v>
      </c>
      <c r="F493">
        <v>0</v>
      </c>
      <c r="G493">
        <v>-734.17</v>
      </c>
    </row>
    <row r="494" spans="3:7" x14ac:dyDescent="0.25">
      <c r="C494" t="s">
        <v>1923</v>
      </c>
      <c r="D494">
        <v>-209.07</v>
      </c>
      <c r="E494">
        <v>0</v>
      </c>
      <c r="F494">
        <v>0</v>
      </c>
      <c r="G494">
        <v>-209.07</v>
      </c>
    </row>
    <row r="495" spans="3:7" x14ac:dyDescent="0.25">
      <c r="C495" t="s">
        <v>1924</v>
      </c>
      <c r="D495" s="104">
        <v>-5190.5600000000004</v>
      </c>
      <c r="E495">
        <v>0</v>
      </c>
      <c r="F495">
        <v>0</v>
      </c>
      <c r="G495" s="104">
        <v>-5190.5600000000004</v>
      </c>
    </row>
    <row r="496" spans="3:7" x14ac:dyDescent="0.25">
      <c r="C496" t="s">
        <v>1925</v>
      </c>
      <c r="D496" s="104">
        <v>-20353.39</v>
      </c>
      <c r="E496">
        <v>0</v>
      </c>
      <c r="F496">
        <v>0</v>
      </c>
      <c r="G496" s="104">
        <v>-20353.39</v>
      </c>
    </row>
    <row r="497" spans="3:7" x14ac:dyDescent="0.25">
      <c r="C497" t="s">
        <v>1926</v>
      </c>
      <c r="D497" s="104">
        <v>-2959.49</v>
      </c>
      <c r="E497">
        <v>0</v>
      </c>
      <c r="F497">
        <v>0</v>
      </c>
      <c r="G497" s="104">
        <v>-2959.49</v>
      </c>
    </row>
    <row r="498" spans="3:7" x14ac:dyDescent="0.25">
      <c r="C498" t="s">
        <v>1927</v>
      </c>
      <c r="D498">
        <v>-821.21</v>
      </c>
      <c r="E498">
        <v>0</v>
      </c>
      <c r="F498">
        <v>0</v>
      </c>
      <c r="G498">
        <v>-821.21</v>
      </c>
    </row>
    <row r="499" spans="3:7" x14ac:dyDescent="0.25">
      <c r="C499" t="s">
        <v>1928</v>
      </c>
      <c r="D499" s="104">
        <v>-1321.98</v>
      </c>
      <c r="E499" s="104">
        <v>1321.98</v>
      </c>
      <c r="F499">
        <v>0</v>
      </c>
      <c r="G499">
        <v>0</v>
      </c>
    </row>
    <row r="500" spans="3:7" x14ac:dyDescent="0.25">
      <c r="C500" t="s">
        <v>1929</v>
      </c>
      <c r="D500" s="104">
        <v>-2553.79</v>
      </c>
      <c r="E500">
        <v>0</v>
      </c>
      <c r="F500">
        <v>0</v>
      </c>
      <c r="G500" s="104">
        <v>-2553.79</v>
      </c>
    </row>
    <row r="501" spans="3:7" x14ac:dyDescent="0.25">
      <c r="C501" t="s">
        <v>1930</v>
      </c>
      <c r="D501" s="104">
        <v>-2228.38</v>
      </c>
      <c r="E501">
        <v>0</v>
      </c>
      <c r="F501">
        <v>0</v>
      </c>
      <c r="G501" s="104">
        <v>-2228.38</v>
      </c>
    </row>
    <row r="502" spans="3:7" x14ac:dyDescent="0.25">
      <c r="C502" t="s">
        <v>1931</v>
      </c>
      <c r="D502">
        <v>-522.19000000000005</v>
      </c>
      <c r="E502">
        <v>0</v>
      </c>
      <c r="F502">
        <v>0</v>
      </c>
      <c r="G502">
        <v>-522.19000000000005</v>
      </c>
    </row>
    <row r="503" spans="3:7" x14ac:dyDescent="0.25">
      <c r="C503" t="s">
        <v>1933</v>
      </c>
      <c r="D503">
        <v>-506.89</v>
      </c>
      <c r="E503">
        <v>0</v>
      </c>
      <c r="F503">
        <v>0</v>
      </c>
      <c r="G503">
        <v>-506.89</v>
      </c>
    </row>
    <row r="504" spans="3:7" x14ac:dyDescent="0.25">
      <c r="C504" t="s">
        <v>1934</v>
      </c>
      <c r="D504">
        <v>-120</v>
      </c>
      <c r="E504">
        <v>0</v>
      </c>
      <c r="F504">
        <v>0</v>
      </c>
      <c r="G504">
        <v>-120</v>
      </c>
    </row>
    <row r="505" spans="3:7" x14ac:dyDescent="0.25">
      <c r="C505" t="s">
        <v>1935</v>
      </c>
      <c r="D505">
        <v>-961.58</v>
      </c>
      <c r="E505">
        <v>0</v>
      </c>
      <c r="F505">
        <v>0</v>
      </c>
      <c r="G505">
        <v>-961.58</v>
      </c>
    </row>
    <row r="506" spans="3:7" x14ac:dyDescent="0.25">
      <c r="C506" t="s">
        <v>1936</v>
      </c>
      <c r="D506">
        <v>-105.02</v>
      </c>
      <c r="E506">
        <v>0</v>
      </c>
      <c r="F506">
        <v>0</v>
      </c>
      <c r="G506">
        <v>-105.02</v>
      </c>
    </row>
    <row r="507" spans="3:7" x14ac:dyDescent="0.25">
      <c r="C507" t="s">
        <v>1937</v>
      </c>
      <c r="D507" s="104">
        <v>-29585.98</v>
      </c>
      <c r="E507">
        <v>0</v>
      </c>
      <c r="F507">
        <v>0</v>
      </c>
      <c r="G507" s="104">
        <v>-29585.98</v>
      </c>
    </row>
    <row r="508" spans="3:7" x14ac:dyDescent="0.25">
      <c r="C508" t="s">
        <v>1938</v>
      </c>
      <c r="D508" s="104">
        <v>-92319</v>
      </c>
      <c r="E508">
        <v>0</v>
      </c>
      <c r="F508">
        <v>0</v>
      </c>
      <c r="G508" s="104">
        <v>-92319</v>
      </c>
    </row>
    <row r="509" spans="3:7" x14ac:dyDescent="0.25">
      <c r="C509" t="s">
        <v>1939</v>
      </c>
      <c r="D509" s="104">
        <v>-27218.560000000001</v>
      </c>
      <c r="E509">
        <v>0</v>
      </c>
      <c r="F509">
        <v>0</v>
      </c>
      <c r="G509" s="104">
        <v>-27218.560000000001</v>
      </c>
    </row>
    <row r="510" spans="3:7" x14ac:dyDescent="0.25">
      <c r="C510" t="s">
        <v>1941</v>
      </c>
      <c r="D510" s="104">
        <v>-11020.21</v>
      </c>
      <c r="E510">
        <v>0</v>
      </c>
      <c r="F510">
        <v>0</v>
      </c>
      <c r="G510" s="104">
        <v>-11020.21</v>
      </c>
    </row>
    <row r="511" spans="3:7" x14ac:dyDescent="0.25">
      <c r="C511" t="s">
        <v>1942</v>
      </c>
      <c r="D511" s="104">
        <v>-2925.86</v>
      </c>
      <c r="E511">
        <v>0</v>
      </c>
      <c r="F511">
        <v>0</v>
      </c>
      <c r="G511" s="104">
        <v>-2925.86</v>
      </c>
    </row>
    <row r="512" spans="3:7" x14ac:dyDescent="0.25">
      <c r="C512" t="s">
        <v>1943</v>
      </c>
      <c r="D512" s="104">
        <v>-26619.759999999998</v>
      </c>
      <c r="E512">
        <v>0</v>
      </c>
      <c r="F512">
        <v>0</v>
      </c>
      <c r="G512" s="104">
        <v>-26619.759999999998</v>
      </c>
    </row>
    <row r="513" spans="2:7" x14ac:dyDescent="0.25">
      <c r="C513" t="s">
        <v>1944</v>
      </c>
      <c r="D513" s="104">
        <v>-14916.66</v>
      </c>
      <c r="E513">
        <v>0</v>
      </c>
      <c r="F513">
        <v>0</v>
      </c>
      <c r="G513" s="104">
        <v>-14916.66</v>
      </c>
    </row>
    <row r="514" spans="2:7" x14ac:dyDescent="0.25">
      <c r="C514" t="s">
        <v>1948</v>
      </c>
      <c r="D514" s="104">
        <v>-9000</v>
      </c>
      <c r="E514">
        <v>0</v>
      </c>
      <c r="F514">
        <v>0</v>
      </c>
      <c r="G514" s="104">
        <v>-9000</v>
      </c>
    </row>
    <row r="515" spans="2:7" x14ac:dyDescent="0.25">
      <c r="C515" t="s">
        <v>1949</v>
      </c>
      <c r="D515" s="104">
        <v>-9000</v>
      </c>
      <c r="E515">
        <v>0</v>
      </c>
      <c r="F515">
        <v>0</v>
      </c>
      <c r="G515" s="104">
        <v>-9000</v>
      </c>
    </row>
    <row r="516" spans="2:7" x14ac:dyDescent="0.25">
      <c r="C516" t="s">
        <v>1950</v>
      </c>
      <c r="D516" s="104">
        <v>-2000</v>
      </c>
      <c r="E516">
        <v>0</v>
      </c>
      <c r="F516">
        <v>0</v>
      </c>
      <c r="G516" s="104">
        <v>-2000</v>
      </c>
    </row>
    <row r="517" spans="2:7" x14ac:dyDescent="0.25">
      <c r="C517" t="s">
        <v>1951</v>
      </c>
      <c r="D517" s="104">
        <v>-20000</v>
      </c>
      <c r="E517">
        <v>0</v>
      </c>
      <c r="F517">
        <v>0</v>
      </c>
      <c r="G517" s="104">
        <v>-20000</v>
      </c>
    </row>
    <row r="518" spans="2:7" x14ac:dyDescent="0.25">
      <c r="C518" t="s">
        <v>1953</v>
      </c>
      <c r="D518">
        <v>-318.60000000000002</v>
      </c>
      <c r="E518">
        <v>0</v>
      </c>
      <c r="F518">
        <v>0</v>
      </c>
      <c r="G518">
        <v>-318.60000000000002</v>
      </c>
    </row>
    <row r="519" spans="2:7" x14ac:dyDescent="0.25">
      <c r="C519" t="s">
        <v>1962</v>
      </c>
      <c r="D519">
        <v>-392.5</v>
      </c>
      <c r="E519">
        <v>0</v>
      </c>
      <c r="F519">
        <v>0</v>
      </c>
      <c r="G519">
        <v>-392.5</v>
      </c>
    </row>
    <row r="520" spans="2:7" x14ac:dyDescent="0.25">
      <c r="C520" t="s">
        <v>1773</v>
      </c>
      <c r="D520" s="104">
        <v>-4494.6400000000003</v>
      </c>
      <c r="E520">
        <v>0</v>
      </c>
      <c r="F520">
        <v>0</v>
      </c>
      <c r="G520" s="104">
        <v>-4494.6400000000003</v>
      </c>
    </row>
    <row r="521" spans="2:7" x14ac:dyDescent="0.25">
      <c r="C521" t="s">
        <v>1971</v>
      </c>
      <c r="D521">
        <v>-535.71</v>
      </c>
      <c r="E521">
        <v>0</v>
      </c>
      <c r="F521">
        <v>0</v>
      </c>
      <c r="G521">
        <v>-535.71</v>
      </c>
    </row>
    <row r="522" spans="2:7" x14ac:dyDescent="0.25">
      <c r="C522" t="s">
        <v>1847</v>
      </c>
      <c r="D522" s="104">
        <v>-273177.71999999997</v>
      </c>
      <c r="E522">
        <v>0</v>
      </c>
      <c r="F522">
        <v>0</v>
      </c>
      <c r="G522" s="104">
        <v>-273177.71999999997</v>
      </c>
    </row>
    <row r="523" spans="2:7" x14ac:dyDescent="0.25">
      <c r="C523" t="s">
        <v>1973</v>
      </c>
      <c r="D523" s="104">
        <v>-5034.17</v>
      </c>
      <c r="E523">
        <v>0</v>
      </c>
      <c r="F523">
        <v>0</v>
      </c>
      <c r="G523" s="104">
        <v>-5034.17</v>
      </c>
    </row>
    <row r="524" spans="2:7" x14ac:dyDescent="0.25">
      <c r="B524" t="s">
        <v>1587</v>
      </c>
      <c r="D524" s="104">
        <v>-206679044.27000001</v>
      </c>
      <c r="E524" s="104">
        <v>1321.98</v>
      </c>
      <c r="F524">
        <v>0</v>
      </c>
      <c r="G524" s="104">
        <v>-206677722.28999999</v>
      </c>
    </row>
    <row r="526" spans="2:7" x14ac:dyDescent="0.25">
      <c r="B526" t="s">
        <v>1988</v>
      </c>
      <c r="C526" t="s">
        <v>152</v>
      </c>
    </row>
    <row r="527" spans="2:7" x14ac:dyDescent="0.25">
      <c r="C527" t="s">
        <v>1759</v>
      </c>
      <c r="D527" s="104">
        <v>-145400120.56</v>
      </c>
      <c r="E527">
        <v>0</v>
      </c>
      <c r="F527">
        <v>0</v>
      </c>
      <c r="G527" s="104">
        <v>-145400120.56</v>
      </c>
    </row>
    <row r="528" spans="2:7" x14ac:dyDescent="0.25">
      <c r="C528" t="s">
        <v>1989</v>
      </c>
      <c r="D528" s="104">
        <v>-7520000</v>
      </c>
      <c r="E528">
        <v>0</v>
      </c>
      <c r="F528">
        <v>0</v>
      </c>
      <c r="G528" s="104">
        <v>-7520000</v>
      </c>
    </row>
    <row r="529" spans="2:7" x14ac:dyDescent="0.25">
      <c r="C529" t="s">
        <v>1760</v>
      </c>
      <c r="D529" s="104">
        <v>-159222120.63999999</v>
      </c>
      <c r="E529">
        <v>0</v>
      </c>
      <c r="F529">
        <v>0</v>
      </c>
      <c r="G529" s="104">
        <v>-159222120.63999999</v>
      </c>
    </row>
    <row r="530" spans="2:7" x14ac:dyDescent="0.25">
      <c r="C530" t="s">
        <v>1990</v>
      </c>
      <c r="D530" s="104">
        <v>-113602007.5</v>
      </c>
      <c r="E530">
        <v>0</v>
      </c>
      <c r="F530">
        <v>0</v>
      </c>
      <c r="G530" s="104">
        <v>-113602007.5</v>
      </c>
    </row>
    <row r="531" spans="2:7" x14ac:dyDescent="0.25">
      <c r="C531" t="s">
        <v>1776</v>
      </c>
      <c r="D531" s="104">
        <v>-8550175.2799999993</v>
      </c>
      <c r="E531">
        <v>0</v>
      </c>
      <c r="F531">
        <v>0</v>
      </c>
      <c r="G531" s="104">
        <v>-8550175.2799999993</v>
      </c>
    </row>
    <row r="532" spans="2:7" x14ac:dyDescent="0.25">
      <c r="C532" t="s">
        <v>1991</v>
      </c>
      <c r="D532" s="104">
        <v>-13239.84</v>
      </c>
      <c r="E532">
        <v>0</v>
      </c>
      <c r="F532">
        <v>0</v>
      </c>
      <c r="G532" s="104">
        <v>-13239.84</v>
      </c>
    </row>
    <row r="533" spans="2:7" x14ac:dyDescent="0.25">
      <c r="C533" t="s">
        <v>1992</v>
      </c>
      <c r="D533" s="104">
        <v>-85259269.159999996</v>
      </c>
      <c r="E533">
        <v>0</v>
      </c>
      <c r="F533">
        <v>0</v>
      </c>
      <c r="G533" s="104">
        <v>-85259269.159999996</v>
      </c>
    </row>
    <row r="534" spans="2:7" x14ac:dyDescent="0.25">
      <c r="C534" t="s">
        <v>1766</v>
      </c>
      <c r="D534" s="104">
        <v>-2538432.14</v>
      </c>
      <c r="E534">
        <v>0</v>
      </c>
      <c r="F534">
        <v>0</v>
      </c>
      <c r="G534" s="104">
        <v>-2538432.14</v>
      </c>
    </row>
    <row r="535" spans="2:7" x14ac:dyDescent="0.25">
      <c r="C535" t="s">
        <v>1993</v>
      </c>
      <c r="D535" s="104">
        <v>-492571857.00999999</v>
      </c>
      <c r="E535">
        <v>0</v>
      </c>
      <c r="F535">
        <v>0</v>
      </c>
      <c r="G535" s="104">
        <v>-492571857.00999999</v>
      </c>
    </row>
    <row r="536" spans="2:7" x14ac:dyDescent="0.25">
      <c r="C536" t="s">
        <v>1994</v>
      </c>
      <c r="D536" s="104">
        <v>-2942181.33</v>
      </c>
      <c r="E536">
        <v>0</v>
      </c>
      <c r="F536">
        <v>0</v>
      </c>
      <c r="G536" s="104">
        <v>-2942181.33</v>
      </c>
    </row>
    <row r="537" spans="2:7" x14ac:dyDescent="0.25">
      <c r="C537" t="s">
        <v>1995</v>
      </c>
      <c r="D537" s="104">
        <v>-380508.57</v>
      </c>
      <c r="E537">
        <v>0</v>
      </c>
      <c r="F537">
        <v>0</v>
      </c>
      <c r="G537" s="104">
        <v>-380508.57</v>
      </c>
    </row>
    <row r="538" spans="2:7" x14ac:dyDescent="0.25">
      <c r="C538" t="s">
        <v>1996</v>
      </c>
      <c r="D538" s="104">
        <v>-1188834.25</v>
      </c>
      <c r="E538">
        <v>0</v>
      </c>
      <c r="F538">
        <v>0</v>
      </c>
      <c r="G538" s="104">
        <v>-1188834.25</v>
      </c>
    </row>
    <row r="539" spans="2:7" x14ac:dyDescent="0.25">
      <c r="C539" t="s">
        <v>1997</v>
      </c>
      <c r="D539" s="104">
        <v>-1155932.3400000001</v>
      </c>
      <c r="E539">
        <v>0</v>
      </c>
      <c r="F539">
        <v>0</v>
      </c>
      <c r="G539" s="104">
        <v>-1155932.3400000001</v>
      </c>
    </row>
    <row r="540" spans="2:7" x14ac:dyDescent="0.25">
      <c r="C540" t="s">
        <v>1998</v>
      </c>
      <c r="D540" s="104">
        <v>13239.84</v>
      </c>
      <c r="E540">
        <v>0</v>
      </c>
      <c r="F540">
        <v>0</v>
      </c>
      <c r="G540" s="104">
        <v>13239.84</v>
      </c>
    </row>
    <row r="541" spans="2:7" x14ac:dyDescent="0.25">
      <c r="B541" t="s">
        <v>1587</v>
      </c>
      <c r="D541" s="104">
        <v>-1020331438.78</v>
      </c>
      <c r="E541">
        <v>0</v>
      </c>
      <c r="F541">
        <v>0</v>
      </c>
      <c r="G541" s="104">
        <v>-1020331438.78</v>
      </c>
    </row>
    <row r="543" spans="2:7" x14ac:dyDescent="0.25">
      <c r="B543" t="s">
        <v>1999</v>
      </c>
      <c r="C543" t="s">
        <v>2000</v>
      </c>
    </row>
    <row r="544" spans="2:7" x14ac:dyDescent="0.25">
      <c r="B544" t="s">
        <v>2001</v>
      </c>
      <c r="C544" t="s">
        <v>80</v>
      </c>
    </row>
    <row r="545" spans="3:7" x14ac:dyDescent="0.25">
      <c r="C545" t="s">
        <v>1827</v>
      </c>
      <c r="D545" s="104">
        <v>-520000</v>
      </c>
      <c r="E545">
        <v>0</v>
      </c>
      <c r="F545">
        <v>0</v>
      </c>
      <c r="G545" s="104">
        <v>-520000</v>
      </c>
    </row>
    <row r="546" spans="3:7" x14ac:dyDescent="0.25">
      <c r="C546" t="s">
        <v>1828</v>
      </c>
      <c r="D546">
        <v>0</v>
      </c>
      <c r="E546">
        <v>0</v>
      </c>
      <c r="F546">
        <v>0</v>
      </c>
      <c r="G546">
        <v>0</v>
      </c>
    </row>
    <row r="547" spans="3:7" x14ac:dyDescent="0.25">
      <c r="C547" t="s">
        <v>1768</v>
      </c>
      <c r="D547" s="104">
        <v>-9203757.6999999993</v>
      </c>
      <c r="E547">
        <v>0</v>
      </c>
      <c r="F547">
        <v>0</v>
      </c>
      <c r="G547" s="104">
        <v>-9203757.6999999993</v>
      </c>
    </row>
    <row r="548" spans="3:7" x14ac:dyDescent="0.25">
      <c r="C548" t="s">
        <v>1829</v>
      </c>
      <c r="D548" s="104">
        <v>-2693035.71</v>
      </c>
      <c r="E548">
        <v>0</v>
      </c>
      <c r="F548">
        <v>0</v>
      </c>
      <c r="G548" s="104">
        <v>-2693035.71</v>
      </c>
    </row>
    <row r="549" spans="3:7" x14ac:dyDescent="0.25">
      <c r="C549" t="s">
        <v>1831</v>
      </c>
      <c r="D549" s="104">
        <v>-120167.61</v>
      </c>
      <c r="E549">
        <v>0</v>
      </c>
      <c r="F549">
        <v>0</v>
      </c>
      <c r="G549" s="104">
        <v>-120167.61</v>
      </c>
    </row>
    <row r="550" spans="3:7" x14ac:dyDescent="0.25">
      <c r="C550" t="s">
        <v>1832</v>
      </c>
      <c r="D550" s="104">
        <v>-12838.97</v>
      </c>
      <c r="E550">
        <v>0</v>
      </c>
      <c r="F550">
        <v>0</v>
      </c>
      <c r="G550" s="104">
        <v>-12838.97</v>
      </c>
    </row>
    <row r="551" spans="3:7" x14ac:dyDescent="0.25">
      <c r="C551" t="s">
        <v>1833</v>
      </c>
      <c r="D551" s="104">
        <v>-106531.38</v>
      </c>
      <c r="E551">
        <v>0</v>
      </c>
      <c r="F551">
        <v>0</v>
      </c>
      <c r="G551" s="104">
        <v>-106531.38</v>
      </c>
    </row>
    <row r="552" spans="3:7" x14ac:dyDescent="0.25">
      <c r="C552" t="s">
        <v>1762</v>
      </c>
      <c r="D552">
        <v>0.04</v>
      </c>
      <c r="E552">
        <v>0</v>
      </c>
      <c r="F552">
        <v>0</v>
      </c>
      <c r="G552">
        <v>0.04</v>
      </c>
    </row>
    <row r="553" spans="3:7" x14ac:dyDescent="0.25">
      <c r="C553" t="s">
        <v>1834</v>
      </c>
      <c r="D553" s="104">
        <v>-5078316</v>
      </c>
      <c r="E553" s="104">
        <v>178571.43</v>
      </c>
      <c r="F553">
        <v>0</v>
      </c>
      <c r="G553" s="104">
        <v>-4899744.57</v>
      </c>
    </row>
    <row r="554" spans="3:7" x14ac:dyDescent="0.25">
      <c r="C554" t="s">
        <v>1836</v>
      </c>
      <c r="D554" s="104">
        <v>-94344.35</v>
      </c>
      <c r="E554">
        <v>0</v>
      </c>
      <c r="F554">
        <v>0</v>
      </c>
      <c r="G554" s="104">
        <v>-94344.35</v>
      </c>
    </row>
    <row r="555" spans="3:7" x14ac:dyDescent="0.25">
      <c r="C555" t="s">
        <v>1837</v>
      </c>
      <c r="D555" s="104">
        <v>-124181.81</v>
      </c>
      <c r="E555">
        <v>0</v>
      </c>
      <c r="F555">
        <v>0</v>
      </c>
      <c r="G555" s="104">
        <v>-124181.81</v>
      </c>
    </row>
    <row r="556" spans="3:7" x14ac:dyDescent="0.25">
      <c r="C556" t="s">
        <v>1838</v>
      </c>
      <c r="D556" s="104">
        <v>-186346</v>
      </c>
      <c r="E556">
        <v>0</v>
      </c>
      <c r="F556">
        <v>0</v>
      </c>
      <c r="G556" s="104">
        <v>-186346</v>
      </c>
    </row>
    <row r="557" spans="3:7" x14ac:dyDescent="0.25">
      <c r="C557" t="s">
        <v>1839</v>
      </c>
      <c r="D557" s="104">
        <v>-56036.17</v>
      </c>
      <c r="E557">
        <v>0</v>
      </c>
      <c r="F557">
        <v>0</v>
      </c>
      <c r="G557" s="104">
        <v>-56036.17</v>
      </c>
    </row>
    <row r="558" spans="3:7" x14ac:dyDescent="0.25">
      <c r="C558" t="s">
        <v>1843</v>
      </c>
      <c r="D558" s="104">
        <v>-157565.21</v>
      </c>
      <c r="E558">
        <v>0</v>
      </c>
      <c r="F558">
        <v>0</v>
      </c>
      <c r="G558" s="104">
        <v>-157565.21</v>
      </c>
    </row>
    <row r="559" spans="3:7" x14ac:dyDescent="0.25">
      <c r="C559" t="s">
        <v>1847</v>
      </c>
      <c r="D559" s="104">
        <v>-2930135.96</v>
      </c>
      <c r="E559">
        <v>0</v>
      </c>
      <c r="F559">
        <v>0</v>
      </c>
      <c r="G559" s="104">
        <v>-2930135.96</v>
      </c>
    </row>
    <row r="560" spans="3:7" x14ac:dyDescent="0.25">
      <c r="C560" t="s">
        <v>1821</v>
      </c>
      <c r="D560" s="104">
        <v>-2782</v>
      </c>
      <c r="E560">
        <v>0</v>
      </c>
      <c r="F560">
        <v>0</v>
      </c>
      <c r="G560" s="104">
        <v>-2782</v>
      </c>
    </row>
    <row r="561" spans="2:7" x14ac:dyDescent="0.25">
      <c r="C561" t="s">
        <v>1824</v>
      </c>
      <c r="D561" s="104">
        <v>-1059263.79</v>
      </c>
      <c r="E561" s="104">
        <v>640443.52</v>
      </c>
      <c r="F561">
        <v>0</v>
      </c>
      <c r="G561" s="104">
        <v>-418820.27</v>
      </c>
    </row>
    <row r="562" spans="2:7" x14ac:dyDescent="0.25">
      <c r="C562" t="s">
        <v>1826</v>
      </c>
      <c r="D562" s="104">
        <v>-4022352.19</v>
      </c>
      <c r="E562">
        <v>0</v>
      </c>
      <c r="F562">
        <v>0</v>
      </c>
      <c r="G562" s="104">
        <v>-4022352.19</v>
      </c>
    </row>
    <row r="563" spans="2:7" x14ac:dyDescent="0.25">
      <c r="C563" t="s">
        <v>1857</v>
      </c>
      <c r="D563" s="104">
        <v>-35529.64</v>
      </c>
      <c r="E563">
        <v>0</v>
      </c>
      <c r="F563">
        <v>0</v>
      </c>
      <c r="G563" s="104">
        <v>-35529.64</v>
      </c>
    </row>
    <row r="564" spans="2:7" x14ac:dyDescent="0.25">
      <c r="C564" t="s">
        <v>1840</v>
      </c>
      <c r="D564" s="104">
        <v>-272203.59999999998</v>
      </c>
      <c r="E564">
        <v>0</v>
      </c>
      <c r="F564">
        <v>0</v>
      </c>
      <c r="G564" s="104">
        <v>-272203.59999999998</v>
      </c>
    </row>
    <row r="565" spans="2:7" x14ac:dyDescent="0.25">
      <c r="C565" t="s">
        <v>1841</v>
      </c>
      <c r="D565" s="104">
        <v>-18733.47</v>
      </c>
      <c r="E565">
        <v>0</v>
      </c>
      <c r="F565">
        <v>0</v>
      </c>
      <c r="G565" s="104">
        <v>-18733.47</v>
      </c>
    </row>
    <row r="566" spans="2:7" x14ac:dyDescent="0.25">
      <c r="C566" t="s">
        <v>1846</v>
      </c>
      <c r="D566" s="104">
        <v>-26532.23</v>
      </c>
      <c r="E566">
        <v>0</v>
      </c>
      <c r="F566">
        <v>0</v>
      </c>
      <c r="G566" s="104">
        <v>-26532.23</v>
      </c>
    </row>
    <row r="567" spans="2:7" x14ac:dyDescent="0.25">
      <c r="C567" t="s">
        <v>1849</v>
      </c>
      <c r="D567" s="104">
        <v>-3428411.65</v>
      </c>
      <c r="E567" s="104">
        <v>280917.7</v>
      </c>
      <c r="F567">
        <v>0</v>
      </c>
      <c r="G567" s="104">
        <v>-3147493.95</v>
      </c>
    </row>
    <row r="568" spans="2:7" x14ac:dyDescent="0.25">
      <c r="C568" t="s">
        <v>1852</v>
      </c>
      <c r="D568" s="104">
        <v>-570984.4</v>
      </c>
      <c r="E568">
        <v>0</v>
      </c>
      <c r="F568">
        <v>0</v>
      </c>
      <c r="G568" s="104">
        <v>-570984.4</v>
      </c>
    </row>
    <row r="569" spans="2:7" x14ac:dyDescent="0.25">
      <c r="C569" t="s">
        <v>1870</v>
      </c>
      <c r="D569" s="104">
        <v>-2251795.11</v>
      </c>
      <c r="E569">
        <v>0</v>
      </c>
      <c r="F569">
        <v>0</v>
      </c>
      <c r="G569" s="104">
        <v>-2251795.11</v>
      </c>
    </row>
    <row r="570" spans="2:7" x14ac:dyDescent="0.25">
      <c r="B570" t="s">
        <v>1587</v>
      </c>
      <c r="D570" s="104">
        <v>-32971844.91</v>
      </c>
      <c r="E570" s="104">
        <v>1099932.6499999999</v>
      </c>
      <c r="F570">
        <v>0</v>
      </c>
      <c r="G570" s="104">
        <v>-31871912.260000002</v>
      </c>
    </row>
    <row r="572" spans="2:7" x14ac:dyDescent="0.25">
      <c r="B572">
        <v>10301050</v>
      </c>
      <c r="C572" t="s">
        <v>2002</v>
      </c>
      <c r="D572" s="104">
        <v>73407471</v>
      </c>
      <c r="E572" s="104">
        <v>10042159.6</v>
      </c>
      <c r="F572" s="104">
        <v>14185177.65</v>
      </c>
      <c r="G572" s="104">
        <v>69264452.950000003</v>
      </c>
    </row>
    <row r="573" spans="2:7" x14ac:dyDescent="0.25">
      <c r="B573" t="s">
        <v>2003</v>
      </c>
      <c r="C573" t="s">
        <v>89</v>
      </c>
    </row>
    <row r="574" spans="2:7" x14ac:dyDescent="0.25">
      <c r="C574" t="s">
        <v>2004</v>
      </c>
      <c r="D574" s="104">
        <v>58391382.329999998</v>
      </c>
      <c r="E574" s="104">
        <v>7159767.2800000003</v>
      </c>
      <c r="F574">
        <v>0</v>
      </c>
      <c r="G574" s="104">
        <v>65551149.609999999</v>
      </c>
    </row>
    <row r="575" spans="2:7" x14ac:dyDescent="0.25">
      <c r="C575" t="s">
        <v>1796</v>
      </c>
      <c r="D575" s="104">
        <v>17665783.190000001</v>
      </c>
      <c r="E575" s="104">
        <v>376977.26</v>
      </c>
      <c r="F575">
        <v>0</v>
      </c>
      <c r="G575" s="104">
        <v>18042760.449999999</v>
      </c>
    </row>
    <row r="576" spans="2:7" x14ac:dyDescent="0.25">
      <c r="C576" t="s">
        <v>1797</v>
      </c>
      <c r="D576" s="104">
        <v>35977638.920000002</v>
      </c>
      <c r="E576" s="104">
        <v>451076.32</v>
      </c>
      <c r="F576">
        <v>0</v>
      </c>
      <c r="G576" s="104">
        <v>36428715.240000002</v>
      </c>
    </row>
    <row r="577" spans="2:7" x14ac:dyDescent="0.25">
      <c r="C577" t="s">
        <v>1798</v>
      </c>
      <c r="D577" s="104">
        <v>88024.95</v>
      </c>
      <c r="E577" s="104">
        <v>1392.24</v>
      </c>
      <c r="F577">
        <v>0</v>
      </c>
      <c r="G577" s="104">
        <v>89417.19</v>
      </c>
    </row>
    <row r="578" spans="2:7" x14ac:dyDescent="0.25">
      <c r="C578" t="s">
        <v>2748</v>
      </c>
      <c r="D578" s="104">
        <v>5537.09</v>
      </c>
      <c r="E578" s="104">
        <v>18005.97</v>
      </c>
      <c r="F578" s="104">
        <v>15024.12</v>
      </c>
      <c r="G578" s="104">
        <v>8518.94</v>
      </c>
    </row>
    <row r="579" spans="2:7" x14ac:dyDescent="0.25">
      <c r="C579" t="s">
        <v>2005</v>
      </c>
      <c r="D579">
        <v>0</v>
      </c>
      <c r="E579">
        <v>0</v>
      </c>
      <c r="F579">
        <v>0</v>
      </c>
      <c r="G579">
        <v>0</v>
      </c>
    </row>
    <row r="580" spans="2:7" x14ac:dyDescent="0.25">
      <c r="C580" t="s">
        <v>1745</v>
      </c>
      <c r="D580" s="104">
        <v>406195.99</v>
      </c>
      <c r="E580">
        <v>0</v>
      </c>
      <c r="F580">
        <v>0</v>
      </c>
      <c r="G580" s="104">
        <v>406195.99</v>
      </c>
    </row>
    <row r="581" spans="2:7" x14ac:dyDescent="0.25">
      <c r="C581" t="s">
        <v>1742</v>
      </c>
      <c r="D581">
        <v>0</v>
      </c>
      <c r="E581">
        <v>0</v>
      </c>
      <c r="F581">
        <v>0</v>
      </c>
      <c r="G581">
        <v>0</v>
      </c>
    </row>
    <row r="582" spans="2:7" x14ac:dyDescent="0.25">
      <c r="C582" t="s">
        <v>1724</v>
      </c>
      <c r="D582" s="104">
        <v>-6707850.75</v>
      </c>
      <c r="E582">
        <v>0</v>
      </c>
      <c r="F582" s="104">
        <v>12731053.529999999</v>
      </c>
      <c r="G582" s="104">
        <v>-19438904.280000001</v>
      </c>
    </row>
    <row r="583" spans="2:7" x14ac:dyDescent="0.25">
      <c r="C583" t="s">
        <v>1736</v>
      </c>
      <c r="D583" s="104">
        <v>-68480829.640000001</v>
      </c>
      <c r="E583">
        <v>0</v>
      </c>
      <c r="F583" s="104">
        <v>1439100</v>
      </c>
      <c r="G583" s="104">
        <v>-69919929.640000001</v>
      </c>
    </row>
    <row r="584" spans="2:7" x14ac:dyDescent="0.25">
      <c r="C584" t="s">
        <v>1743</v>
      </c>
      <c r="D584" s="104">
        <v>40605.03</v>
      </c>
      <c r="E584" s="104">
        <v>40605.03</v>
      </c>
      <c r="F584">
        <v>0</v>
      </c>
      <c r="G584" s="104">
        <v>81210.06</v>
      </c>
    </row>
    <row r="585" spans="2:7" x14ac:dyDescent="0.25">
      <c r="C585" t="s">
        <v>2006</v>
      </c>
      <c r="D585" s="104">
        <v>89481.15</v>
      </c>
      <c r="E585" s="104">
        <v>40635.019999999997</v>
      </c>
      <c r="F585">
        <v>0</v>
      </c>
      <c r="G585" s="104">
        <v>130116.17</v>
      </c>
    </row>
    <row r="586" spans="2:7" x14ac:dyDescent="0.25">
      <c r="C586" t="s">
        <v>1738</v>
      </c>
      <c r="D586" s="104">
        <v>1300940.8999999999</v>
      </c>
      <c r="E586" s="104">
        <v>1953700.48</v>
      </c>
      <c r="F586">
        <v>0</v>
      </c>
      <c r="G586" s="104">
        <v>3254641.38</v>
      </c>
    </row>
    <row r="587" spans="2:7" x14ac:dyDescent="0.25">
      <c r="C587" t="s">
        <v>1726</v>
      </c>
      <c r="D587" s="104">
        <v>-1757588.53</v>
      </c>
      <c r="E587">
        <v>0</v>
      </c>
      <c r="F587">
        <v>0</v>
      </c>
      <c r="G587" s="104">
        <v>-1757588.53</v>
      </c>
    </row>
    <row r="588" spans="2:7" x14ac:dyDescent="0.25">
      <c r="C588" t="s">
        <v>1744</v>
      </c>
      <c r="D588">
        <v>0</v>
      </c>
      <c r="E588">
        <v>0</v>
      </c>
      <c r="F588">
        <v>0</v>
      </c>
      <c r="G588">
        <v>0</v>
      </c>
    </row>
    <row r="589" spans="2:7" x14ac:dyDescent="0.25">
      <c r="C589" t="s">
        <v>2749</v>
      </c>
      <c r="D589">
        <v>28.95</v>
      </c>
      <c r="E589">
        <v>0</v>
      </c>
      <c r="F589">
        <v>0</v>
      </c>
      <c r="G589">
        <v>28.95</v>
      </c>
    </row>
    <row r="590" spans="2:7" x14ac:dyDescent="0.25">
      <c r="B590" t="s">
        <v>1587</v>
      </c>
      <c r="D590" s="104">
        <v>37019349.579999998</v>
      </c>
      <c r="E590" s="104">
        <v>10042159.6</v>
      </c>
      <c r="F590" s="104">
        <v>14185177.65</v>
      </c>
      <c r="G590" s="104">
        <v>32876331.530000001</v>
      </c>
    </row>
    <row r="592" spans="2:7" x14ac:dyDescent="0.25">
      <c r="B592" t="s">
        <v>2007</v>
      </c>
      <c r="C592" t="s">
        <v>92</v>
      </c>
    </row>
    <row r="593" spans="2:7" x14ac:dyDescent="0.25">
      <c r="C593" t="s">
        <v>1765</v>
      </c>
      <c r="D593" s="104">
        <v>642159.91</v>
      </c>
      <c r="E593">
        <v>0</v>
      </c>
      <c r="F593">
        <v>0</v>
      </c>
      <c r="G593" s="104">
        <v>642159.91</v>
      </c>
    </row>
    <row r="594" spans="2:7" x14ac:dyDescent="0.25">
      <c r="C594" t="s">
        <v>1768</v>
      </c>
      <c r="D594" s="104">
        <v>11380295.960000001</v>
      </c>
      <c r="E594">
        <v>0</v>
      </c>
      <c r="F594">
        <v>0</v>
      </c>
      <c r="G594" s="104">
        <v>11380295.960000001</v>
      </c>
    </row>
    <row r="595" spans="2:7" x14ac:dyDescent="0.25">
      <c r="C595" t="s">
        <v>1769</v>
      </c>
      <c r="D595" s="104">
        <v>4077263.28</v>
      </c>
      <c r="E595">
        <v>0</v>
      </c>
      <c r="F595">
        <v>0</v>
      </c>
      <c r="G595" s="104">
        <v>4077263.28</v>
      </c>
    </row>
    <row r="596" spans="2:7" x14ac:dyDescent="0.25">
      <c r="C596" t="s">
        <v>1959</v>
      </c>
      <c r="D596" s="104">
        <v>1789912.16</v>
      </c>
      <c r="E596">
        <v>0</v>
      </c>
      <c r="F596">
        <v>0</v>
      </c>
      <c r="G596" s="104">
        <v>1789912.16</v>
      </c>
    </row>
    <row r="597" spans="2:7" x14ac:dyDescent="0.25">
      <c r="C597" t="s">
        <v>1772</v>
      </c>
      <c r="D597" s="104">
        <v>2219182.54</v>
      </c>
      <c r="E597">
        <v>0</v>
      </c>
      <c r="F597">
        <v>0</v>
      </c>
      <c r="G597" s="104">
        <v>2219182.54</v>
      </c>
    </row>
    <row r="598" spans="2:7" x14ac:dyDescent="0.25">
      <c r="C598" t="s">
        <v>1756</v>
      </c>
      <c r="D598" s="104">
        <v>16279307.57</v>
      </c>
      <c r="E598">
        <v>0</v>
      </c>
      <c r="F598">
        <v>0</v>
      </c>
      <c r="G598" s="104">
        <v>16279307.57</v>
      </c>
    </row>
    <row r="599" spans="2:7" x14ac:dyDescent="0.25">
      <c r="B599" t="s">
        <v>1587</v>
      </c>
      <c r="D599" s="104">
        <v>36388121.420000002</v>
      </c>
      <c r="E599">
        <v>0</v>
      </c>
      <c r="F599">
        <v>0</v>
      </c>
      <c r="G599" s="104">
        <v>36388121.420000002</v>
      </c>
    </row>
    <row r="601" spans="2:7" x14ac:dyDescent="0.25">
      <c r="B601" t="s">
        <v>2008</v>
      </c>
      <c r="C601" t="s">
        <v>2009</v>
      </c>
    </row>
    <row r="602" spans="2:7" x14ac:dyDescent="0.25">
      <c r="B602">
        <v>10301051</v>
      </c>
      <c r="C602" t="s">
        <v>94</v>
      </c>
    </row>
    <row r="603" spans="2:7" x14ac:dyDescent="0.25">
      <c r="C603" t="s">
        <v>1765</v>
      </c>
      <c r="D603" s="104">
        <v>-642159.91</v>
      </c>
      <c r="E603">
        <v>0</v>
      </c>
      <c r="F603">
        <v>0</v>
      </c>
      <c r="G603" s="104">
        <v>-642159.91</v>
      </c>
    </row>
    <row r="604" spans="2:7" x14ac:dyDescent="0.25">
      <c r="C604" t="s">
        <v>1768</v>
      </c>
      <c r="D604" s="104">
        <v>-11380295.960000001</v>
      </c>
      <c r="E604">
        <v>0</v>
      </c>
      <c r="F604">
        <v>0</v>
      </c>
      <c r="G604" s="104">
        <v>-11380295.960000001</v>
      </c>
    </row>
    <row r="605" spans="2:7" x14ac:dyDescent="0.25">
      <c r="C605" t="s">
        <v>1769</v>
      </c>
      <c r="D605" s="104">
        <v>-4077263.28</v>
      </c>
      <c r="E605">
        <v>0</v>
      </c>
      <c r="F605">
        <v>0</v>
      </c>
      <c r="G605" s="104">
        <v>-4077263.28</v>
      </c>
    </row>
    <row r="606" spans="2:7" x14ac:dyDescent="0.25">
      <c r="C606" t="s">
        <v>1959</v>
      </c>
      <c r="D606" s="104">
        <v>-1789912.16</v>
      </c>
      <c r="E606">
        <v>0</v>
      </c>
      <c r="F606">
        <v>0</v>
      </c>
      <c r="G606" s="104">
        <v>-1789912.16</v>
      </c>
    </row>
    <row r="607" spans="2:7" x14ac:dyDescent="0.25">
      <c r="C607" t="s">
        <v>1772</v>
      </c>
      <c r="D607" s="104">
        <v>-2219182.54</v>
      </c>
      <c r="E607">
        <v>0</v>
      </c>
      <c r="F607">
        <v>0</v>
      </c>
      <c r="G607" s="104">
        <v>-2219182.54</v>
      </c>
    </row>
    <row r="608" spans="2:7" x14ac:dyDescent="0.25">
      <c r="B608" t="s">
        <v>1587</v>
      </c>
      <c r="D608" s="104">
        <v>-20108813.850000001</v>
      </c>
      <c r="E608">
        <v>0</v>
      </c>
      <c r="F608">
        <v>0</v>
      </c>
      <c r="G608" s="104">
        <v>-20108813.850000001</v>
      </c>
    </row>
    <row r="610" spans="2:7" x14ac:dyDescent="0.25">
      <c r="B610">
        <v>10301070</v>
      </c>
      <c r="C610" t="s">
        <v>2010</v>
      </c>
      <c r="D610" s="104">
        <v>1115088321.3199999</v>
      </c>
      <c r="E610">
        <v>0</v>
      </c>
      <c r="F610">
        <v>0</v>
      </c>
      <c r="G610" s="104">
        <v>1115088321.3199999</v>
      </c>
    </row>
    <row r="611" spans="2:7" x14ac:dyDescent="0.25">
      <c r="B611" t="s">
        <v>2011</v>
      </c>
      <c r="C611" t="s">
        <v>74</v>
      </c>
    </row>
    <row r="612" spans="2:7" x14ac:dyDescent="0.25">
      <c r="C612" t="s">
        <v>1784</v>
      </c>
      <c r="D612" s="104">
        <v>13500000</v>
      </c>
      <c r="E612">
        <v>0</v>
      </c>
      <c r="F612">
        <v>0</v>
      </c>
      <c r="G612" s="104">
        <v>13500000</v>
      </c>
    </row>
    <row r="613" spans="2:7" x14ac:dyDescent="0.25">
      <c r="B613" t="s">
        <v>1587</v>
      </c>
      <c r="D613" s="104">
        <v>13500000</v>
      </c>
      <c r="E613">
        <v>0</v>
      </c>
      <c r="F613">
        <v>0</v>
      </c>
      <c r="G613" s="104">
        <v>13500000</v>
      </c>
    </row>
    <row r="615" spans="2:7" x14ac:dyDescent="0.25">
      <c r="B615" t="s">
        <v>2012</v>
      </c>
      <c r="C615" t="s">
        <v>84</v>
      </c>
    </row>
    <row r="616" spans="2:7" x14ac:dyDescent="0.25">
      <c r="C616" t="s">
        <v>1759</v>
      </c>
      <c r="D616" s="104">
        <v>478648109.88999999</v>
      </c>
      <c r="E616">
        <v>0</v>
      </c>
      <c r="F616">
        <v>0</v>
      </c>
      <c r="G616" s="104">
        <v>478648109.88999999</v>
      </c>
    </row>
    <row r="617" spans="2:7" x14ac:dyDescent="0.25">
      <c r="C617" t="s">
        <v>1760</v>
      </c>
      <c r="D617" s="104">
        <v>158478869.00999999</v>
      </c>
      <c r="E617">
        <v>0</v>
      </c>
      <c r="F617">
        <v>0</v>
      </c>
      <c r="G617" s="104">
        <v>158478869.00999999</v>
      </c>
    </row>
    <row r="618" spans="2:7" x14ac:dyDescent="0.25">
      <c r="C618" t="s">
        <v>1765</v>
      </c>
      <c r="D618" s="104">
        <v>825060</v>
      </c>
      <c r="E618">
        <v>0</v>
      </c>
      <c r="F618">
        <v>0</v>
      </c>
      <c r="G618" s="104">
        <v>825060</v>
      </c>
    </row>
    <row r="619" spans="2:7" x14ac:dyDescent="0.25">
      <c r="C619" t="s">
        <v>1766</v>
      </c>
      <c r="D619" s="104">
        <v>10192000.02</v>
      </c>
      <c r="E619">
        <v>0</v>
      </c>
      <c r="F619">
        <v>0</v>
      </c>
      <c r="G619" s="104">
        <v>10192000.02</v>
      </c>
    </row>
    <row r="620" spans="2:7" x14ac:dyDescent="0.25">
      <c r="C620" t="s">
        <v>1993</v>
      </c>
      <c r="D620" s="104">
        <v>44212316</v>
      </c>
      <c r="E620">
        <v>0</v>
      </c>
      <c r="F620">
        <v>0</v>
      </c>
      <c r="G620" s="104">
        <v>44212316</v>
      </c>
    </row>
    <row r="621" spans="2:7" x14ac:dyDescent="0.25">
      <c r="C621" t="s">
        <v>1768</v>
      </c>
      <c r="D621" s="104">
        <v>291795254.39999998</v>
      </c>
      <c r="E621">
        <v>0</v>
      </c>
      <c r="F621">
        <v>0</v>
      </c>
      <c r="G621" s="104">
        <v>291795254.39999998</v>
      </c>
    </row>
    <row r="622" spans="2:7" x14ac:dyDescent="0.25">
      <c r="C622" t="s">
        <v>1772</v>
      </c>
      <c r="D622" s="104">
        <v>13000000</v>
      </c>
      <c r="E622">
        <v>0</v>
      </c>
      <c r="F622">
        <v>0</v>
      </c>
      <c r="G622" s="104">
        <v>13000000</v>
      </c>
    </row>
    <row r="623" spans="2:7" x14ac:dyDescent="0.25">
      <c r="C623" t="s">
        <v>1756</v>
      </c>
      <c r="D623" s="104">
        <v>56660401</v>
      </c>
      <c r="E623">
        <v>0</v>
      </c>
      <c r="F623">
        <v>0</v>
      </c>
      <c r="G623" s="104">
        <v>56660401</v>
      </c>
    </row>
    <row r="624" spans="2:7" x14ac:dyDescent="0.25">
      <c r="C624" t="s">
        <v>1769</v>
      </c>
      <c r="D624" s="104">
        <v>32763071.16</v>
      </c>
      <c r="E624">
        <v>0</v>
      </c>
      <c r="F624">
        <v>0</v>
      </c>
      <c r="G624" s="104">
        <v>32763071.16</v>
      </c>
    </row>
    <row r="625" spans="2:7" x14ac:dyDescent="0.25">
      <c r="C625" t="s">
        <v>1959</v>
      </c>
      <c r="D625" s="104">
        <v>15000000</v>
      </c>
      <c r="E625">
        <v>0</v>
      </c>
      <c r="F625">
        <v>0</v>
      </c>
      <c r="G625" s="104">
        <v>15000000</v>
      </c>
    </row>
    <row r="626" spans="2:7" x14ac:dyDescent="0.25">
      <c r="C626" t="s">
        <v>1998</v>
      </c>
      <c r="D626" s="104">
        <v>13239.84</v>
      </c>
      <c r="E626">
        <v>0</v>
      </c>
      <c r="F626">
        <v>0</v>
      </c>
      <c r="G626" s="104">
        <v>13239.84</v>
      </c>
    </row>
    <row r="627" spans="2:7" x14ac:dyDescent="0.25">
      <c r="B627" t="s">
        <v>1587</v>
      </c>
      <c r="D627" s="104">
        <v>1101588321.3199999</v>
      </c>
      <c r="E627">
        <v>0</v>
      </c>
      <c r="F627">
        <v>0</v>
      </c>
      <c r="G627" s="104">
        <v>1101588321.3199999</v>
      </c>
    </row>
    <row r="629" spans="2:7" x14ac:dyDescent="0.25">
      <c r="B629" t="s">
        <v>2013</v>
      </c>
      <c r="C629" t="s">
        <v>2014</v>
      </c>
    </row>
    <row r="630" spans="2:7" x14ac:dyDescent="0.25">
      <c r="B630">
        <v>10301071</v>
      </c>
      <c r="C630" t="s">
        <v>2015</v>
      </c>
      <c r="D630" s="104">
        <v>-1044927920.3200001</v>
      </c>
      <c r="E630">
        <v>0</v>
      </c>
      <c r="F630">
        <v>0</v>
      </c>
      <c r="G630" s="104">
        <v>-1044927920.3200001</v>
      </c>
    </row>
    <row r="631" spans="2:7" x14ac:dyDescent="0.25">
      <c r="B631" t="s">
        <v>2016</v>
      </c>
      <c r="C631" t="s">
        <v>76</v>
      </c>
    </row>
    <row r="632" spans="2:7" x14ac:dyDescent="0.25">
      <c r="B632" t="s">
        <v>2017</v>
      </c>
      <c r="C632" t="s">
        <v>2018</v>
      </c>
    </row>
    <row r="633" spans="2:7" x14ac:dyDescent="0.25">
      <c r="C633" t="s">
        <v>1759</v>
      </c>
      <c r="D633" s="104">
        <v>-478648109.88999999</v>
      </c>
      <c r="E633">
        <v>0</v>
      </c>
      <c r="F633">
        <v>0</v>
      </c>
      <c r="G633" s="104">
        <v>-478648109.88999999</v>
      </c>
    </row>
    <row r="634" spans="2:7" x14ac:dyDescent="0.25">
      <c r="C634" t="s">
        <v>1760</v>
      </c>
      <c r="D634" s="104">
        <v>-158478869.00999999</v>
      </c>
      <c r="E634">
        <v>0</v>
      </c>
      <c r="F634">
        <v>0</v>
      </c>
      <c r="G634" s="104">
        <v>-158478869.00999999</v>
      </c>
    </row>
    <row r="635" spans="2:7" x14ac:dyDescent="0.25">
      <c r="C635" t="s">
        <v>1765</v>
      </c>
      <c r="D635" s="104">
        <v>-825060</v>
      </c>
      <c r="E635">
        <v>0</v>
      </c>
      <c r="F635">
        <v>0</v>
      </c>
      <c r="G635" s="104">
        <v>-825060</v>
      </c>
    </row>
    <row r="636" spans="2:7" x14ac:dyDescent="0.25">
      <c r="C636" t="s">
        <v>1766</v>
      </c>
      <c r="D636" s="104">
        <v>-10192000.02</v>
      </c>
      <c r="E636">
        <v>0</v>
      </c>
      <c r="F636">
        <v>0</v>
      </c>
      <c r="G636" s="104">
        <v>-10192000.02</v>
      </c>
    </row>
    <row r="637" spans="2:7" x14ac:dyDescent="0.25">
      <c r="C637" t="s">
        <v>1993</v>
      </c>
      <c r="D637" s="104">
        <v>-44212316</v>
      </c>
      <c r="E637">
        <v>0</v>
      </c>
      <c r="F637">
        <v>0</v>
      </c>
      <c r="G637" s="104">
        <v>-44212316</v>
      </c>
    </row>
    <row r="638" spans="2:7" x14ac:dyDescent="0.25">
      <c r="C638" t="s">
        <v>1768</v>
      </c>
      <c r="D638" s="104">
        <v>-291795254.39999998</v>
      </c>
      <c r="E638">
        <v>0</v>
      </c>
      <c r="F638">
        <v>0</v>
      </c>
      <c r="G638" s="104">
        <v>-291795254.39999998</v>
      </c>
    </row>
    <row r="639" spans="2:7" x14ac:dyDescent="0.25">
      <c r="C639" t="s">
        <v>1769</v>
      </c>
      <c r="D639" s="104">
        <v>-32763071.16</v>
      </c>
      <c r="E639">
        <v>0</v>
      </c>
      <c r="F639">
        <v>0</v>
      </c>
      <c r="G639" s="104">
        <v>-32763071.16</v>
      </c>
    </row>
    <row r="640" spans="2:7" x14ac:dyDescent="0.25">
      <c r="C640" t="s">
        <v>1959</v>
      </c>
      <c r="D640" s="104">
        <v>-15000000</v>
      </c>
      <c r="E640">
        <v>0</v>
      </c>
      <c r="F640">
        <v>0</v>
      </c>
      <c r="G640" s="104">
        <v>-15000000</v>
      </c>
    </row>
    <row r="641" spans="2:7" x14ac:dyDescent="0.25">
      <c r="C641" t="s">
        <v>1772</v>
      </c>
      <c r="D641" s="104">
        <v>-13000000</v>
      </c>
      <c r="E641">
        <v>0</v>
      </c>
      <c r="F641">
        <v>0</v>
      </c>
      <c r="G641" s="104">
        <v>-13000000</v>
      </c>
    </row>
    <row r="642" spans="2:7" x14ac:dyDescent="0.25">
      <c r="C642" t="s">
        <v>1998</v>
      </c>
      <c r="D642" s="104">
        <v>-13239.84</v>
      </c>
      <c r="E642">
        <v>0</v>
      </c>
      <c r="F642">
        <v>0</v>
      </c>
      <c r="G642" s="104">
        <v>-13239.84</v>
      </c>
    </row>
    <row r="643" spans="2:7" x14ac:dyDescent="0.25">
      <c r="B643" t="s">
        <v>1587</v>
      </c>
      <c r="D643" s="104">
        <v>-1044927920.3200001</v>
      </c>
      <c r="E643">
        <v>0</v>
      </c>
      <c r="F643">
        <v>0</v>
      </c>
      <c r="G643" s="104">
        <v>-1044927920.3200001</v>
      </c>
    </row>
    <row r="645" spans="2:7" x14ac:dyDescent="0.25">
      <c r="B645">
        <v>10301990</v>
      </c>
      <c r="C645" t="s">
        <v>2019</v>
      </c>
      <c r="D645" s="104">
        <v>19134011.84</v>
      </c>
      <c r="E645">
        <v>0</v>
      </c>
      <c r="F645" s="104">
        <v>20661.419999999998</v>
      </c>
      <c r="G645" s="104">
        <v>19113350.420000002</v>
      </c>
    </row>
    <row r="646" spans="2:7" x14ac:dyDescent="0.25">
      <c r="B646" t="s">
        <v>2020</v>
      </c>
      <c r="C646" t="s">
        <v>2021</v>
      </c>
    </row>
    <row r="647" spans="2:7" x14ac:dyDescent="0.25">
      <c r="C647" t="s">
        <v>1975</v>
      </c>
      <c r="D647">
        <v>0</v>
      </c>
      <c r="E647">
        <v>0</v>
      </c>
      <c r="F647">
        <v>0</v>
      </c>
      <c r="G647">
        <v>0</v>
      </c>
    </row>
    <row r="648" spans="2:7" x14ac:dyDescent="0.25">
      <c r="C648" t="s">
        <v>2022</v>
      </c>
      <c r="D648">
        <v>0</v>
      </c>
      <c r="E648">
        <v>0</v>
      </c>
      <c r="F648">
        <v>0</v>
      </c>
      <c r="G648">
        <v>0</v>
      </c>
    </row>
    <row r="649" spans="2:7" x14ac:dyDescent="0.25">
      <c r="C649" t="s">
        <v>1723</v>
      </c>
      <c r="D649">
        <v>0</v>
      </c>
      <c r="E649">
        <v>0</v>
      </c>
      <c r="F649">
        <v>0</v>
      </c>
      <c r="G649">
        <v>0</v>
      </c>
    </row>
    <row r="650" spans="2:7" x14ac:dyDescent="0.25">
      <c r="C650" t="s">
        <v>2023</v>
      </c>
      <c r="D650">
        <v>0</v>
      </c>
      <c r="E650">
        <v>0</v>
      </c>
      <c r="F650">
        <v>0</v>
      </c>
      <c r="G650">
        <v>0</v>
      </c>
    </row>
    <row r="651" spans="2:7" x14ac:dyDescent="0.25">
      <c r="C651" t="s">
        <v>2025</v>
      </c>
      <c r="D651">
        <v>0</v>
      </c>
      <c r="E651">
        <v>0</v>
      </c>
      <c r="F651">
        <v>0</v>
      </c>
      <c r="G651">
        <v>0</v>
      </c>
    </row>
    <row r="652" spans="2:7" x14ac:dyDescent="0.25">
      <c r="C652" t="s">
        <v>2026</v>
      </c>
      <c r="D652">
        <v>0</v>
      </c>
      <c r="E652">
        <v>0</v>
      </c>
      <c r="F652">
        <v>0</v>
      </c>
      <c r="G652">
        <v>0</v>
      </c>
    </row>
    <row r="653" spans="2:7" x14ac:dyDescent="0.25">
      <c r="C653" t="s">
        <v>2027</v>
      </c>
      <c r="D653">
        <v>0</v>
      </c>
      <c r="E653">
        <v>0</v>
      </c>
      <c r="F653">
        <v>0</v>
      </c>
      <c r="G653">
        <v>0</v>
      </c>
    </row>
    <row r="654" spans="2:7" x14ac:dyDescent="0.25">
      <c r="C654" t="s">
        <v>1945</v>
      </c>
      <c r="D654" s="104">
        <v>14863.02</v>
      </c>
      <c r="E654">
        <v>0</v>
      </c>
      <c r="F654">
        <v>0</v>
      </c>
      <c r="G654" s="104">
        <v>14863.02</v>
      </c>
    </row>
    <row r="655" spans="2:7" x14ac:dyDescent="0.25">
      <c r="C655" t="s">
        <v>2028</v>
      </c>
      <c r="D655">
        <v>0</v>
      </c>
      <c r="E655">
        <v>0</v>
      </c>
      <c r="F655">
        <v>0</v>
      </c>
      <c r="G655">
        <v>0</v>
      </c>
    </row>
    <row r="656" spans="2:7" x14ac:dyDescent="0.25">
      <c r="C656" t="s">
        <v>1977</v>
      </c>
      <c r="D656">
        <v>0</v>
      </c>
      <c r="E656">
        <v>0</v>
      </c>
      <c r="F656">
        <v>0</v>
      </c>
      <c r="G656">
        <v>0</v>
      </c>
    </row>
    <row r="657" spans="2:7" x14ac:dyDescent="0.25">
      <c r="C657" t="s">
        <v>2029</v>
      </c>
      <c r="D657">
        <v>0</v>
      </c>
      <c r="E657">
        <v>0</v>
      </c>
      <c r="F657">
        <v>0</v>
      </c>
      <c r="G657">
        <v>0</v>
      </c>
    </row>
    <row r="658" spans="2:7" x14ac:dyDescent="0.25">
      <c r="C658" t="s">
        <v>2030</v>
      </c>
      <c r="D658">
        <v>0</v>
      </c>
      <c r="E658">
        <v>0</v>
      </c>
      <c r="F658">
        <v>0</v>
      </c>
      <c r="G658">
        <v>0</v>
      </c>
    </row>
    <row r="659" spans="2:7" x14ac:dyDescent="0.25">
      <c r="C659" t="s">
        <v>2031</v>
      </c>
      <c r="D659">
        <v>0</v>
      </c>
      <c r="E659">
        <v>0</v>
      </c>
      <c r="F659">
        <v>0</v>
      </c>
      <c r="G659">
        <v>0</v>
      </c>
    </row>
    <row r="660" spans="2:7" x14ac:dyDescent="0.25">
      <c r="C660" t="s">
        <v>2032</v>
      </c>
      <c r="D660">
        <v>0</v>
      </c>
      <c r="E660">
        <v>0</v>
      </c>
      <c r="F660">
        <v>0</v>
      </c>
      <c r="G660">
        <v>0</v>
      </c>
    </row>
    <row r="661" spans="2:7" x14ac:dyDescent="0.25">
      <c r="C661" t="s">
        <v>2033</v>
      </c>
      <c r="D661">
        <v>0</v>
      </c>
      <c r="E661">
        <v>0</v>
      </c>
      <c r="F661">
        <v>0</v>
      </c>
      <c r="G661">
        <v>0</v>
      </c>
    </row>
    <row r="662" spans="2:7" x14ac:dyDescent="0.25">
      <c r="C662" t="s">
        <v>2436</v>
      </c>
      <c r="D662" s="104">
        <v>11000000</v>
      </c>
      <c r="E662">
        <v>0</v>
      </c>
      <c r="F662">
        <v>0</v>
      </c>
      <c r="G662" s="104">
        <v>11000000</v>
      </c>
    </row>
    <row r="663" spans="2:7" x14ac:dyDescent="0.25">
      <c r="B663" t="s">
        <v>1587</v>
      </c>
      <c r="D663" s="104">
        <v>11014863.02</v>
      </c>
      <c r="E663">
        <v>0</v>
      </c>
      <c r="F663">
        <v>0</v>
      </c>
      <c r="G663" s="104">
        <v>11014863.02</v>
      </c>
    </row>
    <row r="665" spans="2:7" x14ac:dyDescent="0.25">
      <c r="B665" t="s">
        <v>2034</v>
      </c>
      <c r="C665" t="s">
        <v>123</v>
      </c>
    </row>
    <row r="666" spans="2:7" x14ac:dyDescent="0.25">
      <c r="C666" t="s">
        <v>2035</v>
      </c>
      <c r="D666">
        <v>0</v>
      </c>
      <c r="E666">
        <v>0</v>
      </c>
      <c r="F666">
        <v>0</v>
      </c>
      <c r="G666">
        <v>0</v>
      </c>
    </row>
    <row r="667" spans="2:7" x14ac:dyDescent="0.25">
      <c r="C667" t="s">
        <v>2030</v>
      </c>
      <c r="D667" s="104">
        <v>48779.76</v>
      </c>
      <c r="E667">
        <v>0</v>
      </c>
      <c r="F667" s="104">
        <v>12194.94</v>
      </c>
      <c r="G667" s="104">
        <v>36584.82</v>
      </c>
    </row>
    <row r="668" spans="2:7" x14ac:dyDescent="0.25">
      <c r="C668" t="s">
        <v>1952</v>
      </c>
      <c r="D668">
        <v>0</v>
      </c>
      <c r="E668">
        <v>0</v>
      </c>
      <c r="F668">
        <v>0</v>
      </c>
      <c r="G668">
        <v>0</v>
      </c>
    </row>
    <row r="669" spans="2:7" x14ac:dyDescent="0.25">
      <c r="B669" t="s">
        <v>1587</v>
      </c>
      <c r="D669" s="104">
        <v>48779.76</v>
      </c>
      <c r="E669">
        <v>0</v>
      </c>
      <c r="F669" s="104">
        <v>12194.94</v>
      </c>
      <c r="G669" s="104">
        <v>36584.82</v>
      </c>
    </row>
    <row r="671" spans="2:7" x14ac:dyDescent="0.25">
      <c r="B671" t="s">
        <v>2036</v>
      </c>
      <c r="C671" t="s">
        <v>119</v>
      </c>
    </row>
    <row r="672" spans="2:7" x14ac:dyDescent="0.25">
      <c r="C672" t="s">
        <v>1903</v>
      </c>
      <c r="D672">
        <v>0</v>
      </c>
      <c r="E672">
        <v>0</v>
      </c>
      <c r="F672">
        <v>0</v>
      </c>
      <c r="G672">
        <v>0</v>
      </c>
    </row>
    <row r="673" spans="3:7" x14ac:dyDescent="0.25">
      <c r="C673" t="s">
        <v>1904</v>
      </c>
      <c r="D673">
        <v>0</v>
      </c>
      <c r="E673">
        <v>0</v>
      </c>
      <c r="F673">
        <v>0</v>
      </c>
      <c r="G673">
        <v>0</v>
      </c>
    </row>
    <row r="674" spans="3:7" x14ac:dyDescent="0.25">
      <c r="C674" t="s">
        <v>1915</v>
      </c>
      <c r="D674">
        <v>0</v>
      </c>
      <c r="E674">
        <v>0</v>
      </c>
      <c r="F674">
        <v>0</v>
      </c>
      <c r="G674">
        <v>0</v>
      </c>
    </row>
    <row r="675" spans="3:7" x14ac:dyDescent="0.25">
      <c r="C675" t="s">
        <v>1917</v>
      </c>
      <c r="D675" s="104">
        <v>9242.02</v>
      </c>
      <c r="E675">
        <v>0</v>
      </c>
      <c r="F675" s="104">
        <v>3416.29</v>
      </c>
      <c r="G675" s="104">
        <v>5825.73</v>
      </c>
    </row>
    <row r="676" spans="3:7" x14ac:dyDescent="0.25">
      <c r="C676" t="s">
        <v>1918</v>
      </c>
      <c r="D676" s="104">
        <v>617282.92000000004</v>
      </c>
      <c r="E676">
        <v>0</v>
      </c>
      <c r="F676">
        <v>0</v>
      </c>
      <c r="G676" s="104">
        <v>617282.92000000004</v>
      </c>
    </row>
    <row r="677" spans="3:7" x14ac:dyDescent="0.25">
      <c r="C677" t="s">
        <v>1921</v>
      </c>
      <c r="D677">
        <v>0</v>
      </c>
      <c r="E677">
        <v>0</v>
      </c>
      <c r="F677">
        <v>0</v>
      </c>
      <c r="G677">
        <v>0</v>
      </c>
    </row>
    <row r="678" spans="3:7" x14ac:dyDescent="0.25">
      <c r="C678" t="s">
        <v>2037</v>
      </c>
      <c r="D678">
        <v>0</v>
      </c>
      <c r="E678">
        <v>0</v>
      </c>
      <c r="F678">
        <v>0</v>
      </c>
      <c r="G678">
        <v>0</v>
      </c>
    </row>
    <row r="679" spans="3:7" x14ac:dyDescent="0.25">
      <c r="C679" t="s">
        <v>2038</v>
      </c>
      <c r="D679">
        <v>0</v>
      </c>
      <c r="E679">
        <v>0</v>
      </c>
      <c r="F679">
        <v>0</v>
      </c>
      <c r="G679">
        <v>0</v>
      </c>
    </row>
    <row r="680" spans="3:7" x14ac:dyDescent="0.25">
      <c r="C680" t="s">
        <v>2039</v>
      </c>
      <c r="D680">
        <v>0</v>
      </c>
      <c r="E680">
        <v>0</v>
      </c>
      <c r="F680">
        <v>0</v>
      </c>
      <c r="G680">
        <v>0</v>
      </c>
    </row>
    <row r="681" spans="3:7" x14ac:dyDescent="0.25">
      <c r="C681" t="s">
        <v>2040</v>
      </c>
      <c r="D681">
        <v>0</v>
      </c>
      <c r="E681">
        <v>0</v>
      </c>
      <c r="F681">
        <v>0</v>
      </c>
      <c r="G681">
        <v>0</v>
      </c>
    </row>
    <row r="682" spans="3:7" x14ac:dyDescent="0.25">
      <c r="C682" t="s">
        <v>1928</v>
      </c>
      <c r="D682">
        <v>0</v>
      </c>
      <c r="E682">
        <v>0</v>
      </c>
      <c r="F682">
        <v>0</v>
      </c>
      <c r="G682">
        <v>0</v>
      </c>
    </row>
    <row r="683" spans="3:7" x14ac:dyDescent="0.25">
      <c r="C683" t="s">
        <v>1929</v>
      </c>
      <c r="D683">
        <v>0</v>
      </c>
      <c r="E683">
        <v>0</v>
      </c>
      <c r="F683">
        <v>0</v>
      </c>
      <c r="G683">
        <v>0</v>
      </c>
    </row>
    <row r="684" spans="3:7" x14ac:dyDescent="0.25">
      <c r="C684" t="s">
        <v>1932</v>
      </c>
      <c r="D684">
        <v>0</v>
      </c>
      <c r="E684">
        <v>0</v>
      </c>
      <c r="F684">
        <v>0</v>
      </c>
      <c r="G684">
        <v>0</v>
      </c>
    </row>
    <row r="685" spans="3:7" x14ac:dyDescent="0.25">
      <c r="C685" t="s">
        <v>1933</v>
      </c>
      <c r="D685">
        <v>395.34</v>
      </c>
      <c r="E685">
        <v>0</v>
      </c>
      <c r="F685">
        <v>0</v>
      </c>
      <c r="G685">
        <v>395.34</v>
      </c>
    </row>
    <row r="686" spans="3:7" x14ac:dyDescent="0.25">
      <c r="C686" t="s">
        <v>1936</v>
      </c>
      <c r="D686">
        <v>0</v>
      </c>
      <c r="E686">
        <v>0</v>
      </c>
      <c r="F686">
        <v>0</v>
      </c>
      <c r="G686">
        <v>0</v>
      </c>
    </row>
    <row r="687" spans="3:7" x14ac:dyDescent="0.25">
      <c r="C687" t="s">
        <v>1940</v>
      </c>
      <c r="D687">
        <v>0</v>
      </c>
      <c r="E687">
        <v>0</v>
      </c>
      <c r="F687">
        <v>0</v>
      </c>
      <c r="G687">
        <v>0</v>
      </c>
    </row>
    <row r="688" spans="3:7" x14ac:dyDescent="0.25">
      <c r="C688" t="s">
        <v>1977</v>
      </c>
      <c r="D688" s="104">
        <v>17915.189999999999</v>
      </c>
      <c r="E688">
        <v>0</v>
      </c>
      <c r="F688" s="104">
        <v>5050.1899999999996</v>
      </c>
      <c r="G688" s="104">
        <v>12865</v>
      </c>
    </row>
    <row r="689" spans="2:7" x14ac:dyDescent="0.25">
      <c r="C689" t="s">
        <v>2032</v>
      </c>
      <c r="D689">
        <v>0</v>
      </c>
      <c r="E689">
        <v>0</v>
      </c>
      <c r="F689">
        <v>0</v>
      </c>
      <c r="G689">
        <v>0</v>
      </c>
    </row>
    <row r="690" spans="2:7" x14ac:dyDescent="0.25">
      <c r="C690" t="s">
        <v>2041</v>
      </c>
      <c r="D690">
        <v>696.38</v>
      </c>
      <c r="E690">
        <v>0</v>
      </c>
      <c r="F690">
        <v>0</v>
      </c>
      <c r="G690">
        <v>696.38</v>
      </c>
    </row>
    <row r="691" spans="2:7" x14ac:dyDescent="0.25">
      <c r="B691" t="s">
        <v>1587</v>
      </c>
      <c r="D691" s="104">
        <v>645531.85</v>
      </c>
      <c r="E691">
        <v>0</v>
      </c>
      <c r="F691" s="104">
        <v>8466.48</v>
      </c>
      <c r="G691" s="104">
        <v>637065.37</v>
      </c>
    </row>
    <row r="693" spans="2:7" x14ac:dyDescent="0.25">
      <c r="B693" t="s">
        <v>2043</v>
      </c>
      <c r="C693" t="s">
        <v>137</v>
      </c>
    </row>
    <row r="694" spans="2:7" x14ac:dyDescent="0.25">
      <c r="C694" t="s">
        <v>1977</v>
      </c>
      <c r="D694">
        <v>0</v>
      </c>
      <c r="E694">
        <v>0</v>
      </c>
      <c r="F694">
        <v>0</v>
      </c>
      <c r="G694">
        <v>0</v>
      </c>
    </row>
    <row r="695" spans="2:7" x14ac:dyDescent="0.25">
      <c r="C695" t="s">
        <v>2030</v>
      </c>
      <c r="D695">
        <v>0</v>
      </c>
      <c r="E695">
        <v>0</v>
      </c>
      <c r="F695">
        <v>0</v>
      </c>
      <c r="G695">
        <v>0</v>
      </c>
    </row>
    <row r="696" spans="2:7" x14ac:dyDescent="0.25">
      <c r="C696" t="s">
        <v>2031</v>
      </c>
      <c r="D696">
        <v>0</v>
      </c>
      <c r="E696">
        <v>0</v>
      </c>
      <c r="F696">
        <v>0</v>
      </c>
      <c r="G696">
        <v>0</v>
      </c>
    </row>
    <row r="697" spans="2:7" x14ac:dyDescent="0.25">
      <c r="B697" t="s">
        <v>1587</v>
      </c>
      <c r="D697">
        <v>0</v>
      </c>
      <c r="E697">
        <v>0</v>
      </c>
      <c r="F697">
        <v>0</v>
      </c>
      <c r="G697">
        <v>0</v>
      </c>
    </row>
    <row r="699" spans="2:7" x14ac:dyDescent="0.25">
      <c r="B699" t="s">
        <v>2044</v>
      </c>
      <c r="C699" t="s">
        <v>129</v>
      </c>
    </row>
    <row r="700" spans="2:7" x14ac:dyDescent="0.25">
      <c r="C700" t="s">
        <v>1903</v>
      </c>
      <c r="D700" s="104">
        <v>322779.65999999997</v>
      </c>
      <c r="E700">
        <v>0</v>
      </c>
      <c r="F700">
        <v>0</v>
      </c>
      <c r="G700" s="104">
        <v>322779.65999999997</v>
      </c>
    </row>
    <row r="701" spans="2:7" x14ac:dyDescent="0.25">
      <c r="C701" t="s">
        <v>1904</v>
      </c>
      <c r="D701" s="104">
        <v>302847.77</v>
      </c>
      <c r="E701">
        <v>0</v>
      </c>
      <c r="F701">
        <v>0</v>
      </c>
      <c r="G701" s="104">
        <v>302847.77</v>
      </c>
    </row>
    <row r="702" spans="2:7" x14ac:dyDescent="0.25">
      <c r="C702" t="s">
        <v>1907</v>
      </c>
      <c r="D702" s="104">
        <v>264276.81</v>
      </c>
      <c r="E702">
        <v>0</v>
      </c>
      <c r="F702">
        <v>0</v>
      </c>
      <c r="G702" s="104">
        <v>264276.81</v>
      </c>
    </row>
    <row r="703" spans="2:7" x14ac:dyDescent="0.25">
      <c r="C703" t="s">
        <v>2045</v>
      </c>
      <c r="D703">
        <v>0</v>
      </c>
      <c r="E703">
        <v>0</v>
      </c>
      <c r="F703">
        <v>0</v>
      </c>
      <c r="G703">
        <v>0</v>
      </c>
    </row>
    <row r="704" spans="2:7" x14ac:dyDescent="0.25">
      <c r="C704" t="s">
        <v>1909</v>
      </c>
      <c r="D704" s="104">
        <v>142749.14000000001</v>
      </c>
      <c r="E704">
        <v>0</v>
      </c>
      <c r="F704">
        <v>0</v>
      </c>
      <c r="G704" s="104">
        <v>142749.14000000001</v>
      </c>
    </row>
    <row r="705" spans="3:7" x14ac:dyDescent="0.25">
      <c r="C705" t="s">
        <v>1910</v>
      </c>
      <c r="D705" s="104">
        <v>372201.03</v>
      </c>
      <c r="E705">
        <v>0</v>
      </c>
      <c r="F705">
        <v>0</v>
      </c>
      <c r="G705" s="104">
        <v>372201.03</v>
      </c>
    </row>
    <row r="706" spans="3:7" x14ac:dyDescent="0.25">
      <c r="C706" t="s">
        <v>1913</v>
      </c>
      <c r="D706" s="104">
        <v>265190.01</v>
      </c>
      <c r="E706">
        <v>0</v>
      </c>
      <c r="F706">
        <v>0</v>
      </c>
      <c r="G706" s="104">
        <v>265190.01</v>
      </c>
    </row>
    <row r="707" spans="3:7" x14ac:dyDescent="0.25">
      <c r="C707" t="s">
        <v>1915</v>
      </c>
      <c r="D707" s="104">
        <v>378597.42</v>
      </c>
      <c r="E707">
        <v>0</v>
      </c>
      <c r="F707">
        <v>0</v>
      </c>
      <c r="G707" s="104">
        <v>378597.42</v>
      </c>
    </row>
    <row r="708" spans="3:7" x14ac:dyDescent="0.25">
      <c r="C708" t="s">
        <v>1917</v>
      </c>
      <c r="D708" s="104">
        <v>1211</v>
      </c>
      <c r="E708">
        <v>0</v>
      </c>
      <c r="F708">
        <v>0</v>
      </c>
      <c r="G708" s="104">
        <v>1211</v>
      </c>
    </row>
    <row r="709" spans="3:7" x14ac:dyDescent="0.25">
      <c r="C709" t="s">
        <v>1918</v>
      </c>
      <c r="D709" s="104">
        <v>164526.79999999999</v>
      </c>
      <c r="E709">
        <v>0</v>
      </c>
      <c r="F709">
        <v>0</v>
      </c>
      <c r="G709" s="104">
        <v>164526.79999999999</v>
      </c>
    </row>
    <row r="710" spans="3:7" x14ac:dyDescent="0.25">
      <c r="C710" t="s">
        <v>1919</v>
      </c>
      <c r="D710" s="104">
        <v>199302.51</v>
      </c>
      <c r="E710">
        <v>0</v>
      </c>
      <c r="F710">
        <v>0</v>
      </c>
      <c r="G710" s="104">
        <v>199302.51</v>
      </c>
    </row>
    <row r="711" spans="3:7" x14ac:dyDescent="0.25">
      <c r="C711" t="s">
        <v>1920</v>
      </c>
      <c r="D711" s="104">
        <v>287613.33</v>
      </c>
      <c r="E711">
        <v>0</v>
      </c>
      <c r="F711">
        <v>0</v>
      </c>
      <c r="G711" s="104">
        <v>287613.33</v>
      </c>
    </row>
    <row r="712" spans="3:7" x14ac:dyDescent="0.25">
      <c r="C712" t="s">
        <v>1921</v>
      </c>
      <c r="D712" s="104">
        <v>450260.1</v>
      </c>
      <c r="E712">
        <v>0</v>
      </c>
      <c r="F712">
        <v>0</v>
      </c>
      <c r="G712" s="104">
        <v>450260.1</v>
      </c>
    </row>
    <row r="713" spans="3:7" x14ac:dyDescent="0.25">
      <c r="C713" t="s">
        <v>1927</v>
      </c>
      <c r="D713" s="104">
        <v>120738.28</v>
      </c>
      <c r="E713">
        <v>0</v>
      </c>
      <c r="F713">
        <v>0</v>
      </c>
      <c r="G713" s="104">
        <v>120738.28</v>
      </c>
    </row>
    <row r="714" spans="3:7" x14ac:dyDescent="0.25">
      <c r="C714" t="s">
        <v>1929</v>
      </c>
      <c r="D714" s="104">
        <v>179263.93</v>
      </c>
      <c r="E714">
        <v>0</v>
      </c>
      <c r="F714">
        <v>0</v>
      </c>
      <c r="G714" s="104">
        <v>179263.93</v>
      </c>
    </row>
    <row r="715" spans="3:7" x14ac:dyDescent="0.25">
      <c r="C715" t="s">
        <v>1932</v>
      </c>
      <c r="D715" s="104">
        <v>100600.11</v>
      </c>
      <c r="E715">
        <v>0</v>
      </c>
      <c r="F715">
        <v>0</v>
      </c>
      <c r="G715" s="104">
        <v>100600.11</v>
      </c>
    </row>
    <row r="716" spans="3:7" x14ac:dyDescent="0.25">
      <c r="C716" t="s">
        <v>1939</v>
      </c>
      <c r="D716" s="104">
        <v>1440576.22</v>
      </c>
      <c r="E716">
        <v>0</v>
      </c>
      <c r="F716">
        <v>0</v>
      </c>
      <c r="G716" s="104">
        <v>1440576.22</v>
      </c>
    </row>
    <row r="717" spans="3:7" x14ac:dyDescent="0.25">
      <c r="C717" t="s">
        <v>1977</v>
      </c>
      <c r="D717" s="104">
        <v>456542.95</v>
      </c>
      <c r="E717">
        <v>0</v>
      </c>
      <c r="F717">
        <v>0</v>
      </c>
      <c r="G717" s="104">
        <v>456542.95</v>
      </c>
    </row>
    <row r="718" spans="3:7" x14ac:dyDescent="0.25">
      <c r="C718" t="s">
        <v>1905</v>
      </c>
      <c r="D718" s="104">
        <v>298519.15000000002</v>
      </c>
      <c r="E718">
        <v>0</v>
      </c>
      <c r="F718">
        <v>0</v>
      </c>
      <c r="G718" s="104">
        <v>298519.15000000002</v>
      </c>
    </row>
    <row r="719" spans="3:7" x14ac:dyDescent="0.25">
      <c r="C719" t="s">
        <v>1908</v>
      </c>
      <c r="D719" s="104">
        <v>167767.29</v>
      </c>
      <c r="E719">
        <v>0</v>
      </c>
      <c r="F719">
        <v>0</v>
      </c>
      <c r="G719" s="104">
        <v>167767.29</v>
      </c>
    </row>
    <row r="720" spans="3:7" x14ac:dyDescent="0.25">
      <c r="C720" t="s">
        <v>1924</v>
      </c>
      <c r="D720" s="104">
        <v>406539.24</v>
      </c>
      <c r="E720">
        <v>0</v>
      </c>
      <c r="F720">
        <v>0</v>
      </c>
      <c r="G720" s="104">
        <v>406539.24</v>
      </c>
    </row>
    <row r="721" spans="2:7" x14ac:dyDescent="0.25">
      <c r="C721" t="s">
        <v>1930</v>
      </c>
      <c r="D721" s="104">
        <v>134069.76000000001</v>
      </c>
      <c r="E721">
        <v>0</v>
      </c>
      <c r="F721">
        <v>0</v>
      </c>
      <c r="G721" s="104">
        <v>134069.76000000001</v>
      </c>
    </row>
    <row r="722" spans="2:7" x14ac:dyDescent="0.25">
      <c r="B722" t="s">
        <v>1587</v>
      </c>
      <c r="D722" s="104">
        <v>6456172.5099999998</v>
      </c>
      <c r="E722">
        <v>0</v>
      </c>
      <c r="F722">
        <v>0</v>
      </c>
      <c r="G722" s="104">
        <v>6456172.5099999998</v>
      </c>
    </row>
    <row r="724" spans="2:7" x14ac:dyDescent="0.25">
      <c r="B724" t="s">
        <v>2046</v>
      </c>
      <c r="C724" t="s">
        <v>133</v>
      </c>
    </row>
    <row r="725" spans="2:7" x14ac:dyDescent="0.25">
      <c r="C725" t="s">
        <v>2030</v>
      </c>
      <c r="D725" s="104">
        <v>146339.34</v>
      </c>
      <c r="E725">
        <v>0</v>
      </c>
      <c r="F725">
        <v>0</v>
      </c>
      <c r="G725" s="104">
        <v>146339.34</v>
      </c>
    </row>
    <row r="726" spans="2:7" x14ac:dyDescent="0.25">
      <c r="C726" t="s">
        <v>1925</v>
      </c>
      <c r="D726" s="104">
        <v>378000</v>
      </c>
      <c r="E726">
        <v>0</v>
      </c>
      <c r="F726">
        <v>0</v>
      </c>
      <c r="G726" s="104">
        <v>378000</v>
      </c>
    </row>
    <row r="727" spans="2:7" x14ac:dyDescent="0.25">
      <c r="C727" t="s">
        <v>1926</v>
      </c>
      <c r="D727" s="104">
        <v>171212.2</v>
      </c>
      <c r="E727">
        <v>0</v>
      </c>
      <c r="F727">
        <v>0</v>
      </c>
      <c r="G727" s="104">
        <v>171212.2</v>
      </c>
    </row>
    <row r="728" spans="2:7" x14ac:dyDescent="0.25">
      <c r="C728" t="s">
        <v>1943</v>
      </c>
      <c r="D728" s="104">
        <v>273113.15999999997</v>
      </c>
      <c r="E728">
        <v>0</v>
      </c>
      <c r="F728">
        <v>0</v>
      </c>
      <c r="G728" s="104">
        <v>273113.15999999997</v>
      </c>
    </row>
    <row r="729" spans="2:7" x14ac:dyDescent="0.25">
      <c r="B729" t="s">
        <v>1587</v>
      </c>
      <c r="D729" s="104">
        <v>968664.7</v>
      </c>
      <c r="E729">
        <v>0</v>
      </c>
      <c r="F729">
        <v>0</v>
      </c>
      <c r="G729" s="104">
        <v>968664.7</v>
      </c>
    </row>
    <row r="731" spans="2:7" x14ac:dyDescent="0.25">
      <c r="B731">
        <v>10303010</v>
      </c>
      <c r="C731" t="s">
        <v>150</v>
      </c>
    </row>
    <row r="732" spans="2:7" x14ac:dyDescent="0.25">
      <c r="B732">
        <v>10303010</v>
      </c>
      <c r="C732" t="s">
        <v>150</v>
      </c>
      <c r="D732">
        <v>0</v>
      </c>
      <c r="E732">
        <v>0</v>
      </c>
      <c r="F732">
        <v>0</v>
      </c>
      <c r="G732">
        <v>0</v>
      </c>
    </row>
    <row r="733" spans="2:7" x14ac:dyDescent="0.25">
      <c r="B733" t="s">
        <v>2047</v>
      </c>
      <c r="C733" t="s">
        <v>150</v>
      </c>
    </row>
    <row r="734" spans="2:7" x14ac:dyDescent="0.25">
      <c r="C734" t="s">
        <v>2048</v>
      </c>
      <c r="D734" s="104">
        <v>2750005.33</v>
      </c>
      <c r="E734">
        <v>0</v>
      </c>
      <c r="F734">
        <v>0</v>
      </c>
      <c r="G734" s="104">
        <v>2750005.33</v>
      </c>
    </row>
    <row r="735" spans="2:7" x14ac:dyDescent="0.25">
      <c r="C735" t="s">
        <v>2049</v>
      </c>
      <c r="D735" s="104">
        <v>500699.3</v>
      </c>
      <c r="E735">
        <v>0</v>
      </c>
      <c r="F735">
        <v>0</v>
      </c>
      <c r="G735" s="104">
        <v>500699.3</v>
      </c>
    </row>
    <row r="736" spans="2:7" x14ac:dyDescent="0.25">
      <c r="C736" t="s">
        <v>2050</v>
      </c>
      <c r="D736" s="104">
        <v>2172.75</v>
      </c>
      <c r="E736">
        <v>0</v>
      </c>
      <c r="F736">
        <v>0</v>
      </c>
      <c r="G736" s="104">
        <v>2172.75</v>
      </c>
    </row>
    <row r="737" spans="2:7" x14ac:dyDescent="0.25">
      <c r="B737" t="s">
        <v>1587</v>
      </c>
      <c r="D737" s="104">
        <v>3252877.38</v>
      </c>
      <c r="E737">
        <v>0</v>
      </c>
      <c r="F737">
        <v>0</v>
      </c>
      <c r="G737" s="104">
        <v>3252877.38</v>
      </c>
    </row>
    <row r="739" spans="2:7" x14ac:dyDescent="0.25">
      <c r="B739" t="s">
        <v>2051</v>
      </c>
      <c r="C739" t="s">
        <v>2052</v>
      </c>
    </row>
    <row r="740" spans="2:7" x14ac:dyDescent="0.25">
      <c r="C740" t="s">
        <v>2048</v>
      </c>
      <c r="D740" s="104">
        <v>-2750005.33</v>
      </c>
      <c r="E740">
        <v>0</v>
      </c>
      <c r="F740">
        <v>0</v>
      </c>
      <c r="G740" s="104">
        <v>-2750005.33</v>
      </c>
    </row>
    <row r="741" spans="2:7" x14ac:dyDescent="0.25">
      <c r="C741" t="s">
        <v>2049</v>
      </c>
      <c r="D741" s="104">
        <v>-500699.3</v>
      </c>
      <c r="E741">
        <v>0</v>
      </c>
      <c r="F741">
        <v>0</v>
      </c>
      <c r="G741" s="104">
        <v>-500699.3</v>
      </c>
    </row>
    <row r="742" spans="2:7" x14ac:dyDescent="0.25">
      <c r="C742" t="s">
        <v>2050</v>
      </c>
      <c r="D742" s="104">
        <v>-2172.75</v>
      </c>
      <c r="E742">
        <v>0</v>
      </c>
      <c r="F742">
        <v>0</v>
      </c>
      <c r="G742" s="104">
        <v>-2172.75</v>
      </c>
    </row>
    <row r="743" spans="2:7" x14ac:dyDescent="0.25">
      <c r="B743" t="s">
        <v>1587</v>
      </c>
      <c r="D743" s="104">
        <v>-3252877.38</v>
      </c>
      <c r="E743">
        <v>0</v>
      </c>
      <c r="F743">
        <v>0</v>
      </c>
      <c r="G743" s="104">
        <v>-3252877.38</v>
      </c>
    </row>
    <row r="745" spans="2:7" x14ac:dyDescent="0.25">
      <c r="B745">
        <v>10303060</v>
      </c>
      <c r="C745" t="s">
        <v>2053</v>
      </c>
      <c r="D745" s="104">
        <v>1014505897.77</v>
      </c>
      <c r="E745" s="104">
        <v>254408.17</v>
      </c>
      <c r="F745">
        <v>0</v>
      </c>
      <c r="G745" s="104">
        <v>1014760305.9400001</v>
      </c>
    </row>
    <row r="746" spans="2:7" x14ac:dyDescent="0.25">
      <c r="B746" t="s">
        <v>2054</v>
      </c>
      <c r="C746" t="s">
        <v>141</v>
      </c>
    </row>
    <row r="747" spans="2:7" x14ac:dyDescent="0.25">
      <c r="B747" t="s">
        <v>2055</v>
      </c>
      <c r="C747" t="s">
        <v>147</v>
      </c>
    </row>
    <row r="748" spans="2:7" x14ac:dyDescent="0.25">
      <c r="C748" t="s">
        <v>1820</v>
      </c>
      <c r="D748" s="104">
        <v>1468866.45</v>
      </c>
      <c r="E748">
        <v>0</v>
      </c>
      <c r="F748">
        <v>0</v>
      </c>
      <c r="G748" s="104">
        <v>1468866.45</v>
      </c>
    </row>
    <row r="749" spans="2:7" x14ac:dyDescent="0.25">
      <c r="C749" t="s">
        <v>1759</v>
      </c>
      <c r="D749" s="104">
        <v>146648480.56</v>
      </c>
      <c r="E749">
        <v>0</v>
      </c>
      <c r="F749">
        <v>0</v>
      </c>
      <c r="G749" s="104">
        <v>146648480.56</v>
      </c>
    </row>
    <row r="750" spans="2:7" x14ac:dyDescent="0.25">
      <c r="C750" t="s">
        <v>1760</v>
      </c>
      <c r="D750" s="104">
        <v>277304630.58999997</v>
      </c>
      <c r="E750">
        <v>0</v>
      </c>
      <c r="F750">
        <v>0</v>
      </c>
      <c r="G750" s="104">
        <v>277304630.58999997</v>
      </c>
    </row>
    <row r="751" spans="2:7" x14ac:dyDescent="0.25">
      <c r="C751" t="s">
        <v>1961</v>
      </c>
      <c r="D751" s="104">
        <v>2313030.59</v>
      </c>
      <c r="E751">
        <v>0</v>
      </c>
      <c r="F751">
        <v>0</v>
      </c>
      <c r="G751" s="104">
        <v>2313030.59</v>
      </c>
    </row>
    <row r="752" spans="2:7" x14ac:dyDescent="0.25">
      <c r="C752" t="s">
        <v>1989</v>
      </c>
      <c r="D752" s="104">
        <v>7520000</v>
      </c>
      <c r="E752">
        <v>0</v>
      </c>
      <c r="F752">
        <v>0</v>
      </c>
      <c r="G752" s="104">
        <v>7520000</v>
      </c>
    </row>
    <row r="753" spans="2:7" x14ac:dyDescent="0.25">
      <c r="C753" t="s">
        <v>1990</v>
      </c>
      <c r="D753" s="104">
        <v>113602007.5</v>
      </c>
      <c r="E753">
        <v>0</v>
      </c>
      <c r="F753">
        <v>0</v>
      </c>
      <c r="G753" s="104">
        <v>113602007.5</v>
      </c>
    </row>
    <row r="754" spans="2:7" x14ac:dyDescent="0.25">
      <c r="C754" t="s">
        <v>1776</v>
      </c>
      <c r="D754" s="104">
        <v>8550175.2799999993</v>
      </c>
      <c r="E754">
        <v>0</v>
      </c>
      <c r="F754">
        <v>0</v>
      </c>
      <c r="G754" s="104">
        <v>8550175.2799999993</v>
      </c>
    </row>
    <row r="755" spans="2:7" x14ac:dyDescent="0.25">
      <c r="C755" t="s">
        <v>1992</v>
      </c>
      <c r="D755" s="104">
        <v>85259269.159999996</v>
      </c>
      <c r="E755">
        <v>0</v>
      </c>
      <c r="F755">
        <v>0</v>
      </c>
      <c r="G755" s="104">
        <v>85259269.159999996</v>
      </c>
    </row>
    <row r="756" spans="2:7" x14ac:dyDescent="0.25">
      <c r="C756" t="s">
        <v>1766</v>
      </c>
      <c r="D756" s="104">
        <v>2538432.14</v>
      </c>
      <c r="E756">
        <v>0</v>
      </c>
      <c r="F756">
        <v>0</v>
      </c>
      <c r="G756" s="104">
        <v>2538432.14</v>
      </c>
    </row>
    <row r="757" spans="2:7" x14ac:dyDescent="0.25">
      <c r="C757" t="s">
        <v>1993</v>
      </c>
      <c r="D757" s="104">
        <v>492571857.00999999</v>
      </c>
      <c r="E757">
        <v>0</v>
      </c>
      <c r="F757">
        <v>0</v>
      </c>
      <c r="G757" s="104">
        <v>492571857.00999999</v>
      </c>
    </row>
    <row r="758" spans="2:7" x14ac:dyDescent="0.25">
      <c r="C758" t="s">
        <v>1994</v>
      </c>
      <c r="D758" s="104">
        <v>2942181.33</v>
      </c>
      <c r="E758">
        <v>0</v>
      </c>
      <c r="F758">
        <v>0</v>
      </c>
      <c r="G758" s="104">
        <v>2942181.33</v>
      </c>
    </row>
    <row r="759" spans="2:7" x14ac:dyDescent="0.25">
      <c r="C759" t="s">
        <v>1995</v>
      </c>
      <c r="D759" s="104">
        <v>380508.57</v>
      </c>
      <c r="E759">
        <v>0</v>
      </c>
      <c r="F759">
        <v>0</v>
      </c>
      <c r="G759" s="104">
        <v>380508.57</v>
      </c>
    </row>
    <row r="760" spans="2:7" x14ac:dyDescent="0.25">
      <c r="C760" t="s">
        <v>1996</v>
      </c>
      <c r="D760" s="104">
        <v>1188834.25</v>
      </c>
      <c r="E760">
        <v>0</v>
      </c>
      <c r="F760">
        <v>0</v>
      </c>
      <c r="G760" s="104">
        <v>1188834.25</v>
      </c>
    </row>
    <row r="761" spans="2:7" x14ac:dyDescent="0.25">
      <c r="C761" t="s">
        <v>1997</v>
      </c>
      <c r="D761" s="104">
        <v>1155932.3400000001</v>
      </c>
      <c r="E761">
        <v>0</v>
      </c>
      <c r="F761">
        <v>0</v>
      </c>
      <c r="G761" s="104">
        <v>1155932.3400000001</v>
      </c>
    </row>
    <row r="762" spans="2:7" x14ac:dyDescent="0.25">
      <c r="C762" t="s">
        <v>2056</v>
      </c>
      <c r="D762" s="104">
        <v>300000</v>
      </c>
      <c r="E762">
        <v>0</v>
      </c>
      <c r="F762">
        <v>0</v>
      </c>
      <c r="G762" s="104">
        <v>300000</v>
      </c>
    </row>
    <row r="763" spans="2:7" x14ac:dyDescent="0.25">
      <c r="B763" t="s">
        <v>1587</v>
      </c>
      <c r="D763" s="104">
        <v>1143744205.77</v>
      </c>
      <c r="E763">
        <v>0</v>
      </c>
      <c r="F763">
        <v>0</v>
      </c>
      <c r="G763" s="104">
        <v>1143744205.77</v>
      </c>
    </row>
    <row r="765" spans="2:7" x14ac:dyDescent="0.25">
      <c r="B765" t="s">
        <v>2057</v>
      </c>
      <c r="C765" t="s">
        <v>2058</v>
      </c>
    </row>
    <row r="766" spans="2:7" x14ac:dyDescent="0.25">
      <c r="C766" t="s">
        <v>1903</v>
      </c>
      <c r="D766" s="104">
        <v>-322779.65999999997</v>
      </c>
      <c r="E766">
        <v>0</v>
      </c>
      <c r="F766">
        <v>0</v>
      </c>
      <c r="G766" s="104">
        <v>-322779.65999999997</v>
      </c>
    </row>
    <row r="767" spans="2:7" x14ac:dyDescent="0.25">
      <c r="C767" t="s">
        <v>1904</v>
      </c>
      <c r="D767" s="104">
        <v>-302847.77</v>
      </c>
      <c r="E767">
        <v>0</v>
      </c>
      <c r="F767">
        <v>0</v>
      </c>
      <c r="G767" s="104">
        <v>-302847.77</v>
      </c>
    </row>
    <row r="768" spans="2:7" x14ac:dyDescent="0.25">
      <c r="C768" t="s">
        <v>1907</v>
      </c>
      <c r="D768" s="104">
        <v>-264276.81</v>
      </c>
      <c r="E768">
        <v>0</v>
      </c>
      <c r="F768">
        <v>0</v>
      </c>
      <c r="G768" s="104">
        <v>-264276.81</v>
      </c>
    </row>
    <row r="769" spans="3:7" x14ac:dyDescent="0.25">
      <c r="C769" t="s">
        <v>2045</v>
      </c>
      <c r="D769" s="104">
        <v>-204998.43</v>
      </c>
      <c r="E769" s="104">
        <v>204998.43</v>
      </c>
      <c r="F769">
        <v>0</v>
      </c>
      <c r="G769">
        <v>0</v>
      </c>
    </row>
    <row r="770" spans="3:7" x14ac:dyDescent="0.25">
      <c r="C770" t="s">
        <v>1908</v>
      </c>
      <c r="D770" s="104">
        <v>-167767.29</v>
      </c>
      <c r="E770">
        <v>0</v>
      </c>
      <c r="F770">
        <v>0</v>
      </c>
      <c r="G770" s="104">
        <v>-167767.29</v>
      </c>
    </row>
    <row r="771" spans="3:7" x14ac:dyDescent="0.25">
      <c r="C771" t="s">
        <v>2041</v>
      </c>
      <c r="D771">
        <v>-696.38</v>
      </c>
      <c r="E771">
        <v>0</v>
      </c>
      <c r="F771">
        <v>0</v>
      </c>
      <c r="G771">
        <v>-696.38</v>
      </c>
    </row>
    <row r="772" spans="3:7" x14ac:dyDescent="0.25">
      <c r="C772" t="s">
        <v>1909</v>
      </c>
      <c r="D772" s="104">
        <v>-142749.14000000001</v>
      </c>
      <c r="E772">
        <v>0</v>
      </c>
      <c r="F772">
        <v>0</v>
      </c>
      <c r="G772" s="104">
        <v>-142749.14000000001</v>
      </c>
    </row>
    <row r="773" spans="3:7" x14ac:dyDescent="0.25">
      <c r="C773" t="s">
        <v>1910</v>
      </c>
      <c r="D773" s="104">
        <v>-372201.03</v>
      </c>
      <c r="E773">
        <v>0</v>
      </c>
      <c r="F773">
        <v>0</v>
      </c>
      <c r="G773" s="104">
        <v>-372201.03</v>
      </c>
    </row>
    <row r="774" spans="3:7" x14ac:dyDescent="0.25">
      <c r="C774" t="s">
        <v>1913</v>
      </c>
      <c r="D774" s="104">
        <v>-265190.01</v>
      </c>
      <c r="E774">
        <v>0</v>
      </c>
      <c r="F774">
        <v>0</v>
      </c>
      <c r="G774" s="104">
        <v>-265190.01</v>
      </c>
    </row>
    <row r="775" spans="3:7" x14ac:dyDescent="0.25">
      <c r="C775" t="s">
        <v>1915</v>
      </c>
      <c r="D775" s="104">
        <v>-378597.42</v>
      </c>
      <c r="E775">
        <v>0</v>
      </c>
      <c r="F775">
        <v>0</v>
      </c>
      <c r="G775" s="104">
        <v>-378597.42</v>
      </c>
    </row>
    <row r="776" spans="3:7" x14ac:dyDescent="0.25">
      <c r="C776" t="s">
        <v>1918</v>
      </c>
      <c r="D776" s="104">
        <v>-781809.72</v>
      </c>
      <c r="E776">
        <v>0</v>
      </c>
      <c r="F776">
        <v>0</v>
      </c>
      <c r="G776" s="104">
        <v>-781809.72</v>
      </c>
    </row>
    <row r="777" spans="3:7" x14ac:dyDescent="0.25">
      <c r="C777" t="s">
        <v>1919</v>
      </c>
      <c r="D777" s="104">
        <v>-199302.5</v>
      </c>
      <c r="E777">
        <v>0</v>
      </c>
      <c r="F777">
        <v>0</v>
      </c>
      <c r="G777" s="104">
        <v>-199302.5</v>
      </c>
    </row>
    <row r="778" spans="3:7" x14ac:dyDescent="0.25">
      <c r="C778" t="s">
        <v>1920</v>
      </c>
      <c r="D778" s="104">
        <v>-287613.33</v>
      </c>
      <c r="E778">
        <v>0</v>
      </c>
      <c r="F778">
        <v>0</v>
      </c>
      <c r="G778" s="104">
        <v>-287613.33</v>
      </c>
    </row>
    <row r="779" spans="3:7" x14ac:dyDescent="0.25">
      <c r="C779" t="s">
        <v>2059</v>
      </c>
      <c r="D779" s="104">
        <v>-30611.75</v>
      </c>
      <c r="E779" s="104">
        <v>30611.75</v>
      </c>
      <c r="F779">
        <v>0</v>
      </c>
      <c r="G779">
        <v>0</v>
      </c>
    </row>
    <row r="780" spans="3:7" x14ac:dyDescent="0.25">
      <c r="C780" t="s">
        <v>1921</v>
      </c>
      <c r="D780" s="104">
        <v>-450260.1</v>
      </c>
      <c r="E780">
        <v>0</v>
      </c>
      <c r="F780">
        <v>0</v>
      </c>
      <c r="G780" s="104">
        <v>-450260.1</v>
      </c>
    </row>
    <row r="781" spans="3:7" x14ac:dyDescent="0.25">
      <c r="C781" t="s">
        <v>1924</v>
      </c>
      <c r="D781" s="104">
        <v>-406539.24</v>
      </c>
      <c r="E781">
        <v>0</v>
      </c>
      <c r="F781">
        <v>0</v>
      </c>
      <c r="G781" s="104">
        <v>-406539.24</v>
      </c>
    </row>
    <row r="782" spans="3:7" x14ac:dyDescent="0.25">
      <c r="C782" t="s">
        <v>1925</v>
      </c>
      <c r="D782" s="104">
        <v>-378000</v>
      </c>
      <c r="E782">
        <v>0</v>
      </c>
      <c r="F782">
        <v>0</v>
      </c>
      <c r="G782" s="104">
        <v>-378000</v>
      </c>
    </row>
    <row r="783" spans="3:7" x14ac:dyDescent="0.25">
      <c r="C783" t="s">
        <v>1926</v>
      </c>
      <c r="D783" s="104">
        <v>-171212.2</v>
      </c>
      <c r="E783">
        <v>0</v>
      </c>
      <c r="F783">
        <v>0</v>
      </c>
      <c r="G783" s="104">
        <v>-171212.2</v>
      </c>
    </row>
    <row r="784" spans="3:7" x14ac:dyDescent="0.25">
      <c r="C784" t="s">
        <v>1927</v>
      </c>
      <c r="D784" s="104">
        <v>-120738.28</v>
      </c>
      <c r="E784">
        <v>0</v>
      </c>
      <c r="F784">
        <v>0</v>
      </c>
      <c r="G784" s="104">
        <v>-120738.28</v>
      </c>
    </row>
    <row r="785" spans="2:7" x14ac:dyDescent="0.25">
      <c r="C785" t="s">
        <v>1928</v>
      </c>
      <c r="D785" s="104">
        <v>-18797.990000000002</v>
      </c>
      <c r="E785" s="104">
        <v>18797.990000000002</v>
      </c>
      <c r="F785">
        <v>0</v>
      </c>
      <c r="G785">
        <v>0</v>
      </c>
    </row>
    <row r="786" spans="2:7" x14ac:dyDescent="0.25">
      <c r="C786" t="s">
        <v>1929</v>
      </c>
      <c r="D786" s="104">
        <v>-179263.93</v>
      </c>
      <c r="E786">
        <v>0</v>
      </c>
      <c r="F786">
        <v>0</v>
      </c>
      <c r="G786" s="104">
        <v>-179263.93</v>
      </c>
    </row>
    <row r="787" spans="2:7" x14ac:dyDescent="0.25">
      <c r="C787" t="s">
        <v>1930</v>
      </c>
      <c r="D787" s="104">
        <v>-134069.76000000001</v>
      </c>
      <c r="E787">
        <v>0</v>
      </c>
      <c r="F787">
        <v>0</v>
      </c>
      <c r="G787" s="104">
        <v>-134069.76000000001</v>
      </c>
    </row>
    <row r="788" spans="2:7" x14ac:dyDescent="0.25">
      <c r="C788" t="s">
        <v>1933</v>
      </c>
      <c r="D788">
        <v>-395.34</v>
      </c>
      <c r="E788">
        <v>0</v>
      </c>
      <c r="F788">
        <v>0</v>
      </c>
      <c r="G788">
        <v>-395.34</v>
      </c>
    </row>
    <row r="789" spans="2:7" x14ac:dyDescent="0.25">
      <c r="C789" t="s">
        <v>1939</v>
      </c>
      <c r="D789" s="104">
        <v>-1440576.22</v>
      </c>
      <c r="E789">
        <v>0</v>
      </c>
      <c r="F789">
        <v>0</v>
      </c>
      <c r="G789" s="104">
        <v>-1440576.22</v>
      </c>
    </row>
    <row r="790" spans="2:7" x14ac:dyDescent="0.25">
      <c r="C790" t="s">
        <v>1943</v>
      </c>
      <c r="D790" s="104">
        <v>-273113.15999999997</v>
      </c>
      <c r="E790">
        <v>0</v>
      </c>
      <c r="F790">
        <v>0</v>
      </c>
      <c r="G790" s="104">
        <v>-273113.15999999997</v>
      </c>
    </row>
    <row r="791" spans="2:7" x14ac:dyDescent="0.25">
      <c r="C791" t="s">
        <v>1759</v>
      </c>
      <c r="D791" s="104">
        <v>-1248360</v>
      </c>
      <c r="E791">
        <v>0</v>
      </c>
      <c r="F791">
        <v>0</v>
      </c>
      <c r="G791" s="104">
        <v>-1248360</v>
      </c>
    </row>
    <row r="792" spans="2:7" x14ac:dyDescent="0.25">
      <c r="C792" t="s">
        <v>1760</v>
      </c>
      <c r="D792" s="104">
        <v>-118082509.95</v>
      </c>
      <c r="E792">
        <v>0</v>
      </c>
      <c r="F792">
        <v>0</v>
      </c>
      <c r="G792" s="104">
        <v>-118082509.95</v>
      </c>
    </row>
    <row r="793" spans="2:7" x14ac:dyDescent="0.25">
      <c r="C793" t="s">
        <v>1961</v>
      </c>
      <c r="D793" s="104">
        <v>-2313030.59</v>
      </c>
      <c r="E793">
        <v>0</v>
      </c>
      <c r="F793">
        <v>0</v>
      </c>
      <c r="G793" s="104">
        <v>-2313030.59</v>
      </c>
    </row>
    <row r="794" spans="2:7" x14ac:dyDescent="0.25">
      <c r="C794" t="s">
        <v>2056</v>
      </c>
      <c r="D794" s="104">
        <v>-300000</v>
      </c>
      <c r="E794">
        <v>0</v>
      </c>
      <c r="F794">
        <v>0</v>
      </c>
      <c r="G794" s="104">
        <v>-300000</v>
      </c>
    </row>
    <row r="795" spans="2:7" x14ac:dyDescent="0.25">
      <c r="B795" t="s">
        <v>1587</v>
      </c>
      <c r="D795" s="104">
        <v>-129238308</v>
      </c>
      <c r="E795" s="104">
        <v>254408.17</v>
      </c>
      <c r="F795">
        <v>0</v>
      </c>
      <c r="G795" s="104">
        <v>-128983899.83</v>
      </c>
    </row>
    <row r="797" spans="2:7" x14ac:dyDescent="0.25">
      <c r="B797">
        <v>10305020</v>
      </c>
      <c r="C797" t="s">
        <v>1701</v>
      </c>
    </row>
    <row r="798" spans="2:7" x14ac:dyDescent="0.25">
      <c r="C798" t="s">
        <v>2035</v>
      </c>
      <c r="D798">
        <v>0</v>
      </c>
      <c r="E798">
        <v>0</v>
      </c>
      <c r="F798">
        <v>0</v>
      </c>
      <c r="G798">
        <v>0</v>
      </c>
    </row>
    <row r="799" spans="2:7" x14ac:dyDescent="0.25">
      <c r="C799" t="s">
        <v>1975</v>
      </c>
      <c r="D799" s="104">
        <v>3035.73</v>
      </c>
      <c r="E799">
        <v>0</v>
      </c>
      <c r="F799">
        <v>500</v>
      </c>
      <c r="G799" s="104">
        <v>2535.73</v>
      </c>
    </row>
    <row r="800" spans="2:7" x14ac:dyDescent="0.25">
      <c r="C800" t="s">
        <v>2028</v>
      </c>
      <c r="D800">
        <v>0</v>
      </c>
      <c r="E800">
        <v>0</v>
      </c>
      <c r="F800">
        <v>0</v>
      </c>
      <c r="G800">
        <v>0</v>
      </c>
    </row>
    <row r="801" spans="3:7" x14ac:dyDescent="0.25">
      <c r="C801" t="s">
        <v>1977</v>
      </c>
      <c r="D801">
        <v>0</v>
      </c>
      <c r="E801">
        <v>0</v>
      </c>
      <c r="F801">
        <v>0</v>
      </c>
      <c r="G801">
        <v>0</v>
      </c>
    </row>
    <row r="802" spans="3:7" x14ac:dyDescent="0.25">
      <c r="C802" t="s">
        <v>2030</v>
      </c>
      <c r="D802">
        <v>0</v>
      </c>
      <c r="E802">
        <v>0</v>
      </c>
      <c r="F802">
        <v>0</v>
      </c>
      <c r="G802">
        <v>0</v>
      </c>
    </row>
    <row r="803" spans="3:7" x14ac:dyDescent="0.25">
      <c r="C803" t="s">
        <v>2061</v>
      </c>
      <c r="D803">
        <v>222.6</v>
      </c>
      <c r="E803">
        <v>222.32</v>
      </c>
      <c r="F803">
        <v>222.32</v>
      </c>
      <c r="G803">
        <v>222.6</v>
      </c>
    </row>
    <row r="804" spans="3:7" x14ac:dyDescent="0.25">
      <c r="C804" t="s">
        <v>2062</v>
      </c>
      <c r="D804">
        <v>0</v>
      </c>
      <c r="E804">
        <v>0</v>
      </c>
      <c r="F804">
        <v>0</v>
      </c>
      <c r="G804">
        <v>0</v>
      </c>
    </row>
    <row r="805" spans="3:7" x14ac:dyDescent="0.25">
      <c r="C805" t="s">
        <v>2064</v>
      </c>
      <c r="D805">
        <v>0</v>
      </c>
      <c r="E805">
        <v>0</v>
      </c>
      <c r="F805">
        <v>0</v>
      </c>
      <c r="G805">
        <v>0</v>
      </c>
    </row>
    <row r="806" spans="3:7" x14ac:dyDescent="0.25">
      <c r="C806" t="s">
        <v>2065</v>
      </c>
      <c r="D806">
        <v>0</v>
      </c>
      <c r="E806">
        <v>0</v>
      </c>
      <c r="F806">
        <v>0</v>
      </c>
      <c r="G806">
        <v>0</v>
      </c>
    </row>
    <row r="807" spans="3:7" x14ac:dyDescent="0.25">
      <c r="C807" t="s">
        <v>2066</v>
      </c>
      <c r="D807">
        <v>0</v>
      </c>
      <c r="E807">
        <v>0</v>
      </c>
      <c r="F807">
        <v>0</v>
      </c>
      <c r="G807">
        <v>0</v>
      </c>
    </row>
    <row r="808" spans="3:7" x14ac:dyDescent="0.25">
      <c r="C808" t="s">
        <v>1727</v>
      </c>
      <c r="D808">
        <v>0</v>
      </c>
      <c r="E808">
        <v>0</v>
      </c>
      <c r="F808">
        <v>0</v>
      </c>
      <c r="G808">
        <v>0</v>
      </c>
    </row>
    <row r="809" spans="3:7" x14ac:dyDescent="0.25">
      <c r="C809" t="s">
        <v>2067</v>
      </c>
      <c r="D809">
        <v>-0.02</v>
      </c>
      <c r="E809">
        <v>0</v>
      </c>
      <c r="F809">
        <v>0</v>
      </c>
      <c r="G809">
        <v>-0.02</v>
      </c>
    </row>
    <row r="810" spans="3:7" x14ac:dyDescent="0.25">
      <c r="C810" t="s">
        <v>1982</v>
      </c>
      <c r="D810">
        <v>266.94</v>
      </c>
      <c r="E810">
        <v>266.95999999999998</v>
      </c>
      <c r="F810">
        <v>266.95999999999998</v>
      </c>
      <c r="G810">
        <v>266.94</v>
      </c>
    </row>
    <row r="811" spans="3:7" x14ac:dyDescent="0.25">
      <c r="C811" t="s">
        <v>2068</v>
      </c>
      <c r="D811">
        <v>0</v>
      </c>
      <c r="E811">
        <v>0</v>
      </c>
      <c r="F811">
        <v>0</v>
      </c>
      <c r="G811">
        <v>0</v>
      </c>
    </row>
    <row r="812" spans="3:7" x14ac:dyDescent="0.25">
      <c r="C812" t="s">
        <v>1729</v>
      </c>
      <c r="D812">
        <v>0</v>
      </c>
      <c r="E812">
        <v>0</v>
      </c>
      <c r="F812">
        <v>0</v>
      </c>
      <c r="G812">
        <v>0</v>
      </c>
    </row>
    <row r="813" spans="3:7" x14ac:dyDescent="0.25">
      <c r="C813" t="s">
        <v>2069</v>
      </c>
      <c r="D813">
        <v>0</v>
      </c>
      <c r="E813">
        <v>0</v>
      </c>
      <c r="F813">
        <v>0</v>
      </c>
      <c r="G813">
        <v>0</v>
      </c>
    </row>
    <row r="814" spans="3:7" x14ac:dyDescent="0.25">
      <c r="C814" t="s">
        <v>2070</v>
      </c>
      <c r="D814">
        <v>624.11</v>
      </c>
      <c r="E814" s="104">
        <v>1132.8900000000001</v>
      </c>
      <c r="F814">
        <v>624.11</v>
      </c>
      <c r="G814" s="104">
        <v>1132.8900000000001</v>
      </c>
    </row>
    <row r="815" spans="3:7" x14ac:dyDescent="0.25">
      <c r="C815" t="s">
        <v>1725</v>
      </c>
      <c r="D815">
        <v>0</v>
      </c>
      <c r="E815">
        <v>0</v>
      </c>
      <c r="F815">
        <v>0</v>
      </c>
      <c r="G815">
        <v>0</v>
      </c>
    </row>
    <row r="816" spans="3:7" x14ac:dyDescent="0.25">
      <c r="C816" t="s">
        <v>2071</v>
      </c>
      <c r="D816" s="104">
        <v>3928.63</v>
      </c>
      <c r="E816">
        <v>0</v>
      </c>
      <c r="F816">
        <v>982.14</v>
      </c>
      <c r="G816" s="104">
        <v>2946.49</v>
      </c>
    </row>
    <row r="817" spans="2:7" x14ac:dyDescent="0.25">
      <c r="C817" t="s">
        <v>1732</v>
      </c>
      <c r="D817">
        <v>955.74</v>
      </c>
      <c r="E817">
        <v>0</v>
      </c>
      <c r="F817">
        <v>0</v>
      </c>
      <c r="G817">
        <v>955.74</v>
      </c>
    </row>
    <row r="818" spans="2:7" x14ac:dyDescent="0.25">
      <c r="C818" t="s">
        <v>1733</v>
      </c>
      <c r="D818" s="104">
        <v>2264.38</v>
      </c>
      <c r="E818">
        <v>0</v>
      </c>
      <c r="F818">
        <v>0</v>
      </c>
      <c r="G818" s="104">
        <v>2264.38</v>
      </c>
    </row>
    <row r="819" spans="2:7" x14ac:dyDescent="0.25">
      <c r="B819" t="s">
        <v>1587</v>
      </c>
      <c r="D819" s="104">
        <v>11298.11</v>
      </c>
      <c r="E819" s="104">
        <v>1622.17</v>
      </c>
      <c r="F819" s="104">
        <v>2595.5300000000002</v>
      </c>
      <c r="G819" s="104">
        <v>10324.75</v>
      </c>
    </row>
    <row r="821" spans="2:7" x14ac:dyDescent="0.25">
      <c r="B821">
        <v>10404010</v>
      </c>
      <c r="C821" t="s">
        <v>2072</v>
      </c>
    </row>
    <row r="822" spans="2:7" x14ac:dyDescent="0.25">
      <c r="C822" t="s">
        <v>1814</v>
      </c>
      <c r="D822" s="104">
        <v>1433774.26</v>
      </c>
      <c r="E822" s="104">
        <v>210617.17</v>
      </c>
      <c r="F822" s="104">
        <v>80152.58</v>
      </c>
      <c r="G822" s="104">
        <v>1564238.85</v>
      </c>
    </row>
    <row r="823" spans="2:7" x14ac:dyDescent="0.25">
      <c r="B823" t="s">
        <v>1587</v>
      </c>
      <c r="D823" s="104">
        <v>1433774.26</v>
      </c>
      <c r="E823" s="104">
        <v>210617.17</v>
      </c>
      <c r="F823" s="104">
        <v>80152.58</v>
      </c>
      <c r="G823" s="104">
        <v>1564238.85</v>
      </c>
    </row>
    <row r="825" spans="2:7" x14ac:dyDescent="0.25">
      <c r="B825">
        <v>10404020</v>
      </c>
      <c r="C825" t="s">
        <v>2074</v>
      </c>
    </row>
    <row r="826" spans="2:7" x14ac:dyDescent="0.25">
      <c r="B826">
        <v>10501010</v>
      </c>
      <c r="C826" t="s">
        <v>2075</v>
      </c>
    </row>
    <row r="827" spans="2:7" x14ac:dyDescent="0.25">
      <c r="C827" t="s">
        <v>2076</v>
      </c>
      <c r="D827" s="104">
        <v>1588940000</v>
      </c>
      <c r="E827">
        <v>0</v>
      </c>
      <c r="F827">
        <v>0</v>
      </c>
      <c r="G827" s="104">
        <v>1588940000</v>
      </c>
    </row>
    <row r="828" spans="2:7" x14ac:dyDescent="0.25">
      <c r="C828" t="s">
        <v>2077</v>
      </c>
      <c r="D828" s="104">
        <v>205279000</v>
      </c>
      <c r="E828">
        <v>0</v>
      </c>
      <c r="F828">
        <v>0</v>
      </c>
      <c r="G828" s="104">
        <v>205279000</v>
      </c>
    </row>
    <row r="829" spans="2:7" x14ac:dyDescent="0.25">
      <c r="C829" t="s">
        <v>2078</v>
      </c>
      <c r="D829" s="104">
        <v>1201230000</v>
      </c>
      <c r="E829">
        <v>0</v>
      </c>
      <c r="F829">
        <v>0</v>
      </c>
      <c r="G829" s="104">
        <v>1201230000</v>
      </c>
    </row>
    <row r="830" spans="2:7" x14ac:dyDescent="0.25">
      <c r="C830" t="s">
        <v>2079</v>
      </c>
      <c r="D830" s="104">
        <v>798700000</v>
      </c>
      <c r="E830">
        <v>0</v>
      </c>
      <c r="F830">
        <v>0</v>
      </c>
      <c r="G830" s="104">
        <v>798700000</v>
      </c>
    </row>
    <row r="831" spans="2:7" x14ac:dyDescent="0.25">
      <c r="C831" t="s">
        <v>2080</v>
      </c>
      <c r="D831" s="104">
        <v>2527652000</v>
      </c>
      <c r="E831">
        <v>0</v>
      </c>
      <c r="F831">
        <v>0</v>
      </c>
      <c r="G831" s="104">
        <v>2527652000</v>
      </c>
    </row>
    <row r="832" spans="2:7" x14ac:dyDescent="0.25">
      <c r="C832" t="s">
        <v>2081</v>
      </c>
      <c r="D832" s="104">
        <v>1072864000</v>
      </c>
      <c r="E832">
        <v>0</v>
      </c>
      <c r="F832">
        <v>0</v>
      </c>
      <c r="G832" s="104">
        <v>1072864000</v>
      </c>
    </row>
    <row r="833" spans="3:7" x14ac:dyDescent="0.25">
      <c r="C833" t="s">
        <v>2082</v>
      </c>
      <c r="D833" s="104">
        <v>601200000</v>
      </c>
      <c r="E833">
        <v>0</v>
      </c>
      <c r="F833">
        <v>0</v>
      </c>
      <c r="G833" s="104">
        <v>601200000</v>
      </c>
    </row>
    <row r="834" spans="3:7" x14ac:dyDescent="0.25">
      <c r="C834" t="s">
        <v>2083</v>
      </c>
      <c r="D834" s="104">
        <v>106535000</v>
      </c>
      <c r="E834">
        <v>0</v>
      </c>
      <c r="F834">
        <v>0</v>
      </c>
      <c r="G834" s="104">
        <v>106535000</v>
      </c>
    </row>
    <row r="835" spans="3:7" x14ac:dyDescent="0.25">
      <c r="C835" t="s">
        <v>2084</v>
      </c>
      <c r="D835" s="104">
        <v>401190000</v>
      </c>
      <c r="E835">
        <v>0</v>
      </c>
      <c r="F835">
        <v>0</v>
      </c>
      <c r="G835" s="104">
        <v>401190000</v>
      </c>
    </row>
    <row r="836" spans="3:7" x14ac:dyDescent="0.25">
      <c r="C836" t="s">
        <v>2085</v>
      </c>
      <c r="D836" s="104">
        <v>46080000</v>
      </c>
      <c r="E836">
        <v>0</v>
      </c>
      <c r="F836">
        <v>0</v>
      </c>
      <c r="G836" s="104">
        <v>46080000</v>
      </c>
    </row>
    <row r="837" spans="3:7" x14ac:dyDescent="0.25">
      <c r="C837" t="s">
        <v>2086</v>
      </c>
      <c r="D837" s="104">
        <v>1256900000</v>
      </c>
      <c r="E837">
        <v>0</v>
      </c>
      <c r="F837">
        <v>0</v>
      </c>
      <c r="G837" s="104">
        <v>1256900000</v>
      </c>
    </row>
    <row r="838" spans="3:7" x14ac:dyDescent="0.25">
      <c r="C838" t="s">
        <v>2087</v>
      </c>
      <c r="D838" s="104">
        <v>31840000</v>
      </c>
      <c r="E838">
        <v>0</v>
      </c>
      <c r="F838">
        <v>0</v>
      </c>
      <c r="G838" s="104">
        <v>31840000</v>
      </c>
    </row>
    <row r="839" spans="3:7" x14ac:dyDescent="0.25">
      <c r="C839" t="s">
        <v>2088</v>
      </c>
      <c r="D839" s="104">
        <v>288880000</v>
      </c>
      <c r="E839">
        <v>0</v>
      </c>
      <c r="F839">
        <v>0</v>
      </c>
      <c r="G839" s="104">
        <v>288880000</v>
      </c>
    </row>
    <row r="840" spans="3:7" x14ac:dyDescent="0.25">
      <c r="C840" t="s">
        <v>2089</v>
      </c>
      <c r="D840" s="104">
        <v>438880000</v>
      </c>
      <c r="E840">
        <v>0</v>
      </c>
      <c r="F840">
        <v>0</v>
      </c>
      <c r="G840" s="104">
        <v>438880000</v>
      </c>
    </row>
    <row r="841" spans="3:7" x14ac:dyDescent="0.25">
      <c r="C841" t="s">
        <v>2090</v>
      </c>
      <c r="D841" s="104">
        <v>607916000</v>
      </c>
      <c r="E841">
        <v>0</v>
      </c>
      <c r="F841">
        <v>0</v>
      </c>
      <c r="G841" s="104">
        <v>607916000</v>
      </c>
    </row>
    <row r="842" spans="3:7" x14ac:dyDescent="0.25">
      <c r="C842" t="s">
        <v>2091</v>
      </c>
      <c r="D842" s="104">
        <v>1989358920</v>
      </c>
      <c r="E842">
        <v>0</v>
      </c>
      <c r="F842">
        <v>0</v>
      </c>
      <c r="G842" s="104">
        <v>1989358920</v>
      </c>
    </row>
    <row r="843" spans="3:7" x14ac:dyDescent="0.25">
      <c r="C843" t="s">
        <v>2092</v>
      </c>
      <c r="D843" s="104">
        <v>209050000</v>
      </c>
      <c r="E843">
        <v>0</v>
      </c>
      <c r="F843">
        <v>0</v>
      </c>
      <c r="G843" s="104">
        <v>209050000</v>
      </c>
    </row>
    <row r="844" spans="3:7" x14ac:dyDescent="0.25">
      <c r="C844" t="s">
        <v>2093</v>
      </c>
      <c r="D844" s="104">
        <v>202500000</v>
      </c>
      <c r="E844">
        <v>0</v>
      </c>
      <c r="F844">
        <v>0</v>
      </c>
      <c r="G844" s="104">
        <v>202500000</v>
      </c>
    </row>
    <row r="845" spans="3:7" x14ac:dyDescent="0.25">
      <c r="C845" t="s">
        <v>2094</v>
      </c>
      <c r="D845" s="104">
        <v>32920000</v>
      </c>
      <c r="E845">
        <v>0</v>
      </c>
      <c r="F845">
        <v>0</v>
      </c>
      <c r="G845" s="104">
        <v>32920000</v>
      </c>
    </row>
    <row r="846" spans="3:7" x14ac:dyDescent="0.25">
      <c r="C846" t="s">
        <v>2095</v>
      </c>
      <c r="D846" s="104">
        <v>6230586000</v>
      </c>
      <c r="E846">
        <v>0</v>
      </c>
      <c r="F846">
        <v>0</v>
      </c>
      <c r="G846" s="104">
        <v>6230586000</v>
      </c>
    </row>
    <row r="847" spans="3:7" x14ac:dyDescent="0.25">
      <c r="C847" t="s">
        <v>2096</v>
      </c>
      <c r="D847" s="104">
        <v>6895600799.5</v>
      </c>
      <c r="E847">
        <v>0</v>
      </c>
      <c r="F847">
        <v>0</v>
      </c>
      <c r="G847" s="104">
        <v>6895600799.5</v>
      </c>
    </row>
    <row r="848" spans="3:7" x14ac:dyDescent="0.25">
      <c r="C848" t="s">
        <v>2097</v>
      </c>
      <c r="D848" s="104">
        <v>29380000.43</v>
      </c>
      <c r="E848">
        <v>0</v>
      </c>
      <c r="F848">
        <v>0</v>
      </c>
      <c r="G848" s="104">
        <v>29380000.43</v>
      </c>
    </row>
    <row r="849" spans="3:7" x14ac:dyDescent="0.25">
      <c r="C849" t="s">
        <v>2098</v>
      </c>
      <c r="D849" s="104">
        <v>506122109.94</v>
      </c>
      <c r="E849">
        <v>0</v>
      </c>
      <c r="F849">
        <v>0</v>
      </c>
      <c r="G849" s="104">
        <v>506122109.94</v>
      </c>
    </row>
    <row r="850" spans="3:7" x14ac:dyDescent="0.25">
      <c r="C850" t="s">
        <v>2099</v>
      </c>
      <c r="D850" s="104">
        <v>2161054999.3000002</v>
      </c>
      <c r="E850">
        <v>0</v>
      </c>
      <c r="F850">
        <v>0</v>
      </c>
      <c r="G850" s="104">
        <v>2161054999.3000002</v>
      </c>
    </row>
    <row r="851" spans="3:7" x14ac:dyDescent="0.25">
      <c r="C851" t="s">
        <v>2100</v>
      </c>
      <c r="D851" s="104">
        <v>13800000</v>
      </c>
      <c r="E851">
        <v>0</v>
      </c>
      <c r="F851">
        <v>0</v>
      </c>
      <c r="G851" s="104">
        <v>13800000</v>
      </c>
    </row>
    <row r="852" spans="3:7" x14ac:dyDescent="0.25">
      <c r="C852" t="s">
        <v>2101</v>
      </c>
      <c r="D852" s="104">
        <v>12980000</v>
      </c>
      <c r="E852">
        <v>0</v>
      </c>
      <c r="F852">
        <v>0</v>
      </c>
      <c r="G852" s="104">
        <v>12980000</v>
      </c>
    </row>
    <row r="853" spans="3:7" x14ac:dyDescent="0.25">
      <c r="C853" t="s">
        <v>2102</v>
      </c>
      <c r="D853" s="104">
        <v>6920000</v>
      </c>
      <c r="E853">
        <v>0</v>
      </c>
      <c r="F853">
        <v>0</v>
      </c>
      <c r="G853" s="104">
        <v>6920000</v>
      </c>
    </row>
    <row r="854" spans="3:7" x14ac:dyDescent="0.25">
      <c r="C854" t="s">
        <v>2103</v>
      </c>
      <c r="D854" s="104">
        <v>7610000.2199999997</v>
      </c>
      <c r="E854">
        <v>0</v>
      </c>
      <c r="F854">
        <v>0</v>
      </c>
      <c r="G854" s="104">
        <v>7610000.2199999997</v>
      </c>
    </row>
    <row r="855" spans="3:7" x14ac:dyDescent="0.25">
      <c r="C855" t="s">
        <v>2104</v>
      </c>
      <c r="D855" s="104">
        <v>144980000</v>
      </c>
      <c r="E855">
        <v>0</v>
      </c>
      <c r="F855">
        <v>0</v>
      </c>
      <c r="G855" s="104">
        <v>144980000</v>
      </c>
    </row>
    <row r="856" spans="3:7" x14ac:dyDescent="0.25">
      <c r="C856" t="s">
        <v>2105</v>
      </c>
      <c r="D856" s="104">
        <v>44410000</v>
      </c>
      <c r="E856">
        <v>0</v>
      </c>
      <c r="F856">
        <v>0</v>
      </c>
      <c r="G856" s="104">
        <v>44410000</v>
      </c>
    </row>
    <row r="857" spans="3:7" x14ac:dyDescent="0.25">
      <c r="C857" t="s">
        <v>2106</v>
      </c>
      <c r="D857" s="104">
        <v>31550000</v>
      </c>
      <c r="E857">
        <v>0</v>
      </c>
      <c r="F857">
        <v>0</v>
      </c>
      <c r="G857" s="104">
        <v>31550000</v>
      </c>
    </row>
    <row r="858" spans="3:7" x14ac:dyDescent="0.25">
      <c r="C858" t="s">
        <v>2107</v>
      </c>
      <c r="D858" s="104">
        <v>19160000</v>
      </c>
      <c r="E858">
        <v>0</v>
      </c>
      <c r="F858">
        <v>0</v>
      </c>
      <c r="G858" s="104">
        <v>19160000</v>
      </c>
    </row>
    <row r="859" spans="3:7" x14ac:dyDescent="0.25">
      <c r="C859" t="s">
        <v>2108</v>
      </c>
      <c r="D859" s="104">
        <v>1680000</v>
      </c>
      <c r="E859">
        <v>0</v>
      </c>
      <c r="F859">
        <v>0</v>
      </c>
      <c r="G859" s="104">
        <v>1680000</v>
      </c>
    </row>
    <row r="860" spans="3:7" x14ac:dyDescent="0.25">
      <c r="C860" t="s">
        <v>2109</v>
      </c>
      <c r="D860" s="104">
        <v>65000000</v>
      </c>
      <c r="E860">
        <v>0</v>
      </c>
      <c r="F860">
        <v>0</v>
      </c>
      <c r="G860" s="104">
        <v>65000000</v>
      </c>
    </row>
    <row r="861" spans="3:7" x14ac:dyDescent="0.25">
      <c r="C861" t="s">
        <v>2110</v>
      </c>
      <c r="D861" s="104">
        <v>2260000</v>
      </c>
      <c r="E861">
        <v>0</v>
      </c>
      <c r="F861">
        <v>0</v>
      </c>
      <c r="G861" s="104">
        <v>2260000</v>
      </c>
    </row>
    <row r="862" spans="3:7" x14ac:dyDescent="0.25">
      <c r="C862" t="s">
        <v>2111</v>
      </c>
      <c r="D862" s="104">
        <v>3765000</v>
      </c>
      <c r="E862">
        <v>0</v>
      </c>
      <c r="F862">
        <v>0</v>
      </c>
      <c r="G862" s="104">
        <v>3765000</v>
      </c>
    </row>
    <row r="863" spans="3:7" x14ac:dyDescent="0.25">
      <c r="C863" t="s">
        <v>2112</v>
      </c>
      <c r="D863" s="104">
        <v>1100000</v>
      </c>
      <c r="E863">
        <v>0</v>
      </c>
      <c r="F863">
        <v>0</v>
      </c>
      <c r="G863" s="104">
        <v>1100000</v>
      </c>
    </row>
    <row r="864" spans="3:7" x14ac:dyDescent="0.25">
      <c r="C864" t="s">
        <v>2113</v>
      </c>
      <c r="D864" s="104">
        <v>53880000</v>
      </c>
      <c r="E864">
        <v>0</v>
      </c>
      <c r="F864">
        <v>0</v>
      </c>
      <c r="G864" s="104">
        <v>53880000</v>
      </c>
    </row>
    <row r="865" spans="3:7" x14ac:dyDescent="0.25">
      <c r="C865" t="s">
        <v>2114</v>
      </c>
      <c r="D865" s="104">
        <v>22340000.420000002</v>
      </c>
      <c r="E865">
        <v>0</v>
      </c>
      <c r="F865">
        <v>0</v>
      </c>
      <c r="G865" s="104">
        <v>22340000.420000002</v>
      </c>
    </row>
    <row r="866" spans="3:7" x14ac:dyDescent="0.25">
      <c r="C866" t="s">
        <v>2115</v>
      </c>
      <c r="D866" s="104">
        <v>73010000</v>
      </c>
      <c r="E866">
        <v>0</v>
      </c>
      <c r="F866">
        <v>0</v>
      </c>
      <c r="G866" s="104">
        <v>73010000</v>
      </c>
    </row>
    <row r="867" spans="3:7" x14ac:dyDescent="0.25">
      <c r="C867" t="s">
        <v>2116</v>
      </c>
      <c r="D867" s="104">
        <v>3010000</v>
      </c>
      <c r="E867">
        <v>0</v>
      </c>
      <c r="F867">
        <v>0</v>
      </c>
      <c r="G867" s="104">
        <v>3010000</v>
      </c>
    </row>
    <row r="868" spans="3:7" x14ac:dyDescent="0.25">
      <c r="C868" t="s">
        <v>2117</v>
      </c>
      <c r="D868" s="104">
        <v>44980000</v>
      </c>
      <c r="E868">
        <v>0</v>
      </c>
      <c r="F868">
        <v>0</v>
      </c>
      <c r="G868" s="104">
        <v>44980000</v>
      </c>
    </row>
    <row r="869" spans="3:7" x14ac:dyDescent="0.25">
      <c r="C869" t="s">
        <v>2118</v>
      </c>
      <c r="D869" s="104">
        <v>1395000</v>
      </c>
      <c r="E869">
        <v>0</v>
      </c>
      <c r="F869">
        <v>0</v>
      </c>
      <c r="G869" s="104">
        <v>1395000</v>
      </c>
    </row>
    <row r="870" spans="3:7" x14ac:dyDescent="0.25">
      <c r="C870" t="s">
        <v>2119</v>
      </c>
      <c r="D870" s="104">
        <v>40210000</v>
      </c>
      <c r="E870">
        <v>0</v>
      </c>
      <c r="F870">
        <v>0</v>
      </c>
      <c r="G870" s="104">
        <v>40210000</v>
      </c>
    </row>
    <row r="871" spans="3:7" x14ac:dyDescent="0.25">
      <c r="C871" t="s">
        <v>2120</v>
      </c>
      <c r="D871" s="104">
        <v>3760000</v>
      </c>
      <c r="E871">
        <v>0</v>
      </c>
      <c r="F871">
        <v>0</v>
      </c>
      <c r="G871" s="104">
        <v>3760000</v>
      </c>
    </row>
    <row r="872" spans="3:7" x14ac:dyDescent="0.25">
      <c r="C872" t="s">
        <v>2121</v>
      </c>
      <c r="D872" s="104">
        <v>22880000</v>
      </c>
      <c r="E872">
        <v>0</v>
      </c>
      <c r="F872">
        <v>0</v>
      </c>
      <c r="G872" s="104">
        <v>22880000</v>
      </c>
    </row>
    <row r="873" spans="3:7" x14ac:dyDescent="0.25">
      <c r="C873" t="s">
        <v>2122</v>
      </c>
      <c r="D873" s="104">
        <v>380000</v>
      </c>
      <c r="E873">
        <v>0</v>
      </c>
      <c r="F873">
        <v>0</v>
      </c>
      <c r="G873" s="104">
        <v>380000</v>
      </c>
    </row>
    <row r="874" spans="3:7" x14ac:dyDescent="0.25">
      <c r="C874" t="s">
        <v>2123</v>
      </c>
      <c r="D874" s="104">
        <v>2600000</v>
      </c>
      <c r="E874">
        <v>0</v>
      </c>
      <c r="F874">
        <v>0</v>
      </c>
      <c r="G874" s="104">
        <v>2600000</v>
      </c>
    </row>
    <row r="875" spans="3:7" x14ac:dyDescent="0.25">
      <c r="C875" t="s">
        <v>2124</v>
      </c>
      <c r="D875" s="104">
        <v>900000</v>
      </c>
      <c r="E875">
        <v>0</v>
      </c>
      <c r="F875">
        <v>0</v>
      </c>
      <c r="G875" s="104">
        <v>900000</v>
      </c>
    </row>
    <row r="876" spans="3:7" x14ac:dyDescent="0.25">
      <c r="C876" t="s">
        <v>2125</v>
      </c>
      <c r="D876">
        <v>0</v>
      </c>
      <c r="E876">
        <v>0</v>
      </c>
      <c r="F876">
        <v>0</v>
      </c>
      <c r="G876">
        <v>0</v>
      </c>
    </row>
    <row r="877" spans="3:7" x14ac:dyDescent="0.25">
      <c r="C877" t="s">
        <v>2126</v>
      </c>
      <c r="D877">
        <v>0</v>
      </c>
      <c r="E877">
        <v>0</v>
      </c>
      <c r="F877">
        <v>0</v>
      </c>
      <c r="G877">
        <v>0</v>
      </c>
    </row>
    <row r="878" spans="3:7" x14ac:dyDescent="0.25">
      <c r="C878" t="s">
        <v>2127</v>
      </c>
      <c r="D878" s="104">
        <v>11060000</v>
      </c>
      <c r="E878">
        <v>0</v>
      </c>
      <c r="F878">
        <v>0</v>
      </c>
      <c r="G878" s="104">
        <v>11060000</v>
      </c>
    </row>
    <row r="879" spans="3:7" x14ac:dyDescent="0.25">
      <c r="C879" t="s">
        <v>2128</v>
      </c>
      <c r="D879" s="104">
        <v>714000</v>
      </c>
      <c r="E879">
        <v>0</v>
      </c>
      <c r="F879">
        <v>0</v>
      </c>
      <c r="G879" s="104">
        <v>714000</v>
      </c>
    </row>
    <row r="880" spans="3:7" x14ac:dyDescent="0.25">
      <c r="C880" t="s">
        <v>2129</v>
      </c>
      <c r="D880" s="104">
        <v>2990000</v>
      </c>
      <c r="E880">
        <v>0</v>
      </c>
      <c r="F880">
        <v>0</v>
      </c>
      <c r="G880" s="104">
        <v>2990000</v>
      </c>
    </row>
    <row r="881" spans="2:7" x14ac:dyDescent="0.25">
      <c r="C881" t="s">
        <v>2130</v>
      </c>
      <c r="D881" s="104">
        <v>341020000</v>
      </c>
      <c r="E881">
        <v>0</v>
      </c>
      <c r="F881">
        <v>0</v>
      </c>
      <c r="G881" s="104">
        <v>341020000</v>
      </c>
    </row>
    <row r="882" spans="2:7" x14ac:dyDescent="0.25">
      <c r="B882" t="s">
        <v>1587</v>
      </c>
      <c r="D882" s="104">
        <v>30411002829.810001</v>
      </c>
      <c r="E882">
        <v>0</v>
      </c>
      <c r="F882">
        <v>0</v>
      </c>
      <c r="G882" s="104">
        <v>30411002829.810001</v>
      </c>
    </row>
    <row r="884" spans="2:7" x14ac:dyDescent="0.25">
      <c r="B884">
        <v>10501020</v>
      </c>
      <c r="C884" t="s">
        <v>175</v>
      </c>
    </row>
    <row r="885" spans="2:7" x14ac:dyDescent="0.25">
      <c r="C885" t="s">
        <v>2131</v>
      </c>
      <c r="D885" s="104">
        <v>925400</v>
      </c>
      <c r="E885">
        <v>0</v>
      </c>
      <c r="F885">
        <v>0</v>
      </c>
      <c r="G885" s="104">
        <v>925400</v>
      </c>
    </row>
    <row r="886" spans="2:7" x14ac:dyDescent="0.25">
      <c r="C886" t="s">
        <v>2132</v>
      </c>
      <c r="D886" s="104">
        <v>127405000</v>
      </c>
      <c r="E886">
        <v>0</v>
      </c>
      <c r="F886">
        <v>0</v>
      </c>
      <c r="G886" s="104">
        <v>127405000</v>
      </c>
    </row>
    <row r="887" spans="2:7" x14ac:dyDescent="0.25">
      <c r="C887" t="s">
        <v>2133</v>
      </c>
      <c r="D887" s="104">
        <v>203655780.90000001</v>
      </c>
      <c r="E887">
        <v>0</v>
      </c>
      <c r="F887">
        <v>0</v>
      </c>
      <c r="G887" s="104">
        <v>203655780.90000001</v>
      </c>
    </row>
    <row r="888" spans="2:7" x14ac:dyDescent="0.25">
      <c r="C888" t="s">
        <v>2134</v>
      </c>
      <c r="D888" s="104">
        <v>15950000</v>
      </c>
      <c r="E888">
        <v>0</v>
      </c>
      <c r="F888">
        <v>0</v>
      </c>
      <c r="G888" s="104">
        <v>15950000</v>
      </c>
    </row>
    <row r="889" spans="2:7" x14ac:dyDescent="0.25">
      <c r="C889" t="s">
        <v>2128</v>
      </c>
      <c r="D889" s="104">
        <v>247000</v>
      </c>
      <c r="E889">
        <v>0</v>
      </c>
      <c r="F889">
        <v>0</v>
      </c>
      <c r="G889" s="104">
        <v>247000</v>
      </c>
    </row>
    <row r="890" spans="2:7" x14ac:dyDescent="0.25">
      <c r="C890" t="s">
        <v>2129</v>
      </c>
      <c r="D890" s="104">
        <v>1260000</v>
      </c>
      <c r="E890">
        <v>0</v>
      </c>
      <c r="F890">
        <v>0</v>
      </c>
      <c r="G890" s="104">
        <v>1260000</v>
      </c>
    </row>
    <row r="891" spans="2:7" x14ac:dyDescent="0.25">
      <c r="B891" t="s">
        <v>1587</v>
      </c>
      <c r="D891" s="104">
        <v>349443180.89999998</v>
      </c>
      <c r="E891">
        <v>0</v>
      </c>
      <c r="F891">
        <v>0</v>
      </c>
      <c r="G891" s="104">
        <v>349443180.89999998</v>
      </c>
    </row>
    <row r="893" spans="2:7" x14ac:dyDescent="0.25">
      <c r="B893">
        <v>10599010</v>
      </c>
      <c r="C893" t="s">
        <v>2135</v>
      </c>
    </row>
    <row r="894" spans="2:7" x14ac:dyDescent="0.25">
      <c r="C894" t="s">
        <v>2136</v>
      </c>
      <c r="D894" s="104">
        <v>126399577.5</v>
      </c>
      <c r="E894">
        <v>0</v>
      </c>
      <c r="F894">
        <v>0</v>
      </c>
      <c r="G894" s="104">
        <v>126399577.5</v>
      </c>
    </row>
    <row r="895" spans="2:7" x14ac:dyDescent="0.25">
      <c r="C895" t="s">
        <v>1814</v>
      </c>
      <c r="D895" s="104">
        <v>6741876.5999999996</v>
      </c>
      <c r="E895">
        <v>0</v>
      </c>
      <c r="F895">
        <v>0</v>
      </c>
      <c r="G895" s="104">
        <v>6741876.5999999996</v>
      </c>
    </row>
    <row r="896" spans="2:7" x14ac:dyDescent="0.25">
      <c r="C896" t="s">
        <v>2137</v>
      </c>
      <c r="D896" s="104">
        <v>7553269.2199999997</v>
      </c>
      <c r="E896">
        <v>0</v>
      </c>
      <c r="F896">
        <v>0</v>
      </c>
      <c r="G896" s="104">
        <v>7553269.2199999997</v>
      </c>
    </row>
    <row r="897" spans="2:7" x14ac:dyDescent="0.25">
      <c r="C897" t="s">
        <v>2138</v>
      </c>
      <c r="D897" s="104">
        <v>55440</v>
      </c>
      <c r="E897">
        <v>0</v>
      </c>
      <c r="F897">
        <v>0</v>
      </c>
      <c r="G897" s="104">
        <v>55440</v>
      </c>
    </row>
    <row r="898" spans="2:7" x14ac:dyDescent="0.25">
      <c r="C898" t="s">
        <v>2139</v>
      </c>
      <c r="D898" s="104">
        <v>1256789.23</v>
      </c>
      <c r="E898">
        <v>0</v>
      </c>
      <c r="F898">
        <v>0</v>
      </c>
      <c r="G898" s="104">
        <v>1256789.23</v>
      </c>
    </row>
    <row r="899" spans="2:7" x14ac:dyDescent="0.25">
      <c r="B899" t="s">
        <v>1587</v>
      </c>
      <c r="D899" s="104">
        <v>142006952.55000001</v>
      </c>
      <c r="E899">
        <v>0</v>
      </c>
      <c r="F899">
        <v>0</v>
      </c>
      <c r="G899" s="104">
        <v>142006952.55000001</v>
      </c>
    </row>
    <row r="901" spans="2:7" x14ac:dyDescent="0.25">
      <c r="B901">
        <v>10602990</v>
      </c>
      <c r="C901" t="s">
        <v>186</v>
      </c>
    </row>
    <row r="902" spans="2:7" x14ac:dyDescent="0.25">
      <c r="C902" t="s">
        <v>2096</v>
      </c>
      <c r="D902" s="104">
        <v>67321799.370000005</v>
      </c>
      <c r="E902">
        <v>0</v>
      </c>
      <c r="F902">
        <v>0</v>
      </c>
      <c r="G902" s="104">
        <v>67321799.370000005</v>
      </c>
    </row>
    <row r="903" spans="2:7" x14ac:dyDescent="0.25">
      <c r="C903" t="s">
        <v>1814</v>
      </c>
      <c r="D903" s="104">
        <v>3399843.58</v>
      </c>
      <c r="E903">
        <v>0</v>
      </c>
      <c r="F903">
        <v>0</v>
      </c>
      <c r="G903" s="104">
        <v>3399843.58</v>
      </c>
    </row>
    <row r="904" spans="2:7" x14ac:dyDescent="0.25">
      <c r="B904" t="s">
        <v>1587</v>
      </c>
      <c r="D904" s="104">
        <v>70721642.950000003</v>
      </c>
      <c r="E904">
        <v>0</v>
      </c>
      <c r="F904">
        <v>0</v>
      </c>
      <c r="G904" s="104">
        <v>70721642.950000003</v>
      </c>
    </row>
    <row r="906" spans="2:7" x14ac:dyDescent="0.25">
      <c r="B906">
        <v>10602991</v>
      </c>
      <c r="C906" t="s">
        <v>190</v>
      </c>
    </row>
    <row r="907" spans="2:7" x14ac:dyDescent="0.25">
      <c r="C907" t="s">
        <v>2096</v>
      </c>
      <c r="D907" s="104">
        <v>-67321799.5</v>
      </c>
      <c r="E907">
        <v>0</v>
      </c>
      <c r="F907">
        <v>0</v>
      </c>
      <c r="G907" s="104">
        <v>-67321799.5</v>
      </c>
    </row>
    <row r="908" spans="2:7" x14ac:dyDescent="0.25">
      <c r="C908" t="s">
        <v>1814</v>
      </c>
      <c r="D908" s="104">
        <v>-2539211.6</v>
      </c>
      <c r="E908">
        <v>0</v>
      </c>
      <c r="F908" s="104">
        <v>23408.79</v>
      </c>
      <c r="G908" s="104">
        <v>-2562620.39</v>
      </c>
    </row>
    <row r="909" spans="2:7" x14ac:dyDescent="0.25">
      <c r="B909" t="s">
        <v>1587</v>
      </c>
      <c r="D909" s="104">
        <v>-69861011.099999994</v>
      </c>
      <c r="E909">
        <v>0</v>
      </c>
      <c r="F909" s="104">
        <v>23408.79</v>
      </c>
      <c r="G909" s="104">
        <v>-69884419.890000001</v>
      </c>
    </row>
    <row r="911" spans="2:7" x14ac:dyDescent="0.25">
      <c r="B911">
        <v>10604010</v>
      </c>
      <c r="C911" t="s">
        <v>2140</v>
      </c>
    </row>
    <row r="912" spans="2:7" x14ac:dyDescent="0.25">
      <c r="C912" t="s">
        <v>2096</v>
      </c>
      <c r="D912" s="104">
        <v>195539.3</v>
      </c>
      <c r="E912">
        <v>0</v>
      </c>
      <c r="F912">
        <v>0</v>
      </c>
      <c r="G912" s="104">
        <v>195539.3</v>
      </c>
    </row>
    <row r="913" spans="2:7" x14ac:dyDescent="0.25">
      <c r="C913" t="s">
        <v>1814</v>
      </c>
      <c r="D913" s="104">
        <v>1159873409.6099999</v>
      </c>
      <c r="E913">
        <v>0</v>
      </c>
      <c r="F913">
        <v>0</v>
      </c>
      <c r="G913" s="104">
        <v>1159873409.6099999</v>
      </c>
    </row>
    <row r="914" spans="2:7" x14ac:dyDescent="0.25">
      <c r="B914" t="s">
        <v>1587</v>
      </c>
      <c r="D914" s="104">
        <v>1160068948.9100001</v>
      </c>
      <c r="E914">
        <v>0</v>
      </c>
      <c r="F914">
        <v>0</v>
      </c>
      <c r="G914" s="104">
        <v>1160068948.9100001</v>
      </c>
    </row>
    <row r="916" spans="2:7" x14ac:dyDescent="0.25">
      <c r="B916">
        <v>10604011</v>
      </c>
      <c r="C916" t="s">
        <v>179</v>
      </c>
    </row>
    <row r="917" spans="2:7" x14ac:dyDescent="0.25">
      <c r="C917" t="s">
        <v>2096</v>
      </c>
      <c r="D917" s="104">
        <v>-195539.4</v>
      </c>
      <c r="E917">
        <v>0</v>
      </c>
      <c r="F917">
        <v>0</v>
      </c>
      <c r="G917" s="104">
        <v>-195539.4</v>
      </c>
    </row>
    <row r="918" spans="2:7" x14ac:dyDescent="0.25">
      <c r="C918" t="s">
        <v>1814</v>
      </c>
      <c r="D918" s="104">
        <v>-1159521522.24</v>
      </c>
      <c r="E918">
        <v>0</v>
      </c>
      <c r="F918" s="104">
        <v>5184.57</v>
      </c>
      <c r="G918" s="104">
        <v>-1159526706.8099999</v>
      </c>
    </row>
    <row r="919" spans="2:7" x14ac:dyDescent="0.25">
      <c r="B919" t="s">
        <v>1587</v>
      </c>
      <c r="D919" s="104">
        <v>-1159717061.6400001</v>
      </c>
      <c r="E919">
        <v>0</v>
      </c>
      <c r="F919" s="104">
        <v>5184.57</v>
      </c>
      <c r="G919" s="104">
        <v>-1159722246.21</v>
      </c>
    </row>
    <row r="921" spans="2:7" x14ac:dyDescent="0.25">
      <c r="B921">
        <v>10604990</v>
      </c>
      <c r="C921" t="s">
        <v>207</v>
      </c>
    </row>
    <row r="922" spans="2:7" x14ac:dyDescent="0.25">
      <c r="C922" t="s">
        <v>1814</v>
      </c>
      <c r="D922" s="104">
        <v>4518600</v>
      </c>
      <c r="E922">
        <v>0</v>
      </c>
      <c r="F922">
        <v>0</v>
      </c>
      <c r="G922" s="104">
        <v>4518600</v>
      </c>
    </row>
    <row r="923" spans="2:7" x14ac:dyDescent="0.25">
      <c r="B923" t="s">
        <v>1587</v>
      </c>
      <c r="D923" s="104">
        <v>4518600</v>
      </c>
      <c r="E923">
        <v>0</v>
      </c>
      <c r="F923">
        <v>0</v>
      </c>
      <c r="G923" s="104">
        <v>4518600</v>
      </c>
    </row>
    <row r="925" spans="2:7" x14ac:dyDescent="0.25">
      <c r="B925">
        <v>10604991</v>
      </c>
      <c r="C925" t="s">
        <v>209</v>
      </c>
    </row>
    <row r="926" spans="2:7" x14ac:dyDescent="0.25">
      <c r="C926" t="s">
        <v>1814</v>
      </c>
      <c r="D926" s="104">
        <v>-4518600</v>
      </c>
      <c r="E926">
        <v>0</v>
      </c>
      <c r="F926">
        <v>0</v>
      </c>
      <c r="G926" s="104">
        <v>-4518600</v>
      </c>
    </row>
    <row r="927" spans="2:7" x14ac:dyDescent="0.25">
      <c r="B927" t="s">
        <v>1587</v>
      </c>
      <c r="D927" s="104">
        <v>-4518600</v>
      </c>
      <c r="E927">
        <v>0</v>
      </c>
      <c r="F927">
        <v>0</v>
      </c>
      <c r="G927" s="104">
        <v>-4518600</v>
      </c>
    </row>
    <row r="929" spans="2:7" x14ac:dyDescent="0.25">
      <c r="B929">
        <v>10605020</v>
      </c>
      <c r="C929" t="s">
        <v>231</v>
      </c>
    </row>
    <row r="930" spans="2:7" x14ac:dyDescent="0.25">
      <c r="C930" t="s">
        <v>2096</v>
      </c>
      <c r="D930" s="104">
        <v>1805227.91</v>
      </c>
      <c r="E930">
        <v>0</v>
      </c>
      <c r="F930">
        <v>0</v>
      </c>
      <c r="G930" s="104">
        <v>1805227.91</v>
      </c>
    </row>
    <row r="931" spans="2:7" x14ac:dyDescent="0.25">
      <c r="C931" t="s">
        <v>1814</v>
      </c>
      <c r="D931" s="104">
        <v>11057589.130000001</v>
      </c>
      <c r="E931">
        <v>0</v>
      </c>
      <c r="F931">
        <v>0</v>
      </c>
      <c r="G931" s="104">
        <v>11057589.130000001</v>
      </c>
    </row>
    <row r="932" spans="2:7" x14ac:dyDescent="0.25">
      <c r="B932" t="s">
        <v>1587</v>
      </c>
      <c r="D932" s="104">
        <v>12862817.039999999</v>
      </c>
      <c r="E932">
        <v>0</v>
      </c>
      <c r="F932">
        <v>0</v>
      </c>
      <c r="G932" s="104">
        <v>12862817.039999999</v>
      </c>
    </row>
    <row r="934" spans="2:7" x14ac:dyDescent="0.25">
      <c r="B934">
        <v>10605021</v>
      </c>
      <c r="C934" t="s">
        <v>234</v>
      </c>
    </row>
    <row r="935" spans="2:7" x14ac:dyDescent="0.25">
      <c r="C935" t="s">
        <v>2096</v>
      </c>
      <c r="D935" s="104">
        <v>-1805226.93</v>
      </c>
      <c r="E935">
        <v>0</v>
      </c>
      <c r="F935">
        <v>0</v>
      </c>
      <c r="G935" s="104">
        <v>-1805226.93</v>
      </c>
    </row>
    <row r="936" spans="2:7" x14ac:dyDescent="0.25">
      <c r="C936" t="s">
        <v>1813</v>
      </c>
      <c r="D936">
        <v>3</v>
      </c>
      <c r="E936">
        <v>0</v>
      </c>
      <c r="F936">
        <v>0</v>
      </c>
      <c r="G936">
        <v>3</v>
      </c>
    </row>
    <row r="937" spans="2:7" x14ac:dyDescent="0.25">
      <c r="C937" t="s">
        <v>1814</v>
      </c>
      <c r="D937" s="104">
        <v>-6453480.6699999999</v>
      </c>
      <c r="E937">
        <v>0</v>
      </c>
      <c r="F937" s="104">
        <v>2961.17</v>
      </c>
      <c r="G937" s="104">
        <v>-6456441.8399999999</v>
      </c>
    </row>
    <row r="938" spans="2:7" x14ac:dyDescent="0.25">
      <c r="B938" t="s">
        <v>1587</v>
      </c>
      <c r="D938" s="104">
        <v>-8258704.5999999996</v>
      </c>
      <c r="E938">
        <v>0</v>
      </c>
      <c r="F938" s="104">
        <v>2961.17</v>
      </c>
      <c r="G938" s="104">
        <v>-8261665.7699999996</v>
      </c>
    </row>
    <row r="940" spans="2:7" x14ac:dyDescent="0.25">
      <c r="B940">
        <v>10605030</v>
      </c>
      <c r="C940" t="s">
        <v>201</v>
      </c>
    </row>
    <row r="941" spans="2:7" x14ac:dyDescent="0.25">
      <c r="C941" t="s">
        <v>1814</v>
      </c>
      <c r="D941" s="104">
        <v>13431173.15</v>
      </c>
      <c r="E941">
        <v>0</v>
      </c>
      <c r="F941">
        <v>0</v>
      </c>
      <c r="G941" s="104">
        <v>13431173.15</v>
      </c>
    </row>
    <row r="942" spans="2:7" x14ac:dyDescent="0.25">
      <c r="B942" t="s">
        <v>1587</v>
      </c>
      <c r="D942" s="104">
        <v>13431173.15</v>
      </c>
      <c r="E942">
        <v>0</v>
      </c>
      <c r="F942">
        <v>0</v>
      </c>
      <c r="G942" s="104">
        <v>13431173.15</v>
      </c>
    </row>
    <row r="944" spans="2:7" x14ac:dyDescent="0.25">
      <c r="B944">
        <v>10605031</v>
      </c>
      <c r="C944" t="s">
        <v>2141</v>
      </c>
    </row>
    <row r="945" spans="2:7" x14ac:dyDescent="0.25">
      <c r="C945" t="s">
        <v>1814</v>
      </c>
      <c r="D945" s="104">
        <v>-11715852.109999999</v>
      </c>
      <c r="E945">
        <v>0</v>
      </c>
      <c r="F945" s="104">
        <v>31253.33</v>
      </c>
      <c r="G945" s="104">
        <v>-11747105.439999999</v>
      </c>
    </row>
    <row r="946" spans="2:7" x14ac:dyDescent="0.25">
      <c r="B946" t="s">
        <v>1587</v>
      </c>
      <c r="D946" s="104">
        <v>-11715852.109999999</v>
      </c>
      <c r="E946">
        <v>0</v>
      </c>
      <c r="F946" s="104">
        <v>31253.33</v>
      </c>
      <c r="G946" s="104">
        <v>-11747105.439999999</v>
      </c>
    </row>
    <row r="948" spans="2:7" x14ac:dyDescent="0.25">
      <c r="B948">
        <v>10605120</v>
      </c>
      <c r="C948" t="s">
        <v>2142</v>
      </c>
    </row>
    <row r="949" spans="2:7" x14ac:dyDescent="0.25">
      <c r="B949">
        <v>10605121</v>
      </c>
      <c r="C949" t="s">
        <v>2143</v>
      </c>
    </row>
    <row r="950" spans="2:7" x14ac:dyDescent="0.25">
      <c r="C950" t="s">
        <v>1814</v>
      </c>
      <c r="D950">
        <v>0</v>
      </c>
      <c r="E950">
        <v>0</v>
      </c>
      <c r="F950">
        <v>0</v>
      </c>
      <c r="G950">
        <v>0</v>
      </c>
    </row>
    <row r="951" spans="2:7" x14ac:dyDescent="0.25">
      <c r="B951" t="s">
        <v>1587</v>
      </c>
      <c r="D951">
        <v>0</v>
      </c>
      <c r="E951">
        <v>0</v>
      </c>
      <c r="F951">
        <v>0</v>
      </c>
      <c r="G951">
        <v>0</v>
      </c>
    </row>
    <row r="953" spans="2:7" x14ac:dyDescent="0.25">
      <c r="B953">
        <v>10605130</v>
      </c>
      <c r="C953" t="s">
        <v>784</v>
      </c>
    </row>
    <row r="954" spans="2:7" x14ac:dyDescent="0.25">
      <c r="C954" t="s">
        <v>1814</v>
      </c>
      <c r="D954" s="104">
        <v>341606.14</v>
      </c>
      <c r="E954">
        <v>0</v>
      </c>
      <c r="F954">
        <v>0</v>
      </c>
      <c r="G954" s="104">
        <v>341606.14</v>
      </c>
    </row>
    <row r="955" spans="2:7" x14ac:dyDescent="0.25">
      <c r="B955" t="s">
        <v>1587</v>
      </c>
      <c r="D955" s="104">
        <v>341606.14</v>
      </c>
      <c r="E955">
        <v>0</v>
      </c>
      <c r="F955">
        <v>0</v>
      </c>
      <c r="G955" s="104">
        <v>341606.14</v>
      </c>
    </row>
    <row r="957" spans="2:7" x14ac:dyDescent="0.25">
      <c r="B957">
        <v>10605131</v>
      </c>
      <c r="C957" t="s">
        <v>2144</v>
      </c>
    </row>
    <row r="958" spans="2:7" x14ac:dyDescent="0.25">
      <c r="C958" t="s">
        <v>1814</v>
      </c>
      <c r="D958" s="104">
        <v>-339720.08</v>
      </c>
      <c r="E958">
        <v>0</v>
      </c>
      <c r="F958">
        <v>0</v>
      </c>
      <c r="G958" s="104">
        <v>-339720.08</v>
      </c>
    </row>
    <row r="959" spans="2:7" x14ac:dyDescent="0.25">
      <c r="B959" t="s">
        <v>1587</v>
      </c>
      <c r="D959" s="104">
        <v>-339720.08</v>
      </c>
      <c r="E959">
        <v>0</v>
      </c>
      <c r="F959">
        <v>0</v>
      </c>
      <c r="G959" s="104">
        <v>-339720.08</v>
      </c>
    </row>
    <row r="961" spans="2:7" x14ac:dyDescent="0.25">
      <c r="B961">
        <v>10606010</v>
      </c>
      <c r="C961" t="s">
        <v>237</v>
      </c>
    </row>
    <row r="962" spans="2:7" x14ac:dyDescent="0.25">
      <c r="C962" t="s">
        <v>2096</v>
      </c>
      <c r="D962" s="104">
        <v>563841.38</v>
      </c>
      <c r="E962">
        <v>0</v>
      </c>
      <c r="F962">
        <v>0</v>
      </c>
      <c r="G962" s="104">
        <v>563841.38</v>
      </c>
    </row>
    <row r="963" spans="2:7" x14ac:dyDescent="0.25">
      <c r="C963" t="s">
        <v>1754</v>
      </c>
      <c r="D963" s="104">
        <v>721725.62</v>
      </c>
      <c r="E963">
        <v>0</v>
      </c>
      <c r="F963">
        <v>0</v>
      </c>
      <c r="G963" s="104">
        <v>721725.62</v>
      </c>
    </row>
    <row r="964" spans="2:7" x14ac:dyDescent="0.25">
      <c r="C964" t="s">
        <v>1813</v>
      </c>
      <c r="D964" s="104">
        <v>50410</v>
      </c>
      <c r="E964">
        <v>0</v>
      </c>
      <c r="F964">
        <v>0</v>
      </c>
      <c r="G964" s="104">
        <v>50410</v>
      </c>
    </row>
    <row r="965" spans="2:7" x14ac:dyDescent="0.25">
      <c r="C965" t="s">
        <v>1814</v>
      </c>
      <c r="D965" s="104">
        <v>19325471.530000001</v>
      </c>
      <c r="E965">
        <v>0</v>
      </c>
      <c r="F965">
        <v>0</v>
      </c>
      <c r="G965" s="104">
        <v>19325471.530000001</v>
      </c>
    </row>
    <row r="966" spans="2:7" x14ac:dyDescent="0.25">
      <c r="B966" t="s">
        <v>1587</v>
      </c>
      <c r="D966" s="104">
        <v>20661448.530000001</v>
      </c>
      <c r="E966">
        <v>0</v>
      </c>
      <c r="F966">
        <v>0</v>
      </c>
      <c r="G966" s="104">
        <v>20661448.530000001</v>
      </c>
    </row>
    <row r="968" spans="2:7" x14ac:dyDescent="0.25">
      <c r="B968">
        <v>10606011</v>
      </c>
      <c r="C968" t="s">
        <v>239</v>
      </c>
    </row>
    <row r="969" spans="2:7" x14ac:dyDescent="0.25">
      <c r="C969" t="s">
        <v>2096</v>
      </c>
      <c r="D969" s="104">
        <v>-563824.38</v>
      </c>
      <c r="E969">
        <v>0</v>
      </c>
      <c r="F969">
        <v>0</v>
      </c>
      <c r="G969" s="104">
        <v>-563824.38</v>
      </c>
    </row>
    <row r="970" spans="2:7" x14ac:dyDescent="0.25">
      <c r="C970" t="s">
        <v>1754</v>
      </c>
      <c r="D970" s="104">
        <v>-721719.63</v>
      </c>
      <c r="E970">
        <v>0</v>
      </c>
      <c r="F970">
        <v>0</v>
      </c>
      <c r="G970" s="104">
        <v>-721719.63</v>
      </c>
    </row>
    <row r="971" spans="2:7" x14ac:dyDescent="0.25">
      <c r="C971" t="s">
        <v>1813</v>
      </c>
      <c r="D971" s="104">
        <v>-50409</v>
      </c>
      <c r="E971">
        <v>0</v>
      </c>
      <c r="F971">
        <v>0</v>
      </c>
      <c r="G971" s="104">
        <v>-50409</v>
      </c>
    </row>
    <row r="972" spans="2:7" x14ac:dyDescent="0.25">
      <c r="C972" t="s">
        <v>1814</v>
      </c>
      <c r="D972" s="104">
        <v>-8940105.6699999999</v>
      </c>
      <c r="E972">
        <v>0</v>
      </c>
      <c r="F972" s="104">
        <v>162564.32</v>
      </c>
      <c r="G972" s="104">
        <v>-9102669.9900000002</v>
      </c>
    </row>
    <row r="973" spans="2:7" x14ac:dyDescent="0.25">
      <c r="C973" t="s">
        <v>2401</v>
      </c>
      <c r="D973" s="104">
        <v>725890.86</v>
      </c>
      <c r="E973">
        <v>0</v>
      </c>
      <c r="F973">
        <v>0</v>
      </c>
      <c r="G973" s="104">
        <v>725890.86</v>
      </c>
    </row>
    <row r="974" spans="2:7" x14ac:dyDescent="0.25">
      <c r="B974" t="s">
        <v>1587</v>
      </c>
      <c r="D974" s="104">
        <v>-9550167.8200000003</v>
      </c>
      <c r="E974">
        <v>0</v>
      </c>
      <c r="F974" s="104">
        <v>162564.32</v>
      </c>
      <c r="G974" s="104">
        <v>-9712732.1400000006</v>
      </c>
    </row>
    <row r="976" spans="2:7" x14ac:dyDescent="0.25">
      <c r="B976">
        <v>10607010</v>
      </c>
      <c r="C976" t="s">
        <v>226</v>
      </c>
    </row>
    <row r="977" spans="2:7" x14ac:dyDescent="0.25">
      <c r="C977" t="s">
        <v>1814</v>
      </c>
      <c r="D977" s="104">
        <v>804063.95</v>
      </c>
      <c r="E977">
        <v>0</v>
      </c>
      <c r="F977">
        <v>0</v>
      </c>
      <c r="G977" s="104">
        <v>804063.95</v>
      </c>
    </row>
    <row r="978" spans="2:7" x14ac:dyDescent="0.25">
      <c r="C978" t="s">
        <v>2145</v>
      </c>
      <c r="D978" s="104">
        <v>457000</v>
      </c>
      <c r="E978">
        <v>0</v>
      </c>
      <c r="F978">
        <v>0</v>
      </c>
      <c r="G978" s="104">
        <v>457000</v>
      </c>
    </row>
    <row r="979" spans="2:7" x14ac:dyDescent="0.25">
      <c r="B979" t="s">
        <v>1587</v>
      </c>
      <c r="D979" s="104">
        <v>1261063.95</v>
      </c>
      <c r="E979">
        <v>0</v>
      </c>
      <c r="F979">
        <v>0</v>
      </c>
      <c r="G979" s="104">
        <v>1261063.95</v>
      </c>
    </row>
    <row r="981" spans="2:7" x14ac:dyDescent="0.25">
      <c r="B981">
        <v>10607011</v>
      </c>
      <c r="C981" t="s">
        <v>230</v>
      </c>
    </row>
    <row r="982" spans="2:7" x14ac:dyDescent="0.25">
      <c r="C982" t="s">
        <v>1814</v>
      </c>
      <c r="D982" s="104">
        <v>-1158346.21</v>
      </c>
      <c r="E982">
        <v>0</v>
      </c>
      <c r="F982" s="104">
        <v>8041.27</v>
      </c>
      <c r="G982" s="104">
        <v>-1166387.48</v>
      </c>
    </row>
    <row r="983" spans="2:7" x14ac:dyDescent="0.25">
      <c r="B983" t="s">
        <v>1587</v>
      </c>
      <c r="D983" s="104">
        <v>-1158346.21</v>
      </c>
      <c r="E983">
        <v>0</v>
      </c>
      <c r="F983" s="104">
        <v>8041.27</v>
      </c>
      <c r="G983" s="104">
        <v>-1166387.48</v>
      </c>
    </row>
    <row r="985" spans="2:7" x14ac:dyDescent="0.25">
      <c r="B985">
        <v>10609020</v>
      </c>
      <c r="C985" t="s">
        <v>222</v>
      </c>
    </row>
    <row r="986" spans="2:7" x14ac:dyDescent="0.25">
      <c r="B986">
        <v>10609021</v>
      </c>
      <c r="C986" t="s">
        <v>211</v>
      </c>
    </row>
    <row r="987" spans="2:7" x14ac:dyDescent="0.25">
      <c r="B987">
        <v>10609990</v>
      </c>
      <c r="C987" t="s">
        <v>217</v>
      </c>
    </row>
    <row r="988" spans="2:7" x14ac:dyDescent="0.25">
      <c r="B988">
        <v>10609991</v>
      </c>
      <c r="C988" t="s">
        <v>220</v>
      </c>
    </row>
    <row r="989" spans="2:7" x14ac:dyDescent="0.25">
      <c r="C989" t="s">
        <v>1814</v>
      </c>
      <c r="D989">
        <v>0</v>
      </c>
      <c r="E989">
        <v>0</v>
      </c>
      <c r="F989">
        <v>0</v>
      </c>
      <c r="G989">
        <v>0</v>
      </c>
    </row>
    <row r="990" spans="2:7" x14ac:dyDescent="0.25">
      <c r="B990" t="s">
        <v>1587</v>
      </c>
      <c r="D990">
        <v>0</v>
      </c>
      <c r="E990">
        <v>0</v>
      </c>
      <c r="F990">
        <v>0</v>
      </c>
      <c r="G990">
        <v>0</v>
      </c>
    </row>
    <row r="992" spans="2:7" x14ac:dyDescent="0.25">
      <c r="B992">
        <v>10698990</v>
      </c>
      <c r="C992" t="s">
        <v>241</v>
      </c>
    </row>
    <row r="993" spans="2:7" x14ac:dyDescent="0.25">
      <c r="C993" t="s">
        <v>2146</v>
      </c>
      <c r="D993" s="104">
        <v>820698.74</v>
      </c>
      <c r="E993">
        <v>0</v>
      </c>
      <c r="F993">
        <v>0</v>
      </c>
      <c r="G993" s="104">
        <v>820698.74</v>
      </c>
    </row>
    <row r="994" spans="2:7" x14ac:dyDescent="0.25">
      <c r="C994" t="s">
        <v>1814</v>
      </c>
      <c r="D994" s="104">
        <v>999049.72</v>
      </c>
      <c r="E994">
        <v>0</v>
      </c>
      <c r="F994">
        <v>0</v>
      </c>
      <c r="G994" s="104">
        <v>999049.72</v>
      </c>
    </row>
    <row r="995" spans="2:7" x14ac:dyDescent="0.25">
      <c r="C995" t="s">
        <v>1898</v>
      </c>
      <c r="D995" s="104">
        <v>23969545.5</v>
      </c>
      <c r="E995">
        <v>0</v>
      </c>
      <c r="F995">
        <v>0</v>
      </c>
      <c r="G995" s="104">
        <v>23969545.5</v>
      </c>
    </row>
    <row r="996" spans="2:7" x14ac:dyDescent="0.25">
      <c r="C996" t="s">
        <v>2147</v>
      </c>
      <c r="D996" s="104">
        <v>16690581.58</v>
      </c>
      <c r="E996">
        <v>0</v>
      </c>
      <c r="F996">
        <v>0</v>
      </c>
      <c r="G996" s="104">
        <v>16690581.58</v>
      </c>
    </row>
    <row r="997" spans="2:7" x14ac:dyDescent="0.25">
      <c r="B997" t="s">
        <v>1587</v>
      </c>
      <c r="D997" s="104">
        <v>42479875.539999999</v>
      </c>
      <c r="E997">
        <v>0</v>
      </c>
      <c r="F997">
        <v>0</v>
      </c>
      <c r="G997" s="104">
        <v>42479875.539999999</v>
      </c>
    </row>
    <row r="999" spans="2:7" x14ac:dyDescent="0.25">
      <c r="B999">
        <v>10698991</v>
      </c>
      <c r="C999" t="s">
        <v>243</v>
      </c>
    </row>
    <row r="1000" spans="2:7" x14ac:dyDescent="0.25">
      <c r="C1000" t="s">
        <v>1814</v>
      </c>
      <c r="D1000" s="104">
        <v>-999049.72</v>
      </c>
      <c r="E1000">
        <v>0</v>
      </c>
      <c r="F1000">
        <v>0</v>
      </c>
      <c r="G1000" s="104">
        <v>-999049.72</v>
      </c>
    </row>
    <row r="1001" spans="2:7" x14ac:dyDescent="0.25">
      <c r="C1001" t="s">
        <v>2146</v>
      </c>
      <c r="D1001" s="104">
        <v>-820698.74</v>
      </c>
      <c r="E1001">
        <v>0</v>
      </c>
      <c r="F1001">
        <v>0</v>
      </c>
      <c r="G1001" s="104">
        <v>-820698.74</v>
      </c>
    </row>
    <row r="1002" spans="2:7" x14ac:dyDescent="0.25">
      <c r="C1002" t="s">
        <v>2147</v>
      </c>
      <c r="D1002" s="104">
        <v>-7419281.8099999996</v>
      </c>
      <c r="E1002">
        <v>0</v>
      </c>
      <c r="F1002" s="104">
        <v>278176.36</v>
      </c>
      <c r="G1002" s="104">
        <v>-7697458.1699999999</v>
      </c>
    </row>
    <row r="1003" spans="2:7" x14ac:dyDescent="0.25">
      <c r="B1003" t="s">
        <v>1587</v>
      </c>
      <c r="D1003" s="104">
        <v>-9239030.2699999996</v>
      </c>
      <c r="E1003">
        <v>0</v>
      </c>
      <c r="F1003" s="104">
        <v>278176.36</v>
      </c>
      <c r="G1003" s="104">
        <v>-9517206.6300000008</v>
      </c>
    </row>
    <row r="1005" spans="2:7" x14ac:dyDescent="0.25">
      <c r="B1005">
        <v>10801020</v>
      </c>
      <c r="C1005" t="s">
        <v>244</v>
      </c>
    </row>
    <row r="1006" spans="2:7" x14ac:dyDescent="0.25">
      <c r="C1006" t="s">
        <v>2148</v>
      </c>
      <c r="D1006" s="104">
        <v>486160.71</v>
      </c>
      <c r="E1006">
        <v>0</v>
      </c>
      <c r="F1006">
        <v>0</v>
      </c>
      <c r="G1006" s="104">
        <v>486160.71</v>
      </c>
    </row>
    <row r="1007" spans="2:7" x14ac:dyDescent="0.25">
      <c r="C1007" t="s">
        <v>1814</v>
      </c>
      <c r="D1007" s="104">
        <v>145008.93</v>
      </c>
      <c r="E1007">
        <v>0</v>
      </c>
      <c r="F1007">
        <v>0</v>
      </c>
      <c r="G1007" s="104">
        <v>145008.93</v>
      </c>
    </row>
    <row r="1008" spans="2:7" x14ac:dyDescent="0.25">
      <c r="B1008" t="s">
        <v>1587</v>
      </c>
      <c r="D1008" s="104">
        <v>631169.64</v>
      </c>
      <c r="E1008">
        <v>0</v>
      </c>
      <c r="F1008">
        <v>0</v>
      </c>
      <c r="G1008" s="104">
        <v>631169.64</v>
      </c>
    </row>
    <row r="1010" spans="2:7" x14ac:dyDescent="0.25">
      <c r="B1010">
        <v>19901040</v>
      </c>
      <c r="C1010" t="s">
        <v>999</v>
      </c>
      <c r="D1010" s="104">
        <v>265507.5</v>
      </c>
      <c r="E1010" s="104">
        <v>683880.07</v>
      </c>
      <c r="F1010" s="104">
        <v>466242.5</v>
      </c>
      <c r="G1010" s="104">
        <v>483145.07</v>
      </c>
    </row>
    <row r="1011" spans="2:7" x14ac:dyDescent="0.25">
      <c r="B1011" t="s">
        <v>2149</v>
      </c>
      <c r="C1011" t="s">
        <v>125</v>
      </c>
    </row>
    <row r="1012" spans="2:7" x14ac:dyDescent="0.25">
      <c r="C1012" t="s">
        <v>2024</v>
      </c>
      <c r="D1012">
        <v>0</v>
      </c>
      <c r="E1012">
        <v>0</v>
      </c>
      <c r="F1012">
        <v>0</v>
      </c>
      <c r="G1012">
        <v>0</v>
      </c>
    </row>
    <row r="1013" spans="2:7" x14ac:dyDescent="0.25">
      <c r="C1013" t="s">
        <v>2028</v>
      </c>
      <c r="D1013" s="104">
        <v>24227.5</v>
      </c>
      <c r="E1013">
        <v>0</v>
      </c>
      <c r="F1013" s="104">
        <v>24227.5</v>
      </c>
      <c r="G1013">
        <v>0</v>
      </c>
    </row>
    <row r="1014" spans="2:7" x14ac:dyDescent="0.25">
      <c r="C1014" t="s">
        <v>2029</v>
      </c>
      <c r="D1014">
        <v>0</v>
      </c>
      <c r="E1014">
        <v>0</v>
      </c>
      <c r="F1014">
        <v>0</v>
      </c>
      <c r="G1014">
        <v>0</v>
      </c>
    </row>
    <row r="1015" spans="2:7" x14ac:dyDescent="0.25">
      <c r="C1015" t="s">
        <v>2033</v>
      </c>
      <c r="D1015">
        <v>0</v>
      </c>
      <c r="E1015">
        <v>0</v>
      </c>
      <c r="F1015">
        <v>0</v>
      </c>
      <c r="G1015">
        <v>0</v>
      </c>
    </row>
    <row r="1016" spans="2:7" x14ac:dyDescent="0.25">
      <c r="C1016" t="s">
        <v>2022</v>
      </c>
      <c r="D1016">
        <v>0</v>
      </c>
      <c r="E1016">
        <v>0</v>
      </c>
      <c r="F1016">
        <v>0</v>
      </c>
      <c r="G1016">
        <v>0</v>
      </c>
    </row>
    <row r="1017" spans="2:7" x14ac:dyDescent="0.25">
      <c r="C1017" t="s">
        <v>1723</v>
      </c>
      <c r="D1017">
        <v>0</v>
      </c>
      <c r="E1017">
        <v>0</v>
      </c>
      <c r="F1017">
        <v>0</v>
      </c>
      <c r="G1017">
        <v>0</v>
      </c>
    </row>
    <row r="1018" spans="2:7" x14ac:dyDescent="0.25">
      <c r="C1018" t="s">
        <v>2025</v>
      </c>
      <c r="D1018">
        <v>0</v>
      </c>
      <c r="E1018">
        <v>0</v>
      </c>
      <c r="F1018">
        <v>0</v>
      </c>
      <c r="G1018">
        <v>0</v>
      </c>
    </row>
    <row r="1019" spans="2:7" x14ac:dyDescent="0.25">
      <c r="C1019" t="s">
        <v>2031</v>
      </c>
      <c r="D1019" s="104">
        <v>109500</v>
      </c>
      <c r="E1019">
        <v>0</v>
      </c>
      <c r="F1019" s="104">
        <v>109500</v>
      </c>
      <c r="G1019">
        <v>0</v>
      </c>
    </row>
    <row r="1020" spans="2:7" x14ac:dyDescent="0.25">
      <c r="C1020" t="s">
        <v>2758</v>
      </c>
      <c r="D1020" s="104">
        <v>15600</v>
      </c>
      <c r="E1020">
        <v>0</v>
      </c>
      <c r="F1020" s="104">
        <v>15600</v>
      </c>
      <c r="G1020">
        <v>0</v>
      </c>
    </row>
    <row r="1021" spans="2:7" x14ac:dyDescent="0.25">
      <c r="C1021" t="s">
        <v>2150</v>
      </c>
      <c r="D1021">
        <v>0</v>
      </c>
      <c r="E1021" s="104">
        <v>77950</v>
      </c>
      <c r="F1021">
        <v>0</v>
      </c>
      <c r="G1021" s="104">
        <v>77950</v>
      </c>
    </row>
    <row r="1022" spans="2:7" x14ac:dyDescent="0.25">
      <c r="C1022" t="s">
        <v>2060</v>
      </c>
      <c r="D1022">
        <v>0</v>
      </c>
      <c r="E1022">
        <v>0</v>
      </c>
      <c r="F1022">
        <v>0</v>
      </c>
      <c r="G1022">
        <v>0</v>
      </c>
    </row>
    <row r="1023" spans="2:7" x14ac:dyDescent="0.25">
      <c r="C1023" t="s">
        <v>2151</v>
      </c>
      <c r="D1023">
        <v>0</v>
      </c>
      <c r="E1023">
        <v>0</v>
      </c>
      <c r="F1023">
        <v>0</v>
      </c>
      <c r="G1023">
        <v>0</v>
      </c>
    </row>
    <row r="1024" spans="2:7" x14ac:dyDescent="0.25">
      <c r="C1024" t="s">
        <v>2061</v>
      </c>
      <c r="D1024">
        <v>0</v>
      </c>
      <c r="E1024">
        <v>0</v>
      </c>
      <c r="F1024">
        <v>0</v>
      </c>
      <c r="G1024">
        <v>0</v>
      </c>
    </row>
    <row r="1025" spans="3:7" x14ac:dyDescent="0.25">
      <c r="C1025" t="s">
        <v>2064</v>
      </c>
      <c r="D1025">
        <v>0</v>
      </c>
      <c r="E1025">
        <v>0</v>
      </c>
      <c r="F1025">
        <v>0</v>
      </c>
      <c r="G1025">
        <v>0</v>
      </c>
    </row>
    <row r="1026" spans="3:7" x14ac:dyDescent="0.25">
      <c r="C1026" t="s">
        <v>2065</v>
      </c>
      <c r="D1026" s="104">
        <v>19200</v>
      </c>
      <c r="E1026" s="104">
        <v>71000</v>
      </c>
      <c r="F1026" s="104">
        <v>75200</v>
      </c>
      <c r="G1026" s="104">
        <v>15000</v>
      </c>
    </row>
    <row r="1027" spans="3:7" x14ac:dyDescent="0.25">
      <c r="C1027" t="s">
        <v>2066</v>
      </c>
      <c r="D1027" s="104">
        <v>1980</v>
      </c>
      <c r="E1027" s="104">
        <v>50000</v>
      </c>
      <c r="F1027" s="104">
        <v>1980</v>
      </c>
      <c r="G1027" s="104">
        <v>50000</v>
      </c>
    </row>
    <row r="1028" spans="3:7" x14ac:dyDescent="0.25">
      <c r="C1028" t="s">
        <v>1727</v>
      </c>
      <c r="D1028">
        <v>0</v>
      </c>
      <c r="E1028" s="104">
        <v>38975</v>
      </c>
      <c r="F1028" s="104">
        <v>19975</v>
      </c>
      <c r="G1028" s="104">
        <v>19000</v>
      </c>
    </row>
    <row r="1029" spans="3:7" x14ac:dyDescent="0.25">
      <c r="C1029" t="s">
        <v>2067</v>
      </c>
      <c r="D1029" s="104">
        <v>5000</v>
      </c>
      <c r="E1029" s="104">
        <v>10000</v>
      </c>
      <c r="F1029" s="104">
        <v>15000</v>
      </c>
      <c r="G1029">
        <v>0</v>
      </c>
    </row>
    <row r="1030" spans="3:7" x14ac:dyDescent="0.25">
      <c r="C1030" t="s">
        <v>1982</v>
      </c>
      <c r="D1030">
        <v>0</v>
      </c>
      <c r="E1030">
        <v>0</v>
      </c>
      <c r="F1030">
        <v>0</v>
      </c>
      <c r="G1030">
        <v>0</v>
      </c>
    </row>
    <row r="1031" spans="3:7" x14ac:dyDescent="0.25">
      <c r="C1031" t="s">
        <v>2068</v>
      </c>
      <c r="D1031">
        <v>0</v>
      </c>
      <c r="E1031">
        <v>0</v>
      </c>
      <c r="F1031">
        <v>0</v>
      </c>
      <c r="G1031">
        <v>0</v>
      </c>
    </row>
    <row r="1032" spans="3:7" x14ac:dyDescent="0.25">
      <c r="C1032" t="s">
        <v>1728</v>
      </c>
      <c r="D1032">
        <v>0</v>
      </c>
      <c r="E1032" s="104">
        <v>12000</v>
      </c>
      <c r="F1032" s="104">
        <v>12000</v>
      </c>
      <c r="G1032">
        <v>0</v>
      </c>
    </row>
    <row r="1033" spans="3:7" x14ac:dyDescent="0.25">
      <c r="C1033" t="s">
        <v>1730</v>
      </c>
      <c r="D1033">
        <v>0</v>
      </c>
      <c r="E1033" s="104">
        <v>62670</v>
      </c>
      <c r="F1033" s="104">
        <v>42760</v>
      </c>
      <c r="G1033" s="104">
        <v>19910</v>
      </c>
    </row>
    <row r="1034" spans="3:7" x14ac:dyDescent="0.25">
      <c r="C1034" t="s">
        <v>2153</v>
      </c>
      <c r="D1034" s="104">
        <v>30000</v>
      </c>
      <c r="E1034" s="104">
        <v>42000</v>
      </c>
      <c r="F1034" s="104">
        <v>72000</v>
      </c>
      <c r="G1034">
        <v>0</v>
      </c>
    </row>
    <row r="1035" spans="3:7" x14ac:dyDescent="0.25">
      <c r="C1035" t="s">
        <v>1731</v>
      </c>
      <c r="D1035">
        <v>0</v>
      </c>
      <c r="E1035" s="104">
        <v>20000</v>
      </c>
      <c r="F1035">
        <v>0</v>
      </c>
      <c r="G1035" s="104">
        <v>20000</v>
      </c>
    </row>
    <row r="1036" spans="3:7" x14ac:dyDescent="0.25">
      <c r="C1036" t="s">
        <v>1725</v>
      </c>
      <c r="D1036">
        <v>0</v>
      </c>
      <c r="E1036" s="104">
        <v>11124</v>
      </c>
      <c r="F1036">
        <v>0</v>
      </c>
      <c r="G1036" s="104">
        <v>11124</v>
      </c>
    </row>
    <row r="1037" spans="3:7" x14ac:dyDescent="0.25">
      <c r="C1037" t="s">
        <v>1732</v>
      </c>
      <c r="D1037">
        <v>0</v>
      </c>
      <c r="E1037">
        <v>0</v>
      </c>
      <c r="F1037">
        <v>0</v>
      </c>
      <c r="G1037">
        <v>0</v>
      </c>
    </row>
    <row r="1038" spans="3:7" x14ac:dyDescent="0.25">
      <c r="C1038" t="s">
        <v>2330</v>
      </c>
      <c r="D1038">
        <v>0</v>
      </c>
      <c r="E1038" s="104">
        <v>119977.99</v>
      </c>
      <c r="F1038">
        <v>0</v>
      </c>
      <c r="G1038" s="104">
        <v>119977.99</v>
      </c>
    </row>
    <row r="1039" spans="3:7" x14ac:dyDescent="0.25">
      <c r="C1039" t="s">
        <v>1733</v>
      </c>
      <c r="D1039">
        <v>0</v>
      </c>
      <c r="E1039" s="104">
        <v>5000</v>
      </c>
      <c r="F1039">
        <v>0</v>
      </c>
      <c r="G1039" s="104">
        <v>5000</v>
      </c>
    </row>
    <row r="1040" spans="3:7" x14ac:dyDescent="0.25">
      <c r="C1040" t="s">
        <v>2334</v>
      </c>
      <c r="D1040">
        <v>0</v>
      </c>
      <c r="E1040" s="104">
        <v>145183.07999999999</v>
      </c>
      <c r="F1040">
        <v>0</v>
      </c>
      <c r="G1040" s="104">
        <v>145183.07999999999</v>
      </c>
    </row>
    <row r="1041" spans="2:8" x14ac:dyDescent="0.25">
      <c r="C1041" t="s">
        <v>2154</v>
      </c>
      <c r="D1041">
        <v>0</v>
      </c>
      <c r="E1041" s="104">
        <v>8000</v>
      </c>
      <c r="F1041" s="104">
        <v>8000</v>
      </c>
      <c r="G1041">
        <v>0</v>
      </c>
    </row>
    <row r="1042" spans="2:8" x14ac:dyDescent="0.25">
      <c r="C1042" t="s">
        <v>2747</v>
      </c>
      <c r="D1042" s="104">
        <v>60000</v>
      </c>
      <c r="E1042">
        <v>0</v>
      </c>
      <c r="F1042" s="104">
        <v>60000</v>
      </c>
      <c r="G1042">
        <v>0</v>
      </c>
    </row>
    <row r="1043" spans="2:8" x14ac:dyDescent="0.25">
      <c r="C1043" t="s">
        <v>2759</v>
      </c>
      <c r="D1043">
        <v>0</v>
      </c>
      <c r="E1043" s="104">
        <v>10000</v>
      </c>
      <c r="F1043" s="104">
        <v>10000</v>
      </c>
      <c r="G1043">
        <v>0</v>
      </c>
    </row>
    <row r="1044" spans="2:8" x14ac:dyDescent="0.25">
      <c r="B1044" t="s">
        <v>1587</v>
      </c>
      <c r="D1044" s="104">
        <v>265507.5</v>
      </c>
      <c r="E1044" s="104">
        <v>683880.07</v>
      </c>
      <c r="F1044" s="104">
        <v>466242.5</v>
      </c>
      <c r="G1044" s="104">
        <v>483145.07</v>
      </c>
    </row>
    <row r="1046" spans="2:8" x14ac:dyDescent="0.25">
      <c r="B1046" t="s">
        <v>2156</v>
      </c>
      <c r="C1046" t="s">
        <v>2157</v>
      </c>
    </row>
    <row r="1047" spans="2:8" x14ac:dyDescent="0.25">
      <c r="C1047" t="s">
        <v>2158</v>
      </c>
      <c r="D1047">
        <v>0</v>
      </c>
      <c r="E1047">
        <v>0</v>
      </c>
      <c r="F1047">
        <v>0</v>
      </c>
      <c r="G1047">
        <v>0</v>
      </c>
    </row>
    <row r="1048" spans="2:8" x14ac:dyDescent="0.25">
      <c r="B1048" t="s">
        <v>1587</v>
      </c>
      <c r="D1048">
        <v>0</v>
      </c>
      <c r="E1048">
        <v>0</v>
      </c>
      <c r="F1048">
        <v>0</v>
      </c>
      <c r="G1048">
        <v>0</v>
      </c>
    </row>
    <row r="1050" spans="2:8" x14ac:dyDescent="0.25">
      <c r="B1050">
        <v>19902010</v>
      </c>
      <c r="C1050" t="s">
        <v>255</v>
      </c>
    </row>
    <row r="1051" spans="2:8" x14ac:dyDescent="0.25">
      <c r="C1051" t="s">
        <v>1958</v>
      </c>
      <c r="D1051" s="104">
        <v>80000</v>
      </c>
      <c r="E1051">
        <v>0</v>
      </c>
      <c r="F1051">
        <v>0</v>
      </c>
      <c r="G1051" s="104">
        <v>80000</v>
      </c>
    </row>
    <row r="1052" spans="2:8" x14ac:dyDescent="0.25">
      <c r="C1052" t="s">
        <v>2160</v>
      </c>
      <c r="D1052" s="104">
        <v>27387.5</v>
      </c>
      <c r="E1052">
        <v>0</v>
      </c>
      <c r="F1052">
        <v>0</v>
      </c>
      <c r="G1052" s="104">
        <v>27387.5</v>
      </c>
    </row>
    <row r="1053" spans="2:8" x14ac:dyDescent="0.25">
      <c r="C1053" t="s">
        <v>1804</v>
      </c>
      <c r="D1053" s="104">
        <v>31400</v>
      </c>
      <c r="E1053">
        <v>0</v>
      </c>
      <c r="F1053">
        <v>0</v>
      </c>
      <c r="G1053" s="104">
        <v>31400</v>
      </c>
    </row>
    <row r="1054" spans="2:8" x14ac:dyDescent="0.25">
      <c r="C1054" t="s">
        <v>2161</v>
      </c>
      <c r="D1054" s="104">
        <v>1203770</v>
      </c>
      <c r="E1054">
        <v>0</v>
      </c>
      <c r="F1054">
        <v>0</v>
      </c>
      <c r="G1054" s="104">
        <v>1203770</v>
      </c>
    </row>
    <row r="1055" spans="2:8" x14ac:dyDescent="0.25">
      <c r="C1055" t="s">
        <v>1805</v>
      </c>
      <c r="D1055" s="104">
        <v>5000</v>
      </c>
      <c r="E1055">
        <v>0</v>
      </c>
      <c r="F1055">
        <v>0</v>
      </c>
      <c r="G1055" s="104">
        <v>5000</v>
      </c>
    </row>
    <row r="1056" spans="2:8" ht="45" x14ac:dyDescent="0.25">
      <c r="C1056" t="s">
        <v>2162</v>
      </c>
      <c r="D1056" s="104">
        <v>22500</v>
      </c>
      <c r="E1056">
        <v>0</v>
      </c>
      <c r="F1056">
        <v>0</v>
      </c>
      <c r="G1056" s="104">
        <v>22500</v>
      </c>
      <c r="H1056" s="176" t="s">
        <v>2782</v>
      </c>
    </row>
    <row r="1057" spans="2:8" ht="45" x14ac:dyDescent="0.25">
      <c r="C1057" t="s">
        <v>2163</v>
      </c>
      <c r="D1057" s="104">
        <v>101955</v>
      </c>
      <c r="E1057">
        <v>0</v>
      </c>
      <c r="F1057">
        <v>0</v>
      </c>
      <c r="G1057" s="104">
        <v>101955</v>
      </c>
      <c r="H1057" s="890" t="s">
        <v>2781</v>
      </c>
    </row>
    <row r="1058" spans="2:8" x14ac:dyDescent="0.25">
      <c r="C1058" t="s">
        <v>1814</v>
      </c>
      <c r="D1058" s="104">
        <v>387497.97</v>
      </c>
      <c r="E1058">
        <v>0</v>
      </c>
      <c r="F1058">
        <v>0</v>
      </c>
      <c r="G1058" s="104">
        <v>387497.97</v>
      </c>
    </row>
    <row r="1059" spans="2:8" ht="135" x14ac:dyDescent="0.25">
      <c r="C1059" t="s">
        <v>2164</v>
      </c>
      <c r="D1059" s="104">
        <v>642600</v>
      </c>
      <c r="E1059">
        <v>0</v>
      </c>
      <c r="F1059">
        <v>0</v>
      </c>
      <c r="G1059" s="104">
        <v>642600</v>
      </c>
      <c r="H1059" s="444" t="s">
        <v>2780</v>
      </c>
    </row>
    <row r="1060" spans="2:8" x14ac:dyDescent="0.25">
      <c r="C1060" t="s">
        <v>2165</v>
      </c>
      <c r="D1060" s="104">
        <v>515123.18</v>
      </c>
      <c r="E1060">
        <v>0</v>
      </c>
      <c r="F1060">
        <v>0</v>
      </c>
      <c r="G1060" s="104">
        <v>515123.18</v>
      </c>
    </row>
    <row r="1061" spans="2:8" x14ac:dyDescent="0.25">
      <c r="B1061" t="s">
        <v>1587</v>
      </c>
      <c r="D1061" s="104">
        <v>3017233.65</v>
      </c>
      <c r="E1061">
        <v>0</v>
      </c>
      <c r="F1061">
        <v>0</v>
      </c>
      <c r="G1061" s="104">
        <v>3017233.65</v>
      </c>
    </row>
    <row r="1063" spans="2:8" x14ac:dyDescent="0.25">
      <c r="B1063">
        <v>19902050</v>
      </c>
      <c r="C1063" t="s">
        <v>245</v>
      </c>
    </row>
    <row r="1064" spans="2:8" x14ac:dyDescent="0.25">
      <c r="C1064" t="s">
        <v>2166</v>
      </c>
      <c r="D1064" s="104">
        <v>717771.5</v>
      </c>
      <c r="E1064">
        <v>0</v>
      </c>
      <c r="F1064">
        <v>0</v>
      </c>
      <c r="G1064" s="104">
        <v>717771.5</v>
      </c>
    </row>
    <row r="1065" spans="2:8" x14ac:dyDescent="0.25">
      <c r="B1065" t="s">
        <v>1587</v>
      </c>
      <c r="D1065" s="104">
        <v>717771.5</v>
      </c>
      <c r="E1065">
        <v>0</v>
      </c>
      <c r="F1065">
        <v>0</v>
      </c>
      <c r="G1065" s="104">
        <v>717771.5</v>
      </c>
    </row>
    <row r="1067" spans="2:8" x14ac:dyDescent="0.25">
      <c r="B1067">
        <v>19902060</v>
      </c>
      <c r="C1067" t="s">
        <v>2167</v>
      </c>
    </row>
    <row r="1068" spans="2:8" x14ac:dyDescent="0.25">
      <c r="C1068" t="s">
        <v>1954</v>
      </c>
      <c r="D1068" s="104">
        <v>745998.94</v>
      </c>
      <c r="E1068" s="104">
        <v>456190.53</v>
      </c>
      <c r="F1068" s="104">
        <v>670159.07999999996</v>
      </c>
      <c r="G1068" s="104">
        <v>532030.39</v>
      </c>
    </row>
    <row r="1069" spans="2:8" x14ac:dyDescent="0.25">
      <c r="B1069" t="s">
        <v>1587</v>
      </c>
      <c r="D1069" s="104">
        <v>745998.94</v>
      </c>
      <c r="E1069" s="104">
        <v>456190.53</v>
      </c>
      <c r="F1069" s="104">
        <v>670159.07999999996</v>
      </c>
      <c r="G1069" s="104">
        <v>532030.39</v>
      </c>
    </row>
    <row r="1071" spans="2:8" x14ac:dyDescent="0.25">
      <c r="B1071">
        <v>19902070</v>
      </c>
      <c r="C1071" t="s">
        <v>2168</v>
      </c>
    </row>
    <row r="1072" spans="2:8" x14ac:dyDescent="0.25">
      <c r="C1072" t="s">
        <v>1963</v>
      </c>
      <c r="D1072" s="104">
        <v>319782.25</v>
      </c>
      <c r="E1072" s="104">
        <v>299640.96000000002</v>
      </c>
      <c r="F1072" s="104">
        <v>319782.25</v>
      </c>
      <c r="G1072" s="104">
        <v>299640.96000000002</v>
      </c>
    </row>
    <row r="1073" spans="2:7" x14ac:dyDescent="0.25">
      <c r="B1073" t="s">
        <v>1587</v>
      </c>
      <c r="D1073" s="104">
        <v>319782.25</v>
      </c>
      <c r="E1073" s="104">
        <v>299640.96000000002</v>
      </c>
      <c r="F1073" s="104">
        <v>319782.25</v>
      </c>
      <c r="G1073" s="104">
        <v>299640.96000000002</v>
      </c>
    </row>
    <row r="1075" spans="2:7" x14ac:dyDescent="0.25">
      <c r="B1075">
        <v>19902080</v>
      </c>
      <c r="C1075" t="s">
        <v>2169</v>
      </c>
    </row>
    <row r="1076" spans="2:7" x14ac:dyDescent="0.25">
      <c r="C1076" t="s">
        <v>1964</v>
      </c>
      <c r="D1076" s="104">
        <v>110039751.19</v>
      </c>
      <c r="E1076" s="104">
        <v>785041.52</v>
      </c>
      <c r="F1076">
        <v>0</v>
      </c>
      <c r="G1076" s="104">
        <v>110824792.70999999</v>
      </c>
    </row>
    <row r="1077" spans="2:7" x14ac:dyDescent="0.25">
      <c r="B1077" t="s">
        <v>1587</v>
      </c>
      <c r="D1077" s="104">
        <v>110039751.19</v>
      </c>
      <c r="E1077" s="104">
        <v>785041.52</v>
      </c>
      <c r="F1077">
        <v>0</v>
      </c>
      <c r="G1077" s="104">
        <v>110824792.70999999</v>
      </c>
    </row>
    <row r="1079" spans="2:7" x14ac:dyDescent="0.25">
      <c r="B1079">
        <v>19902990</v>
      </c>
      <c r="C1079" t="s">
        <v>251</v>
      </c>
    </row>
    <row r="1080" spans="2:7" x14ac:dyDescent="0.25">
      <c r="C1080" t="s">
        <v>2029</v>
      </c>
      <c r="D1080">
        <v>0</v>
      </c>
      <c r="E1080">
        <v>0</v>
      </c>
      <c r="F1080">
        <v>0</v>
      </c>
      <c r="G1080">
        <v>0</v>
      </c>
    </row>
    <row r="1081" spans="2:7" x14ac:dyDescent="0.25">
      <c r="C1081" t="s">
        <v>2062</v>
      </c>
      <c r="D1081">
        <v>0</v>
      </c>
      <c r="E1081">
        <v>0</v>
      </c>
      <c r="F1081">
        <v>0</v>
      </c>
      <c r="G1081">
        <v>0</v>
      </c>
    </row>
    <row r="1082" spans="2:7" x14ac:dyDescent="0.25">
      <c r="C1082" t="s">
        <v>2166</v>
      </c>
      <c r="D1082" s="104">
        <v>548486.29</v>
      </c>
      <c r="E1082">
        <v>0</v>
      </c>
      <c r="F1082">
        <v>0</v>
      </c>
      <c r="G1082" s="104">
        <v>548486.29</v>
      </c>
    </row>
    <row r="1083" spans="2:7" x14ac:dyDescent="0.25">
      <c r="C1083" t="s">
        <v>1898</v>
      </c>
      <c r="D1083" s="104">
        <v>4120656</v>
      </c>
      <c r="E1083">
        <v>0</v>
      </c>
      <c r="F1083">
        <v>0</v>
      </c>
      <c r="G1083" s="104">
        <v>4120656</v>
      </c>
    </row>
    <row r="1084" spans="2:7" x14ac:dyDescent="0.25">
      <c r="C1084" t="s">
        <v>2171</v>
      </c>
      <c r="D1084" s="104">
        <v>23893.33</v>
      </c>
      <c r="E1084" s="104">
        <v>23893.33</v>
      </c>
      <c r="F1084">
        <v>0</v>
      </c>
      <c r="G1084" s="104">
        <v>47786.66</v>
      </c>
    </row>
    <row r="1085" spans="2:7" x14ac:dyDescent="0.25">
      <c r="B1085" t="s">
        <v>1587</v>
      </c>
      <c r="D1085" s="104">
        <v>4693035.62</v>
      </c>
      <c r="E1085" s="104">
        <v>23893.33</v>
      </c>
      <c r="F1085">
        <v>0</v>
      </c>
      <c r="G1085" s="104">
        <v>4716928.95</v>
      </c>
    </row>
    <row r="1087" spans="2:7" x14ac:dyDescent="0.25">
      <c r="B1087">
        <v>19903020</v>
      </c>
      <c r="C1087" t="s">
        <v>788</v>
      </c>
    </row>
    <row r="1088" spans="2:7" x14ac:dyDescent="0.25">
      <c r="C1088" t="s">
        <v>2177</v>
      </c>
      <c r="D1088" s="104">
        <v>220000</v>
      </c>
      <c r="E1088">
        <v>0</v>
      </c>
      <c r="F1088">
        <v>0</v>
      </c>
      <c r="G1088" s="104">
        <v>220000</v>
      </c>
    </row>
    <row r="1089" spans="2:7" x14ac:dyDescent="0.25">
      <c r="B1089" t="s">
        <v>1587</v>
      </c>
      <c r="D1089" s="104">
        <v>220000</v>
      </c>
      <c r="E1089">
        <v>0</v>
      </c>
      <c r="F1089">
        <v>0</v>
      </c>
      <c r="G1089" s="104">
        <v>220000</v>
      </c>
    </row>
    <row r="1091" spans="2:7" x14ac:dyDescent="0.25">
      <c r="B1091">
        <v>19903990</v>
      </c>
      <c r="C1091" t="s">
        <v>790</v>
      </c>
    </row>
    <row r="1092" spans="2:7" x14ac:dyDescent="0.25">
      <c r="C1092" t="s">
        <v>2004</v>
      </c>
      <c r="D1092" s="104">
        <v>17700</v>
      </c>
      <c r="E1092">
        <v>0</v>
      </c>
      <c r="F1092">
        <v>0</v>
      </c>
      <c r="G1092" s="104">
        <v>17700</v>
      </c>
    </row>
    <row r="1093" spans="2:7" x14ac:dyDescent="0.25">
      <c r="C1093" t="s">
        <v>2171</v>
      </c>
      <c r="D1093" s="104">
        <v>15000</v>
      </c>
      <c r="E1093">
        <v>0</v>
      </c>
      <c r="F1093">
        <v>0</v>
      </c>
      <c r="G1093" s="104">
        <v>15000</v>
      </c>
    </row>
    <row r="1094" spans="2:7" x14ac:dyDescent="0.25">
      <c r="C1094" t="s">
        <v>2178</v>
      </c>
      <c r="D1094" s="104">
        <v>48435.45</v>
      </c>
      <c r="E1094" s="104">
        <v>3232.56</v>
      </c>
      <c r="F1094">
        <v>193.68</v>
      </c>
      <c r="G1094" s="104">
        <v>51474.33</v>
      </c>
    </row>
    <row r="1095" spans="2:7" x14ac:dyDescent="0.25">
      <c r="B1095" t="s">
        <v>1587</v>
      </c>
      <c r="D1095" s="104">
        <v>81135.45</v>
      </c>
      <c r="E1095" s="104">
        <v>3232.56</v>
      </c>
      <c r="F1095">
        <v>193.68</v>
      </c>
      <c r="G1095" s="104">
        <v>84174.33</v>
      </c>
    </row>
    <row r="1097" spans="2:7" x14ac:dyDescent="0.25">
      <c r="B1097">
        <v>19999020</v>
      </c>
      <c r="C1097" t="s">
        <v>194</v>
      </c>
    </row>
    <row r="1098" spans="2:7" x14ac:dyDescent="0.25">
      <c r="C1098" t="s">
        <v>1814</v>
      </c>
      <c r="D1098" s="104">
        <v>922591.08</v>
      </c>
      <c r="E1098">
        <v>0</v>
      </c>
      <c r="F1098">
        <v>0</v>
      </c>
      <c r="G1098" s="104">
        <v>922591.08</v>
      </c>
    </row>
    <row r="1099" spans="2:7" x14ac:dyDescent="0.25">
      <c r="B1099" t="s">
        <v>1587</v>
      </c>
      <c r="D1099" s="104">
        <v>922591.08</v>
      </c>
      <c r="E1099">
        <v>0</v>
      </c>
      <c r="F1099">
        <v>0</v>
      </c>
      <c r="G1099" s="104">
        <v>922591.08</v>
      </c>
    </row>
    <row r="1101" spans="2:7" x14ac:dyDescent="0.25">
      <c r="B1101">
        <v>19999021</v>
      </c>
      <c r="C1101" t="s">
        <v>198</v>
      </c>
    </row>
    <row r="1102" spans="2:7" x14ac:dyDescent="0.25">
      <c r="C1102" t="s">
        <v>1814</v>
      </c>
      <c r="D1102" s="104">
        <v>-922590.08</v>
      </c>
      <c r="E1102">
        <v>0</v>
      </c>
      <c r="F1102">
        <v>0</v>
      </c>
      <c r="G1102" s="104">
        <v>-922590.08</v>
      </c>
    </row>
    <row r="1103" spans="2:7" x14ac:dyDescent="0.25">
      <c r="B1103" t="s">
        <v>1587</v>
      </c>
      <c r="D1103" s="104">
        <v>-922590.08</v>
      </c>
      <c r="E1103">
        <v>0</v>
      </c>
      <c r="F1103">
        <v>0</v>
      </c>
      <c r="G1103" s="104">
        <v>-922590.08</v>
      </c>
    </row>
    <row r="1105" spans="2:7" x14ac:dyDescent="0.25">
      <c r="B1105">
        <v>19999990</v>
      </c>
      <c r="C1105" t="s">
        <v>263</v>
      </c>
      <c r="D1105" s="104">
        <v>1679732976.77</v>
      </c>
      <c r="E1105" s="104">
        <v>183348.94</v>
      </c>
      <c r="F1105" s="104">
        <v>183274.4</v>
      </c>
      <c r="G1105" s="104">
        <v>1679733051.3099999</v>
      </c>
    </row>
    <row r="1106" spans="2:7" x14ac:dyDescent="0.25">
      <c r="B1106" t="s">
        <v>2179</v>
      </c>
      <c r="C1106" t="s">
        <v>256</v>
      </c>
    </row>
    <row r="1107" spans="2:7" x14ac:dyDescent="0.25">
      <c r="C1107" t="s">
        <v>2005</v>
      </c>
      <c r="D1107">
        <v>0</v>
      </c>
      <c r="E1107">
        <v>0</v>
      </c>
      <c r="F1107">
        <v>0</v>
      </c>
      <c r="G1107">
        <v>0</v>
      </c>
    </row>
    <row r="1108" spans="2:7" x14ac:dyDescent="0.25">
      <c r="C1108" t="s">
        <v>2180</v>
      </c>
      <c r="D1108">
        <v>0</v>
      </c>
      <c r="E1108">
        <v>0</v>
      </c>
      <c r="F1108">
        <v>0</v>
      </c>
      <c r="G1108">
        <v>0</v>
      </c>
    </row>
    <row r="1109" spans="2:7" x14ac:dyDescent="0.25">
      <c r="C1109" t="s">
        <v>1898</v>
      </c>
      <c r="D1109" s="104">
        <v>5166167.87</v>
      </c>
      <c r="E1109">
        <v>0</v>
      </c>
      <c r="F1109">
        <v>0</v>
      </c>
      <c r="G1109" s="104">
        <v>5166167.87</v>
      </c>
    </row>
    <row r="1110" spans="2:7" x14ac:dyDescent="0.25">
      <c r="C1110" t="s">
        <v>1738</v>
      </c>
      <c r="D1110" s="104">
        <v>488973274.41000003</v>
      </c>
      <c r="E1110">
        <v>0</v>
      </c>
      <c r="F1110" s="104">
        <v>183274.4</v>
      </c>
      <c r="G1110" s="104">
        <v>488790000.00999999</v>
      </c>
    </row>
    <row r="1111" spans="2:7" x14ac:dyDescent="0.25">
      <c r="C1111" t="s">
        <v>2182</v>
      </c>
      <c r="D1111" s="104">
        <v>150000000</v>
      </c>
      <c r="E1111">
        <v>0</v>
      </c>
      <c r="F1111">
        <v>0</v>
      </c>
      <c r="G1111" s="104">
        <v>150000000</v>
      </c>
    </row>
    <row r="1112" spans="2:7" x14ac:dyDescent="0.25">
      <c r="C1112" t="s">
        <v>2760</v>
      </c>
      <c r="D1112">
        <v>0</v>
      </c>
      <c r="E1112" s="104">
        <v>183348.94</v>
      </c>
      <c r="F1112">
        <v>0</v>
      </c>
      <c r="G1112" s="104">
        <v>183348.94</v>
      </c>
    </row>
    <row r="1113" spans="2:7" x14ac:dyDescent="0.25">
      <c r="B1113" t="s">
        <v>1587</v>
      </c>
      <c r="D1113" s="104">
        <v>644139442.27999997</v>
      </c>
      <c r="E1113" s="104">
        <v>183348.94</v>
      </c>
      <c r="F1113" s="104">
        <v>183274.4</v>
      </c>
      <c r="G1113" s="104">
        <v>644139516.82000005</v>
      </c>
    </row>
    <row r="1115" spans="2:7" x14ac:dyDescent="0.25">
      <c r="B1115" t="s">
        <v>2183</v>
      </c>
      <c r="C1115" t="s">
        <v>259</v>
      </c>
    </row>
    <row r="1116" spans="2:7" x14ac:dyDescent="0.25">
      <c r="C1116" t="s">
        <v>2005</v>
      </c>
      <c r="D1116">
        <v>0</v>
      </c>
      <c r="E1116">
        <v>0</v>
      </c>
      <c r="F1116">
        <v>0</v>
      </c>
      <c r="G1116">
        <v>0</v>
      </c>
    </row>
    <row r="1117" spans="2:7" x14ac:dyDescent="0.25">
      <c r="C1117" t="s">
        <v>1742</v>
      </c>
      <c r="D1117">
        <v>0</v>
      </c>
      <c r="E1117">
        <v>0</v>
      </c>
      <c r="F1117">
        <v>0</v>
      </c>
      <c r="G1117">
        <v>0</v>
      </c>
    </row>
    <row r="1118" spans="2:7" x14ac:dyDescent="0.25">
      <c r="B1118" t="s">
        <v>1587</v>
      </c>
      <c r="D1118">
        <v>0</v>
      </c>
      <c r="E1118">
        <v>0</v>
      </c>
      <c r="F1118">
        <v>0</v>
      </c>
      <c r="G1118">
        <v>0</v>
      </c>
    </row>
    <row r="1120" spans="2:7" x14ac:dyDescent="0.25">
      <c r="B1120" t="s">
        <v>2184</v>
      </c>
      <c r="C1120" t="s">
        <v>260</v>
      </c>
    </row>
    <row r="1121" spans="2:7" x14ac:dyDescent="0.25">
      <c r="C1121" t="s">
        <v>2185</v>
      </c>
      <c r="D1121" s="104">
        <v>42000000</v>
      </c>
      <c r="E1121">
        <v>0</v>
      </c>
      <c r="F1121">
        <v>0</v>
      </c>
      <c r="G1121" s="104">
        <v>42000000</v>
      </c>
    </row>
    <row r="1122" spans="2:7" x14ac:dyDescent="0.25">
      <c r="C1122" t="s">
        <v>1804</v>
      </c>
      <c r="D1122" s="104">
        <v>125135.36</v>
      </c>
      <c r="E1122">
        <v>0</v>
      </c>
      <c r="F1122">
        <v>0</v>
      </c>
      <c r="G1122" s="104">
        <v>125135.36</v>
      </c>
    </row>
    <row r="1123" spans="2:7" x14ac:dyDescent="0.25">
      <c r="C1123" t="s">
        <v>2186</v>
      </c>
      <c r="D1123" s="104">
        <v>703169.56</v>
      </c>
      <c r="E1123">
        <v>0</v>
      </c>
      <c r="F1123">
        <v>0</v>
      </c>
      <c r="G1123" s="104">
        <v>703169.56</v>
      </c>
    </row>
    <row r="1124" spans="2:7" x14ac:dyDescent="0.25">
      <c r="B1124" t="s">
        <v>1587</v>
      </c>
      <c r="D1124" s="104">
        <v>42828304.920000002</v>
      </c>
      <c r="E1124">
        <v>0</v>
      </c>
      <c r="F1124">
        <v>0</v>
      </c>
      <c r="G1124" s="104">
        <v>42828304.920000002</v>
      </c>
    </row>
    <row r="1126" spans="2:7" x14ac:dyDescent="0.25">
      <c r="B1126" t="s">
        <v>2187</v>
      </c>
      <c r="C1126" t="s">
        <v>263</v>
      </c>
    </row>
    <row r="1127" spans="2:7" x14ac:dyDescent="0.25">
      <c r="C1127" t="s">
        <v>2188</v>
      </c>
      <c r="D1127" s="104">
        <v>962110315.46000004</v>
      </c>
      <c r="E1127">
        <v>0</v>
      </c>
      <c r="F1127">
        <v>0</v>
      </c>
      <c r="G1127" s="104">
        <v>962110315.46000004</v>
      </c>
    </row>
    <row r="1128" spans="2:7" x14ac:dyDescent="0.25">
      <c r="C1128" t="s">
        <v>2095</v>
      </c>
      <c r="D1128" s="104">
        <v>3431500</v>
      </c>
      <c r="E1128">
        <v>0</v>
      </c>
      <c r="F1128">
        <v>0</v>
      </c>
      <c r="G1128" s="104">
        <v>3431500</v>
      </c>
    </row>
    <row r="1129" spans="2:7" x14ac:dyDescent="0.25">
      <c r="C1129" t="s">
        <v>2189</v>
      </c>
      <c r="D1129" s="104">
        <v>6721438.1900000004</v>
      </c>
      <c r="E1129">
        <v>0</v>
      </c>
      <c r="F1129">
        <v>0</v>
      </c>
      <c r="G1129" s="104">
        <v>6721438.1900000004</v>
      </c>
    </row>
    <row r="1130" spans="2:7" x14ac:dyDescent="0.25">
      <c r="C1130" t="s">
        <v>2190</v>
      </c>
      <c r="D1130" s="104">
        <v>5462373.96</v>
      </c>
      <c r="E1130">
        <v>0</v>
      </c>
      <c r="F1130">
        <v>0</v>
      </c>
      <c r="G1130" s="104">
        <v>5462373.96</v>
      </c>
    </row>
    <row r="1131" spans="2:7" x14ac:dyDescent="0.25">
      <c r="C1131" t="s">
        <v>2191</v>
      </c>
      <c r="D1131" s="104">
        <v>112939.19</v>
      </c>
      <c r="E1131">
        <v>0</v>
      </c>
      <c r="F1131">
        <v>0</v>
      </c>
      <c r="G1131" s="104">
        <v>112939.19</v>
      </c>
    </row>
    <row r="1132" spans="2:7" x14ac:dyDescent="0.25">
      <c r="C1132" t="s">
        <v>1814</v>
      </c>
      <c r="D1132" s="104">
        <v>3954634.79</v>
      </c>
      <c r="E1132">
        <v>0</v>
      </c>
      <c r="F1132">
        <v>0</v>
      </c>
      <c r="G1132" s="104">
        <v>3954634.79</v>
      </c>
    </row>
    <row r="1133" spans="2:7" x14ac:dyDescent="0.25">
      <c r="C1133" t="s">
        <v>2192</v>
      </c>
      <c r="D1133" s="104">
        <v>107834.5</v>
      </c>
      <c r="E1133">
        <v>0</v>
      </c>
      <c r="F1133">
        <v>0</v>
      </c>
      <c r="G1133" s="104">
        <v>107834.5</v>
      </c>
    </row>
    <row r="1134" spans="2:7" x14ac:dyDescent="0.25">
      <c r="C1134" t="s">
        <v>2193</v>
      </c>
      <c r="D1134" s="104">
        <v>3180000</v>
      </c>
      <c r="E1134">
        <v>0</v>
      </c>
      <c r="F1134">
        <v>0</v>
      </c>
      <c r="G1134" s="104">
        <v>3180000</v>
      </c>
    </row>
    <row r="1135" spans="2:7" x14ac:dyDescent="0.25">
      <c r="C1135" t="s">
        <v>2194</v>
      </c>
      <c r="D1135" s="104">
        <v>1070089.29</v>
      </c>
      <c r="E1135">
        <v>0</v>
      </c>
      <c r="F1135">
        <v>0</v>
      </c>
      <c r="G1135" s="104">
        <v>1070089.29</v>
      </c>
    </row>
    <row r="1136" spans="2:7" x14ac:dyDescent="0.25">
      <c r="C1136" t="s">
        <v>2195</v>
      </c>
      <c r="D1136" s="104">
        <v>582222.4</v>
      </c>
      <c r="E1136">
        <v>0</v>
      </c>
      <c r="F1136">
        <v>0</v>
      </c>
      <c r="G1136" s="104">
        <v>582222.4</v>
      </c>
    </row>
    <row r="1137" spans="2:7" x14ac:dyDescent="0.25">
      <c r="C1137" t="s">
        <v>2125</v>
      </c>
      <c r="D1137" s="104">
        <v>6018566.4400000004</v>
      </c>
      <c r="E1137">
        <v>0</v>
      </c>
      <c r="F1137">
        <v>0</v>
      </c>
      <c r="G1137" s="104">
        <v>6018566.4400000004</v>
      </c>
    </row>
    <row r="1138" spans="2:7" x14ac:dyDescent="0.25">
      <c r="C1138" t="s">
        <v>2196</v>
      </c>
      <c r="D1138" s="104">
        <v>10000</v>
      </c>
      <c r="E1138">
        <v>0</v>
      </c>
      <c r="F1138">
        <v>0</v>
      </c>
      <c r="G1138" s="104">
        <v>10000</v>
      </c>
    </row>
    <row r="1139" spans="2:7" x14ac:dyDescent="0.25">
      <c r="C1139" t="s">
        <v>2126</v>
      </c>
      <c r="D1139" s="104">
        <v>3315.35</v>
      </c>
      <c r="E1139">
        <v>0</v>
      </c>
      <c r="F1139">
        <v>0</v>
      </c>
      <c r="G1139" s="104">
        <v>3315.35</v>
      </c>
    </row>
    <row r="1140" spans="2:7" x14ac:dyDescent="0.25">
      <c r="B1140" t="s">
        <v>1587</v>
      </c>
      <c r="D1140" s="104">
        <v>992765229.57000005</v>
      </c>
      <c r="E1140">
        <v>0</v>
      </c>
      <c r="F1140">
        <v>0</v>
      </c>
      <c r="G1140" s="104">
        <v>992765229.57000005</v>
      </c>
    </row>
    <row r="1142" spans="2:7" x14ac:dyDescent="0.25">
      <c r="B1142">
        <v>19999991</v>
      </c>
      <c r="C1142" t="s">
        <v>269</v>
      </c>
    </row>
    <row r="1143" spans="2:7" x14ac:dyDescent="0.25">
      <c r="C1143" t="s">
        <v>2188</v>
      </c>
      <c r="D1143" s="104">
        <v>-955801563.98000002</v>
      </c>
      <c r="E1143">
        <v>0</v>
      </c>
      <c r="F1143">
        <v>0</v>
      </c>
      <c r="G1143" s="104">
        <v>-955801563.98000002</v>
      </c>
    </row>
    <row r="1144" spans="2:7" x14ac:dyDescent="0.25">
      <c r="C1144" t="s">
        <v>2095</v>
      </c>
      <c r="D1144" s="104">
        <v>-3431500</v>
      </c>
      <c r="E1144">
        <v>0</v>
      </c>
      <c r="F1144">
        <v>0</v>
      </c>
      <c r="G1144" s="104">
        <v>-3431500</v>
      </c>
    </row>
    <row r="1145" spans="2:7" x14ac:dyDescent="0.25">
      <c r="C1145" t="s">
        <v>1814</v>
      </c>
      <c r="D1145" s="104">
        <v>-44475840.68</v>
      </c>
      <c r="E1145">
        <v>0</v>
      </c>
      <c r="F1145">
        <v>0</v>
      </c>
      <c r="G1145" s="104">
        <v>-44475840.68</v>
      </c>
    </row>
    <row r="1146" spans="2:7" x14ac:dyDescent="0.25">
      <c r="C1146" t="s">
        <v>2148</v>
      </c>
      <c r="D1146" s="104">
        <v>-631166.64</v>
      </c>
      <c r="E1146">
        <v>0</v>
      </c>
      <c r="F1146">
        <v>0</v>
      </c>
      <c r="G1146" s="104">
        <v>-631166.64</v>
      </c>
    </row>
    <row r="1147" spans="2:7" x14ac:dyDescent="0.25">
      <c r="C1147" t="s">
        <v>2162</v>
      </c>
      <c r="D1147" s="104">
        <v>-22500</v>
      </c>
      <c r="E1147">
        <v>0</v>
      </c>
      <c r="F1147">
        <v>0</v>
      </c>
      <c r="G1147" s="104">
        <v>-22500</v>
      </c>
    </row>
    <row r="1148" spans="2:7" x14ac:dyDescent="0.25">
      <c r="C1148" t="s">
        <v>2190</v>
      </c>
      <c r="D1148" s="104">
        <v>-5462373.96</v>
      </c>
      <c r="E1148">
        <v>0</v>
      </c>
      <c r="F1148">
        <v>0</v>
      </c>
      <c r="G1148" s="104">
        <v>-5462373.96</v>
      </c>
    </row>
    <row r="1149" spans="2:7" x14ac:dyDescent="0.25">
      <c r="C1149" t="s">
        <v>2191</v>
      </c>
      <c r="D1149" s="104">
        <v>-112939.19</v>
      </c>
      <c r="E1149">
        <v>0</v>
      </c>
      <c r="F1149">
        <v>0</v>
      </c>
      <c r="G1149" s="104">
        <v>-112939.19</v>
      </c>
    </row>
    <row r="1150" spans="2:7" x14ac:dyDescent="0.25">
      <c r="C1150" t="s">
        <v>2163</v>
      </c>
      <c r="D1150" s="104">
        <v>-101955</v>
      </c>
      <c r="E1150">
        <v>0</v>
      </c>
      <c r="F1150">
        <v>0</v>
      </c>
      <c r="G1150" s="104">
        <v>-101955</v>
      </c>
    </row>
    <row r="1151" spans="2:7" x14ac:dyDescent="0.25">
      <c r="C1151" t="s">
        <v>2194</v>
      </c>
      <c r="D1151" s="104">
        <v>-1070089.29</v>
      </c>
      <c r="E1151">
        <v>0</v>
      </c>
      <c r="F1151">
        <v>0</v>
      </c>
      <c r="G1151" s="104">
        <v>-1070089.29</v>
      </c>
    </row>
    <row r="1152" spans="2:7" x14ac:dyDescent="0.25">
      <c r="B1152" t="s">
        <v>1587</v>
      </c>
      <c r="D1152" s="104">
        <v>-1011109928.74</v>
      </c>
      <c r="E1152">
        <v>0</v>
      </c>
      <c r="F1152">
        <v>0</v>
      </c>
      <c r="G1152" s="104">
        <v>-1011109928.74</v>
      </c>
    </row>
    <row r="1154" spans="2:7" x14ac:dyDescent="0.25">
      <c r="B1154">
        <v>20101050</v>
      </c>
      <c r="C1154" t="s">
        <v>271</v>
      </c>
    </row>
    <row r="1155" spans="2:7" x14ac:dyDescent="0.25">
      <c r="C1155" t="s">
        <v>2198</v>
      </c>
      <c r="D1155" s="104">
        <v>130038535.11</v>
      </c>
      <c r="E1155">
        <v>0</v>
      </c>
      <c r="F1155">
        <v>0</v>
      </c>
      <c r="G1155" s="104">
        <v>130038535.11</v>
      </c>
    </row>
    <row r="1156" spans="2:7" x14ac:dyDescent="0.25">
      <c r="C1156" t="s">
        <v>2199</v>
      </c>
      <c r="D1156" s="104">
        <v>8829219.25</v>
      </c>
      <c r="E1156">
        <v>0</v>
      </c>
      <c r="F1156">
        <v>0</v>
      </c>
      <c r="G1156" s="104">
        <v>8829219.25</v>
      </c>
    </row>
    <row r="1157" spans="2:7" x14ac:dyDescent="0.25">
      <c r="C1157" t="s">
        <v>2200</v>
      </c>
      <c r="D1157" s="104">
        <v>317752395.88</v>
      </c>
      <c r="E1157">
        <v>0</v>
      </c>
      <c r="F1157">
        <v>0</v>
      </c>
      <c r="G1157" s="104">
        <v>317752395.88</v>
      </c>
    </row>
    <row r="1158" spans="2:7" x14ac:dyDescent="0.25">
      <c r="B1158" t="s">
        <v>1587</v>
      </c>
      <c r="D1158" s="104">
        <v>456620150.24000001</v>
      </c>
      <c r="E1158">
        <v>0</v>
      </c>
      <c r="F1158">
        <v>0</v>
      </c>
      <c r="G1158" s="104">
        <v>456620150.24000001</v>
      </c>
    </row>
    <row r="1160" spans="2:7" x14ac:dyDescent="0.25">
      <c r="B1160">
        <v>20102040</v>
      </c>
      <c r="C1160" t="s">
        <v>2201</v>
      </c>
    </row>
    <row r="1161" spans="2:7" x14ac:dyDescent="0.25">
      <c r="C1161" t="s">
        <v>2200</v>
      </c>
      <c r="D1161">
        <v>0</v>
      </c>
      <c r="E1161">
        <v>0</v>
      </c>
      <c r="F1161">
        <v>0</v>
      </c>
      <c r="G1161">
        <v>0</v>
      </c>
    </row>
    <row r="1162" spans="2:7" x14ac:dyDescent="0.25">
      <c r="C1162" t="s">
        <v>2202</v>
      </c>
      <c r="D1162" s="104">
        <v>140000000</v>
      </c>
      <c r="E1162">
        <v>0</v>
      </c>
      <c r="F1162">
        <v>0</v>
      </c>
      <c r="G1162" s="104">
        <v>140000000</v>
      </c>
    </row>
    <row r="1163" spans="2:7" x14ac:dyDescent="0.25">
      <c r="B1163" t="s">
        <v>1587</v>
      </c>
      <c r="D1163" s="104">
        <v>140000000</v>
      </c>
      <c r="E1163">
        <v>0</v>
      </c>
      <c r="F1163">
        <v>0</v>
      </c>
      <c r="G1163" s="104">
        <v>140000000</v>
      </c>
    </row>
    <row r="1165" spans="2:7" x14ac:dyDescent="0.25">
      <c r="B1165">
        <v>20201010</v>
      </c>
      <c r="C1165" t="s">
        <v>2203</v>
      </c>
    </row>
    <row r="1166" spans="2:7" x14ac:dyDescent="0.25">
      <c r="B1166">
        <v>20201010</v>
      </c>
      <c r="C1166" t="s">
        <v>2203</v>
      </c>
      <c r="D1166" s="104">
        <v>473791.33</v>
      </c>
      <c r="E1166" s="104">
        <v>919045.52</v>
      </c>
      <c r="F1166" s="104">
        <v>1006840.94</v>
      </c>
      <c r="G1166" s="104">
        <v>561586.75</v>
      </c>
    </row>
    <row r="1167" spans="2:7" x14ac:dyDescent="0.25">
      <c r="B1167">
        <v>202010101</v>
      </c>
      <c r="C1167" t="s">
        <v>296</v>
      </c>
    </row>
    <row r="1168" spans="2:7" x14ac:dyDescent="0.25">
      <c r="C1168" t="s">
        <v>1955</v>
      </c>
      <c r="D1168" s="104">
        <v>394326.47</v>
      </c>
      <c r="E1168" s="104">
        <v>408055.48</v>
      </c>
      <c r="F1168" s="104">
        <v>670047.91</v>
      </c>
      <c r="G1168" s="104">
        <v>656318.9</v>
      </c>
    </row>
    <row r="1169" spans="2:7" x14ac:dyDescent="0.25">
      <c r="B1169" t="s">
        <v>1587</v>
      </c>
      <c r="D1169" s="104">
        <v>394326.47</v>
      </c>
      <c r="E1169" s="104">
        <v>408055.48</v>
      </c>
      <c r="F1169" s="104">
        <v>670047.91</v>
      </c>
      <c r="G1169" s="104">
        <v>656318.9</v>
      </c>
    </row>
    <row r="1171" spans="2:7" x14ac:dyDescent="0.25">
      <c r="B1171">
        <v>202010102</v>
      </c>
      <c r="C1171" t="s">
        <v>302</v>
      </c>
    </row>
    <row r="1172" spans="2:7" x14ac:dyDescent="0.25">
      <c r="C1172" t="s">
        <v>1955</v>
      </c>
      <c r="D1172" s="104">
        <v>185425.65</v>
      </c>
      <c r="E1172" s="104">
        <v>230868.91</v>
      </c>
      <c r="F1172" s="104">
        <v>129916.77</v>
      </c>
      <c r="G1172" s="104">
        <v>84473.51</v>
      </c>
    </row>
    <row r="1173" spans="2:7" x14ac:dyDescent="0.25">
      <c r="B1173" t="s">
        <v>1587</v>
      </c>
      <c r="D1173" s="104">
        <v>185425.65</v>
      </c>
      <c r="E1173" s="104">
        <v>230868.91</v>
      </c>
      <c r="F1173" s="104">
        <v>129916.77</v>
      </c>
      <c r="G1173" s="104">
        <v>84473.51</v>
      </c>
    </row>
    <row r="1175" spans="2:7" x14ac:dyDescent="0.25">
      <c r="B1175">
        <v>202010103</v>
      </c>
      <c r="C1175" t="s">
        <v>308</v>
      </c>
    </row>
    <row r="1176" spans="2:7" x14ac:dyDescent="0.25">
      <c r="C1176" t="s">
        <v>1955</v>
      </c>
      <c r="D1176" s="104">
        <v>-357572.06</v>
      </c>
      <c r="E1176" s="104">
        <v>33268.080000000002</v>
      </c>
      <c r="F1176" s="104">
        <v>34758.400000000001</v>
      </c>
      <c r="G1176" s="104">
        <v>-356081.74</v>
      </c>
    </row>
    <row r="1177" spans="2:7" x14ac:dyDescent="0.25">
      <c r="B1177" t="s">
        <v>1587</v>
      </c>
      <c r="D1177" s="104">
        <v>-357572.06</v>
      </c>
      <c r="E1177" s="104">
        <v>33268.080000000002</v>
      </c>
      <c r="F1177" s="104">
        <v>34758.400000000001</v>
      </c>
      <c r="G1177" s="104">
        <v>-356081.74</v>
      </c>
    </row>
    <row r="1179" spans="2:7" x14ac:dyDescent="0.25">
      <c r="B1179">
        <v>202010104</v>
      </c>
      <c r="C1179" t="s">
        <v>301</v>
      </c>
    </row>
    <row r="1180" spans="2:7" x14ac:dyDescent="0.25">
      <c r="C1180" t="s">
        <v>1955</v>
      </c>
      <c r="D1180" s="104">
        <v>-657258.53</v>
      </c>
      <c r="E1180" s="104">
        <v>246853.05</v>
      </c>
      <c r="F1180" s="104">
        <v>172117.86</v>
      </c>
      <c r="G1180" s="104">
        <v>-731993.72</v>
      </c>
    </row>
    <row r="1181" spans="2:7" x14ac:dyDescent="0.25">
      <c r="B1181" t="s">
        <v>1587</v>
      </c>
      <c r="D1181" s="104">
        <v>-657258.53</v>
      </c>
      <c r="E1181" s="104">
        <v>246853.05</v>
      </c>
      <c r="F1181" s="104">
        <v>172117.86</v>
      </c>
      <c r="G1181" s="104">
        <v>-731993.72</v>
      </c>
    </row>
    <row r="1183" spans="2:7" x14ac:dyDescent="0.25">
      <c r="B1183">
        <v>20201020</v>
      </c>
      <c r="C1183" t="s">
        <v>313</v>
      </c>
    </row>
    <row r="1184" spans="2:7" x14ac:dyDescent="0.25">
      <c r="C1184" t="s">
        <v>2204</v>
      </c>
      <c r="D1184" s="104">
        <v>661532.79</v>
      </c>
      <c r="E1184" s="104">
        <v>1265169.08</v>
      </c>
      <c r="F1184" s="104">
        <v>653413.16</v>
      </c>
      <c r="G1184" s="104">
        <v>49776.87</v>
      </c>
    </row>
    <row r="1185" spans="2:7" x14ac:dyDescent="0.25">
      <c r="C1185" t="s">
        <v>2205</v>
      </c>
      <c r="D1185" s="104">
        <v>160034.94</v>
      </c>
      <c r="E1185" s="104">
        <v>322036.56</v>
      </c>
      <c r="F1185" s="104">
        <v>161901.62</v>
      </c>
      <c r="G1185">
        <v>-100</v>
      </c>
    </row>
    <row r="1186" spans="2:7" x14ac:dyDescent="0.25">
      <c r="C1186" t="s">
        <v>2206</v>
      </c>
      <c r="D1186">
        <v>0</v>
      </c>
      <c r="E1186">
        <v>0</v>
      </c>
      <c r="F1186">
        <v>0</v>
      </c>
      <c r="G1186">
        <v>0</v>
      </c>
    </row>
    <row r="1187" spans="2:7" x14ac:dyDescent="0.25">
      <c r="C1187" t="s">
        <v>2166</v>
      </c>
      <c r="D1187">
        <v>0</v>
      </c>
      <c r="E1187">
        <v>0</v>
      </c>
      <c r="F1187">
        <v>0</v>
      </c>
      <c r="G1187">
        <v>0</v>
      </c>
    </row>
    <row r="1188" spans="2:7" x14ac:dyDescent="0.25">
      <c r="B1188" t="s">
        <v>1587</v>
      </c>
      <c r="D1188" s="104">
        <v>821567.73</v>
      </c>
      <c r="E1188" s="104">
        <v>1587205.64</v>
      </c>
      <c r="F1188" s="104">
        <v>815314.78</v>
      </c>
      <c r="G1188" s="104">
        <v>49676.87</v>
      </c>
    </row>
    <row r="1190" spans="2:7" x14ac:dyDescent="0.25">
      <c r="B1190">
        <v>20201030</v>
      </c>
      <c r="C1190" t="s">
        <v>323</v>
      </c>
    </row>
    <row r="1191" spans="2:7" x14ac:dyDescent="0.25">
      <c r="C1191" t="s">
        <v>2208</v>
      </c>
      <c r="D1191" s="104">
        <v>23900</v>
      </c>
      <c r="E1191" s="104">
        <v>24400</v>
      </c>
      <c r="F1191" s="104">
        <v>24800</v>
      </c>
      <c r="G1191" s="104">
        <v>24300</v>
      </c>
    </row>
    <row r="1192" spans="2:7" x14ac:dyDescent="0.25">
      <c r="C1192" t="s">
        <v>2209</v>
      </c>
      <c r="D1192" s="104">
        <v>4822.05</v>
      </c>
      <c r="E1192" s="104">
        <v>4822.04</v>
      </c>
      <c r="F1192" s="104">
        <v>4822.04</v>
      </c>
      <c r="G1192" s="104">
        <v>4822.05</v>
      </c>
    </row>
    <row r="1193" spans="2:7" x14ac:dyDescent="0.25">
      <c r="C1193" t="s">
        <v>2210</v>
      </c>
      <c r="D1193" s="104">
        <v>16527.55</v>
      </c>
      <c r="E1193" s="104">
        <v>16527.55</v>
      </c>
      <c r="F1193" s="104">
        <v>23877.55</v>
      </c>
      <c r="G1193" s="104">
        <v>23877.55</v>
      </c>
    </row>
    <row r="1194" spans="2:7" x14ac:dyDescent="0.25">
      <c r="C1194" t="s">
        <v>2211</v>
      </c>
      <c r="D1194" s="104">
        <v>1155.53</v>
      </c>
      <c r="E1194" s="104">
        <v>1155.53</v>
      </c>
      <c r="F1194" s="104">
        <v>1155.53</v>
      </c>
      <c r="G1194" s="104">
        <v>1155.53</v>
      </c>
    </row>
    <row r="1195" spans="2:7" x14ac:dyDescent="0.25">
      <c r="B1195" t="s">
        <v>1587</v>
      </c>
      <c r="D1195" s="104">
        <v>46405.13</v>
      </c>
      <c r="E1195" s="104">
        <v>46905.120000000003</v>
      </c>
      <c r="F1195" s="104">
        <v>54655.12</v>
      </c>
      <c r="G1195" s="104">
        <v>54155.13</v>
      </c>
    </row>
    <row r="1197" spans="2:7" x14ac:dyDescent="0.25">
      <c r="B1197">
        <v>20201040</v>
      </c>
      <c r="C1197" t="s">
        <v>317</v>
      </c>
    </row>
    <row r="1198" spans="2:7" x14ac:dyDescent="0.25">
      <c r="C1198" t="s">
        <v>2207</v>
      </c>
      <c r="D1198" s="104">
        <v>127669.62</v>
      </c>
      <c r="E1198" s="104">
        <v>126656.6</v>
      </c>
      <c r="F1198" s="104">
        <v>130059.97</v>
      </c>
      <c r="G1198" s="104">
        <v>131072.99</v>
      </c>
    </row>
    <row r="1199" spans="2:7" x14ac:dyDescent="0.25">
      <c r="B1199" t="s">
        <v>1587</v>
      </c>
      <c r="D1199" s="104">
        <v>127669.62</v>
      </c>
      <c r="E1199" s="104">
        <v>126656.6</v>
      </c>
      <c r="F1199" s="104">
        <v>130059.97</v>
      </c>
      <c r="G1199" s="104">
        <v>131072.99</v>
      </c>
    </row>
    <row r="1201" spans="2:7" x14ac:dyDescent="0.25">
      <c r="B1201">
        <v>20201120</v>
      </c>
      <c r="C1201" t="s">
        <v>298</v>
      </c>
    </row>
    <row r="1202" spans="2:7" x14ac:dyDescent="0.25">
      <c r="C1202" t="s">
        <v>1954</v>
      </c>
      <c r="D1202">
        <v>0</v>
      </c>
      <c r="E1202">
        <v>0</v>
      </c>
      <c r="F1202">
        <v>0</v>
      </c>
      <c r="G1202">
        <v>0</v>
      </c>
    </row>
    <row r="1203" spans="2:7" x14ac:dyDescent="0.25">
      <c r="C1203" t="s">
        <v>1955</v>
      </c>
      <c r="D1203">
        <v>0</v>
      </c>
      <c r="E1203">
        <v>0</v>
      </c>
      <c r="F1203">
        <v>0</v>
      </c>
      <c r="G1203">
        <v>0</v>
      </c>
    </row>
    <row r="1204" spans="2:7" x14ac:dyDescent="0.25">
      <c r="B1204" t="s">
        <v>1587</v>
      </c>
      <c r="D1204">
        <v>0</v>
      </c>
      <c r="E1204">
        <v>0</v>
      </c>
      <c r="F1204">
        <v>0</v>
      </c>
      <c r="G1204">
        <v>0</v>
      </c>
    </row>
    <row r="1206" spans="2:7" x14ac:dyDescent="0.25">
      <c r="B1206">
        <v>20201130</v>
      </c>
      <c r="C1206" t="s">
        <v>339</v>
      </c>
    </row>
    <row r="1207" spans="2:7" x14ac:dyDescent="0.25">
      <c r="B1207">
        <v>20401010</v>
      </c>
      <c r="C1207" t="s">
        <v>934</v>
      </c>
      <c r="D1207" s="104">
        <v>36092135.810000002</v>
      </c>
      <c r="E1207" s="104">
        <v>1412.84</v>
      </c>
      <c r="F1207" s="104">
        <v>95008479</v>
      </c>
      <c r="G1207" s="104">
        <v>131099201.97</v>
      </c>
    </row>
    <row r="1208" spans="2:7" x14ac:dyDescent="0.25">
      <c r="B1208" t="s">
        <v>2212</v>
      </c>
      <c r="C1208" t="s">
        <v>327</v>
      </c>
    </row>
    <row r="1209" spans="2:7" x14ac:dyDescent="0.25">
      <c r="C1209" t="s">
        <v>2005</v>
      </c>
      <c r="D1209">
        <v>0</v>
      </c>
      <c r="E1209">
        <v>0</v>
      </c>
      <c r="F1209">
        <v>0</v>
      </c>
      <c r="G1209">
        <v>0</v>
      </c>
    </row>
    <row r="1210" spans="2:7" x14ac:dyDescent="0.25">
      <c r="C1210" t="s">
        <v>2213</v>
      </c>
      <c r="D1210" s="104">
        <v>1775360.46</v>
      </c>
      <c r="E1210">
        <v>0</v>
      </c>
      <c r="F1210">
        <v>0</v>
      </c>
      <c r="G1210" s="104">
        <v>1775360.46</v>
      </c>
    </row>
    <row r="1211" spans="2:7" x14ac:dyDescent="0.25">
      <c r="C1211" t="s">
        <v>2214</v>
      </c>
      <c r="D1211" s="104">
        <v>7749679.5</v>
      </c>
      <c r="E1211">
        <v>0</v>
      </c>
      <c r="F1211">
        <v>0</v>
      </c>
      <c r="G1211" s="104">
        <v>7749679.5</v>
      </c>
    </row>
    <row r="1212" spans="2:7" x14ac:dyDescent="0.25">
      <c r="C1212" t="s">
        <v>1814</v>
      </c>
      <c r="D1212">
        <v>0</v>
      </c>
      <c r="E1212">
        <v>0</v>
      </c>
      <c r="F1212">
        <v>0</v>
      </c>
      <c r="G1212">
        <v>0</v>
      </c>
    </row>
    <row r="1213" spans="2:7" x14ac:dyDescent="0.25">
      <c r="C1213" t="s">
        <v>2401</v>
      </c>
      <c r="D1213">
        <v>990</v>
      </c>
      <c r="E1213">
        <v>0</v>
      </c>
      <c r="F1213">
        <v>0</v>
      </c>
      <c r="G1213">
        <v>990</v>
      </c>
    </row>
    <row r="1214" spans="2:7" x14ac:dyDescent="0.25">
      <c r="C1214" t="s">
        <v>2215</v>
      </c>
      <c r="D1214" s="104">
        <v>1275000</v>
      </c>
      <c r="E1214">
        <v>0</v>
      </c>
      <c r="F1214">
        <v>145</v>
      </c>
      <c r="G1214" s="104">
        <v>1275145</v>
      </c>
    </row>
    <row r="1215" spans="2:7" x14ac:dyDescent="0.25">
      <c r="C1215" t="s">
        <v>2216</v>
      </c>
      <c r="D1215" s="104">
        <v>146950</v>
      </c>
      <c r="E1215">
        <v>0</v>
      </c>
      <c r="F1215">
        <v>0</v>
      </c>
      <c r="G1215" s="104">
        <v>146950</v>
      </c>
    </row>
    <row r="1216" spans="2:7" x14ac:dyDescent="0.25">
      <c r="C1216" t="s">
        <v>2217</v>
      </c>
      <c r="D1216" s="104">
        <v>253894.84</v>
      </c>
      <c r="E1216">
        <v>0</v>
      </c>
      <c r="F1216">
        <v>0</v>
      </c>
      <c r="G1216" s="104">
        <v>253894.84</v>
      </c>
    </row>
    <row r="1217" spans="2:7" x14ac:dyDescent="0.25">
      <c r="C1217" t="s">
        <v>2218</v>
      </c>
      <c r="D1217" s="104">
        <v>3999.12</v>
      </c>
      <c r="E1217">
        <v>0</v>
      </c>
      <c r="F1217">
        <v>0</v>
      </c>
      <c r="G1217" s="104">
        <v>3999.12</v>
      </c>
    </row>
    <row r="1218" spans="2:7" x14ac:dyDescent="0.25">
      <c r="C1218" t="s">
        <v>2292</v>
      </c>
      <c r="D1218" s="104">
        <v>2550</v>
      </c>
      <c r="E1218">
        <v>0</v>
      </c>
      <c r="F1218">
        <v>400</v>
      </c>
      <c r="G1218" s="104">
        <v>2950</v>
      </c>
    </row>
    <row r="1219" spans="2:7" x14ac:dyDescent="0.25">
      <c r="C1219" t="s">
        <v>2219</v>
      </c>
      <c r="D1219" s="104">
        <v>5897.5</v>
      </c>
      <c r="E1219">
        <v>0</v>
      </c>
      <c r="F1219" s="104">
        <v>2934</v>
      </c>
      <c r="G1219" s="104">
        <v>8831.5</v>
      </c>
    </row>
    <row r="1220" spans="2:7" x14ac:dyDescent="0.25">
      <c r="C1220" t="s">
        <v>2220</v>
      </c>
      <c r="D1220" s="104">
        <v>1574.72</v>
      </c>
      <c r="E1220">
        <v>0</v>
      </c>
      <c r="F1220">
        <v>0</v>
      </c>
      <c r="G1220" s="104">
        <v>1574.72</v>
      </c>
    </row>
    <row r="1221" spans="2:7" x14ac:dyDescent="0.25">
      <c r="C1221" t="s">
        <v>2221</v>
      </c>
      <c r="D1221" s="104">
        <v>84044.69</v>
      </c>
      <c r="E1221" s="104">
        <v>1412.84</v>
      </c>
      <c r="F1221" s="104">
        <v>5000</v>
      </c>
      <c r="G1221" s="104">
        <v>87631.85</v>
      </c>
    </row>
    <row r="1222" spans="2:7" x14ac:dyDescent="0.25">
      <c r="C1222" t="s">
        <v>2232</v>
      </c>
      <c r="D1222" s="104">
        <v>16795</v>
      </c>
      <c r="E1222">
        <v>0</v>
      </c>
      <c r="F1222">
        <v>0</v>
      </c>
      <c r="G1222" s="104">
        <v>16795</v>
      </c>
    </row>
    <row r="1223" spans="2:7" x14ac:dyDescent="0.25">
      <c r="C1223" t="s">
        <v>2222</v>
      </c>
      <c r="D1223" s="104">
        <v>2792.9</v>
      </c>
      <c r="E1223">
        <v>0</v>
      </c>
      <c r="F1223">
        <v>0</v>
      </c>
      <c r="G1223" s="104">
        <v>2792.9</v>
      </c>
    </row>
    <row r="1224" spans="2:7" x14ac:dyDescent="0.25">
      <c r="C1224" t="s">
        <v>2223</v>
      </c>
      <c r="D1224" s="104">
        <v>1000</v>
      </c>
      <c r="E1224">
        <v>0</v>
      </c>
      <c r="F1224">
        <v>0</v>
      </c>
      <c r="G1224" s="104">
        <v>1000</v>
      </c>
    </row>
    <row r="1225" spans="2:7" x14ac:dyDescent="0.25">
      <c r="C1225" t="s">
        <v>2224</v>
      </c>
      <c r="D1225" s="104">
        <v>21873.02</v>
      </c>
      <c r="E1225">
        <v>0</v>
      </c>
      <c r="F1225">
        <v>0</v>
      </c>
      <c r="G1225" s="104">
        <v>21873.02</v>
      </c>
    </row>
    <row r="1226" spans="2:7" x14ac:dyDescent="0.25">
      <c r="C1226" t="s">
        <v>2761</v>
      </c>
      <c r="D1226">
        <v>0</v>
      </c>
      <c r="E1226">
        <v>0</v>
      </c>
      <c r="F1226" s="104">
        <v>95000000</v>
      </c>
      <c r="G1226" s="104">
        <v>95000000</v>
      </c>
    </row>
    <row r="1227" spans="2:7" x14ac:dyDescent="0.25">
      <c r="B1227" t="s">
        <v>1587</v>
      </c>
      <c r="D1227" s="104">
        <v>11342401.75</v>
      </c>
      <c r="E1227" s="104">
        <v>1412.84</v>
      </c>
      <c r="F1227" s="104">
        <v>95008479</v>
      </c>
      <c r="G1227" s="104">
        <v>106349467.91</v>
      </c>
    </row>
    <row r="1229" spans="2:7" x14ac:dyDescent="0.25">
      <c r="B1229" t="s">
        <v>2225</v>
      </c>
      <c r="C1229" t="s">
        <v>337</v>
      </c>
    </row>
    <row r="1230" spans="2:7" x14ac:dyDescent="0.25">
      <c r="C1230" t="s">
        <v>2226</v>
      </c>
      <c r="D1230" s="104">
        <v>99239.58</v>
      </c>
      <c r="E1230">
        <v>0</v>
      </c>
      <c r="F1230">
        <v>0</v>
      </c>
      <c r="G1230" s="104">
        <v>99239.58</v>
      </c>
    </row>
    <row r="1231" spans="2:7" x14ac:dyDescent="0.25">
      <c r="B1231" t="s">
        <v>1587</v>
      </c>
      <c r="D1231" s="104">
        <v>99239.58</v>
      </c>
      <c r="E1231">
        <v>0</v>
      </c>
      <c r="F1231">
        <v>0</v>
      </c>
      <c r="G1231" s="104">
        <v>99239.58</v>
      </c>
    </row>
    <row r="1233" spans="2:7" x14ac:dyDescent="0.25">
      <c r="B1233">
        <v>20401040</v>
      </c>
      <c r="C1233" t="s">
        <v>2227</v>
      </c>
      <c r="D1233" s="104">
        <v>33405719.949999999</v>
      </c>
      <c r="E1233">
        <v>0</v>
      </c>
      <c r="F1233" s="104">
        <v>1554274.57</v>
      </c>
      <c r="G1233" s="104">
        <v>34959994.520000003</v>
      </c>
    </row>
    <row r="1234" spans="2:7" x14ac:dyDescent="0.25">
      <c r="B1234" t="s">
        <v>2228</v>
      </c>
      <c r="C1234" t="s">
        <v>284</v>
      </c>
    </row>
    <row r="1235" spans="2:7" x14ac:dyDescent="0.25">
      <c r="C1235" t="s">
        <v>2230</v>
      </c>
      <c r="D1235" s="104">
        <v>19500</v>
      </c>
      <c r="E1235">
        <v>0</v>
      </c>
      <c r="F1235">
        <v>0</v>
      </c>
      <c r="G1235" s="104">
        <v>19500</v>
      </c>
    </row>
    <row r="1236" spans="2:7" x14ac:dyDescent="0.25">
      <c r="C1236" t="s">
        <v>2231</v>
      </c>
      <c r="D1236" s="104">
        <v>15000</v>
      </c>
      <c r="E1236">
        <v>0</v>
      </c>
      <c r="F1236">
        <v>0</v>
      </c>
      <c r="G1236" s="104">
        <v>15000</v>
      </c>
    </row>
    <row r="1237" spans="2:7" x14ac:dyDescent="0.25">
      <c r="C1237" t="s">
        <v>2219</v>
      </c>
      <c r="D1237" s="104">
        <v>51486</v>
      </c>
      <c r="E1237">
        <v>0</v>
      </c>
      <c r="F1237">
        <v>0</v>
      </c>
      <c r="G1237" s="104">
        <v>51486</v>
      </c>
    </row>
    <row r="1238" spans="2:7" x14ac:dyDescent="0.25">
      <c r="C1238" t="s">
        <v>2233</v>
      </c>
      <c r="D1238" s="104">
        <v>66781.75</v>
      </c>
      <c r="E1238">
        <v>0</v>
      </c>
      <c r="F1238">
        <v>0</v>
      </c>
      <c r="G1238" s="104">
        <v>66781.75</v>
      </c>
    </row>
    <row r="1239" spans="2:7" x14ac:dyDescent="0.25">
      <c r="C1239" t="s">
        <v>2234</v>
      </c>
      <c r="D1239" s="104">
        <v>46250.400000000001</v>
      </c>
      <c r="E1239">
        <v>0</v>
      </c>
      <c r="F1239">
        <v>0</v>
      </c>
      <c r="G1239" s="104">
        <v>46250.400000000001</v>
      </c>
    </row>
    <row r="1240" spans="2:7" x14ac:dyDescent="0.25">
      <c r="C1240" t="s">
        <v>2235</v>
      </c>
      <c r="D1240" s="104">
        <v>124999.84</v>
      </c>
      <c r="E1240">
        <v>0</v>
      </c>
      <c r="F1240">
        <v>0</v>
      </c>
      <c r="G1240" s="104">
        <v>124999.84</v>
      </c>
    </row>
    <row r="1241" spans="2:7" x14ac:dyDescent="0.25">
      <c r="C1241" t="s">
        <v>2236</v>
      </c>
      <c r="D1241" s="104">
        <v>54578.77</v>
      </c>
      <c r="E1241">
        <v>0</v>
      </c>
      <c r="F1241">
        <v>0</v>
      </c>
      <c r="G1241" s="104">
        <v>54578.77</v>
      </c>
    </row>
    <row r="1242" spans="2:7" x14ac:dyDescent="0.25">
      <c r="C1242" t="s">
        <v>2762</v>
      </c>
      <c r="D1242" s="104">
        <v>14975</v>
      </c>
      <c r="E1242">
        <v>0</v>
      </c>
      <c r="F1242">
        <v>0</v>
      </c>
      <c r="G1242" s="104">
        <v>14975</v>
      </c>
    </row>
    <row r="1243" spans="2:7" x14ac:dyDescent="0.25">
      <c r="C1243" t="s">
        <v>2239</v>
      </c>
      <c r="D1243" s="104">
        <v>15500</v>
      </c>
      <c r="E1243">
        <v>0</v>
      </c>
      <c r="F1243">
        <v>0</v>
      </c>
      <c r="G1243" s="104">
        <v>15500</v>
      </c>
    </row>
    <row r="1244" spans="2:7" x14ac:dyDescent="0.25">
      <c r="C1244" t="s">
        <v>2763</v>
      </c>
      <c r="D1244" s="104">
        <v>99686.3</v>
      </c>
      <c r="E1244">
        <v>0</v>
      </c>
      <c r="F1244">
        <v>0</v>
      </c>
      <c r="G1244" s="104">
        <v>99686.3</v>
      </c>
    </row>
    <row r="1245" spans="2:7" x14ac:dyDescent="0.25">
      <c r="C1245" t="s">
        <v>2764</v>
      </c>
      <c r="D1245" s="104">
        <v>49000</v>
      </c>
      <c r="E1245">
        <v>0</v>
      </c>
      <c r="F1245">
        <v>0</v>
      </c>
      <c r="G1245" s="104">
        <v>49000</v>
      </c>
    </row>
    <row r="1246" spans="2:7" x14ac:dyDescent="0.25">
      <c r="C1246" t="s">
        <v>2765</v>
      </c>
      <c r="D1246" s="104">
        <v>9175</v>
      </c>
      <c r="E1246">
        <v>0</v>
      </c>
      <c r="F1246">
        <v>0</v>
      </c>
      <c r="G1246" s="104">
        <v>9175</v>
      </c>
    </row>
    <row r="1247" spans="2:7" x14ac:dyDescent="0.25">
      <c r="C1247" t="s">
        <v>2766</v>
      </c>
      <c r="D1247">
        <v>0</v>
      </c>
      <c r="E1247">
        <v>0</v>
      </c>
      <c r="F1247" s="104">
        <v>43400</v>
      </c>
      <c r="G1247" s="104">
        <v>43400</v>
      </c>
    </row>
    <row r="1248" spans="2:7" x14ac:dyDescent="0.25">
      <c r="B1248" t="s">
        <v>1587</v>
      </c>
      <c r="D1248" s="104">
        <v>566933.06000000006</v>
      </c>
      <c r="E1248">
        <v>0</v>
      </c>
      <c r="F1248" s="104">
        <v>43400</v>
      </c>
      <c r="G1248" s="104">
        <v>610333.06000000006</v>
      </c>
    </row>
    <row r="1250" spans="2:7" x14ac:dyDescent="0.25">
      <c r="B1250" t="s">
        <v>2242</v>
      </c>
      <c r="C1250" t="s">
        <v>331</v>
      </c>
    </row>
    <row r="1251" spans="2:7" x14ac:dyDescent="0.25">
      <c r="C1251" t="s">
        <v>1897</v>
      </c>
      <c r="D1251" s="104">
        <v>209317.47</v>
      </c>
      <c r="E1251">
        <v>0</v>
      </c>
      <c r="F1251">
        <v>0</v>
      </c>
      <c r="G1251" s="104">
        <v>209317.47</v>
      </c>
    </row>
    <row r="1252" spans="2:7" x14ac:dyDescent="0.25">
      <c r="C1252" t="s">
        <v>1820</v>
      </c>
      <c r="D1252" s="104">
        <v>2259416.67</v>
      </c>
      <c r="E1252">
        <v>0</v>
      </c>
      <c r="F1252">
        <v>0</v>
      </c>
      <c r="G1252" s="104">
        <v>2259416.67</v>
      </c>
    </row>
    <row r="1253" spans="2:7" x14ac:dyDescent="0.25">
      <c r="C1253" t="s">
        <v>1821</v>
      </c>
      <c r="D1253" s="104">
        <v>1168779.97</v>
      </c>
      <c r="E1253">
        <v>0</v>
      </c>
      <c r="F1253">
        <v>0</v>
      </c>
      <c r="G1253" s="104">
        <v>1168779.97</v>
      </c>
    </row>
    <row r="1254" spans="2:7" x14ac:dyDescent="0.25">
      <c r="C1254" t="s">
        <v>1822</v>
      </c>
      <c r="D1254" s="104">
        <v>185824.52</v>
      </c>
      <c r="E1254">
        <v>0</v>
      </c>
      <c r="F1254">
        <v>0</v>
      </c>
      <c r="G1254" s="104">
        <v>185824.52</v>
      </c>
    </row>
    <row r="1255" spans="2:7" x14ac:dyDescent="0.25">
      <c r="C1255" t="s">
        <v>1823</v>
      </c>
      <c r="D1255" s="104">
        <v>728125.09</v>
      </c>
      <c r="E1255">
        <v>0</v>
      </c>
      <c r="F1255" s="104">
        <v>1510874.57</v>
      </c>
      <c r="G1255" s="104">
        <v>2238999.66</v>
      </c>
    </row>
    <row r="1256" spans="2:7" x14ac:dyDescent="0.25">
      <c r="C1256" t="s">
        <v>2197</v>
      </c>
      <c r="D1256" s="104">
        <v>377438.12</v>
      </c>
      <c r="E1256">
        <v>0</v>
      </c>
      <c r="F1256">
        <v>0</v>
      </c>
      <c r="G1256" s="104">
        <v>377438.12</v>
      </c>
    </row>
    <row r="1257" spans="2:7" x14ac:dyDescent="0.25">
      <c r="C1257" t="s">
        <v>2243</v>
      </c>
      <c r="D1257" s="104">
        <v>1351827.07</v>
      </c>
      <c r="E1257">
        <v>0</v>
      </c>
      <c r="F1257">
        <v>0</v>
      </c>
      <c r="G1257" s="104">
        <v>1351827.07</v>
      </c>
    </row>
    <row r="1258" spans="2:7" x14ac:dyDescent="0.25">
      <c r="C1258" t="s">
        <v>2244</v>
      </c>
      <c r="D1258" s="104">
        <v>1333213.3</v>
      </c>
      <c r="E1258">
        <v>0</v>
      </c>
      <c r="F1258">
        <v>0</v>
      </c>
      <c r="G1258" s="104">
        <v>1333213.3</v>
      </c>
    </row>
    <row r="1259" spans="2:7" x14ac:dyDescent="0.25">
      <c r="C1259" t="s">
        <v>1825</v>
      </c>
      <c r="D1259" s="104">
        <v>18750</v>
      </c>
      <c r="E1259">
        <v>0</v>
      </c>
      <c r="F1259">
        <v>0</v>
      </c>
      <c r="G1259" s="104">
        <v>18750</v>
      </c>
    </row>
    <row r="1260" spans="2:7" x14ac:dyDescent="0.25">
      <c r="C1260" t="s">
        <v>1826</v>
      </c>
      <c r="D1260" s="104">
        <v>726404.85</v>
      </c>
      <c r="E1260">
        <v>0</v>
      </c>
      <c r="F1260">
        <v>0</v>
      </c>
      <c r="G1260" s="104">
        <v>726404.85</v>
      </c>
    </row>
    <row r="1261" spans="2:7" x14ac:dyDescent="0.25">
      <c r="C1261" t="s">
        <v>1855</v>
      </c>
      <c r="D1261" s="104">
        <v>4444444.01</v>
      </c>
      <c r="E1261">
        <v>0</v>
      </c>
      <c r="F1261">
        <v>0</v>
      </c>
      <c r="G1261" s="104">
        <v>4444444.01</v>
      </c>
    </row>
    <row r="1262" spans="2:7" x14ac:dyDescent="0.25">
      <c r="C1262" t="s">
        <v>1828</v>
      </c>
      <c r="D1262" s="104">
        <v>443410.9</v>
      </c>
      <c r="E1262">
        <v>0</v>
      </c>
      <c r="F1262">
        <v>0</v>
      </c>
      <c r="G1262" s="104">
        <v>443410.9</v>
      </c>
    </row>
    <row r="1263" spans="2:7" x14ac:dyDescent="0.25">
      <c r="C1263" t="s">
        <v>1787</v>
      </c>
      <c r="D1263" s="104">
        <v>1199034.6599999999</v>
      </c>
      <c r="E1263">
        <v>0</v>
      </c>
      <c r="F1263">
        <v>0</v>
      </c>
      <c r="G1263" s="104">
        <v>1199034.6599999999</v>
      </c>
    </row>
    <row r="1264" spans="2:7" x14ac:dyDescent="0.25">
      <c r="C1264" t="s">
        <v>1768</v>
      </c>
      <c r="D1264" s="104">
        <v>110790</v>
      </c>
      <c r="E1264">
        <v>0</v>
      </c>
      <c r="F1264">
        <v>0</v>
      </c>
      <c r="G1264" s="104">
        <v>110790</v>
      </c>
    </row>
    <row r="1265" spans="3:7" x14ac:dyDescent="0.25">
      <c r="C1265" t="s">
        <v>1857</v>
      </c>
      <c r="D1265" s="104">
        <v>233907.88</v>
      </c>
      <c r="E1265">
        <v>0</v>
      </c>
      <c r="F1265">
        <v>0</v>
      </c>
      <c r="G1265" s="104">
        <v>233907.88</v>
      </c>
    </row>
    <row r="1266" spans="3:7" x14ac:dyDescent="0.25">
      <c r="C1266" t="s">
        <v>2226</v>
      </c>
      <c r="D1266" s="104">
        <v>6454587.8899999997</v>
      </c>
      <c r="E1266">
        <v>0</v>
      </c>
      <c r="F1266">
        <v>0</v>
      </c>
      <c r="G1266" s="104">
        <v>6454587.8899999997</v>
      </c>
    </row>
    <row r="1267" spans="3:7" x14ac:dyDescent="0.25">
      <c r="C1267" t="s">
        <v>1830</v>
      </c>
      <c r="D1267" s="104">
        <v>442181</v>
      </c>
      <c r="E1267">
        <v>0</v>
      </c>
      <c r="F1267">
        <v>0</v>
      </c>
      <c r="G1267" s="104">
        <v>442181</v>
      </c>
    </row>
    <row r="1268" spans="3:7" x14ac:dyDescent="0.25">
      <c r="C1268" t="s">
        <v>1835</v>
      </c>
      <c r="D1268" s="104">
        <v>82764</v>
      </c>
      <c r="E1268">
        <v>0</v>
      </c>
      <c r="F1268">
        <v>0</v>
      </c>
      <c r="G1268" s="104">
        <v>82764</v>
      </c>
    </row>
    <row r="1269" spans="3:7" x14ac:dyDescent="0.25">
      <c r="C1269" t="s">
        <v>1841</v>
      </c>
      <c r="D1269">
        <v>0</v>
      </c>
      <c r="E1269">
        <v>0</v>
      </c>
      <c r="F1269">
        <v>0</v>
      </c>
      <c r="G1269">
        <v>0</v>
      </c>
    </row>
    <row r="1270" spans="3:7" x14ac:dyDescent="0.25">
      <c r="C1270" t="s">
        <v>1859</v>
      </c>
      <c r="D1270" s="104">
        <v>50486.400000000001</v>
      </c>
      <c r="E1270">
        <v>0</v>
      </c>
      <c r="F1270">
        <v>0</v>
      </c>
      <c r="G1270" s="104">
        <v>50486.400000000001</v>
      </c>
    </row>
    <row r="1271" spans="3:7" x14ac:dyDescent="0.25">
      <c r="C1271" t="s">
        <v>1842</v>
      </c>
      <c r="D1271" s="104">
        <v>1200000</v>
      </c>
      <c r="E1271">
        <v>0</v>
      </c>
      <c r="F1271">
        <v>0</v>
      </c>
      <c r="G1271" s="104">
        <v>1200000</v>
      </c>
    </row>
    <row r="1272" spans="3:7" x14ac:dyDescent="0.25">
      <c r="C1272" t="s">
        <v>1844</v>
      </c>
      <c r="D1272" s="104">
        <v>219696</v>
      </c>
      <c r="E1272">
        <v>0</v>
      </c>
      <c r="F1272">
        <v>0</v>
      </c>
      <c r="G1272" s="104">
        <v>219696</v>
      </c>
    </row>
    <row r="1273" spans="3:7" x14ac:dyDescent="0.25">
      <c r="C1273" t="s">
        <v>1845</v>
      </c>
      <c r="D1273" s="104">
        <v>37620</v>
      </c>
      <c r="E1273">
        <v>0</v>
      </c>
      <c r="F1273">
        <v>0</v>
      </c>
      <c r="G1273" s="104">
        <v>37620</v>
      </c>
    </row>
    <row r="1274" spans="3:7" x14ac:dyDescent="0.25">
      <c r="C1274" t="s">
        <v>1860</v>
      </c>
      <c r="D1274" s="104">
        <v>359064</v>
      </c>
      <c r="E1274">
        <v>0</v>
      </c>
      <c r="F1274">
        <v>0</v>
      </c>
      <c r="G1274" s="104">
        <v>359064</v>
      </c>
    </row>
    <row r="1275" spans="3:7" x14ac:dyDescent="0.25">
      <c r="C1275" t="s">
        <v>2245</v>
      </c>
      <c r="D1275" s="104">
        <v>1840</v>
      </c>
      <c r="E1275">
        <v>0</v>
      </c>
      <c r="F1275">
        <v>0</v>
      </c>
      <c r="G1275" s="104">
        <v>1840</v>
      </c>
    </row>
    <row r="1276" spans="3:7" x14ac:dyDescent="0.25">
      <c r="C1276" t="s">
        <v>1846</v>
      </c>
      <c r="D1276" s="104">
        <v>96000</v>
      </c>
      <c r="E1276">
        <v>0</v>
      </c>
      <c r="F1276">
        <v>0</v>
      </c>
      <c r="G1276" s="104">
        <v>96000</v>
      </c>
    </row>
    <row r="1277" spans="3:7" x14ac:dyDescent="0.25">
      <c r="C1277" t="s">
        <v>1849</v>
      </c>
      <c r="D1277" s="104">
        <v>110037</v>
      </c>
      <c r="E1277">
        <v>0</v>
      </c>
      <c r="F1277">
        <v>0</v>
      </c>
      <c r="G1277" s="104">
        <v>110037</v>
      </c>
    </row>
    <row r="1278" spans="3:7" x14ac:dyDescent="0.25">
      <c r="C1278" t="s">
        <v>1850</v>
      </c>
      <c r="D1278" s="104">
        <v>415950</v>
      </c>
      <c r="E1278">
        <v>0</v>
      </c>
      <c r="F1278">
        <v>0</v>
      </c>
      <c r="G1278" s="104">
        <v>415950</v>
      </c>
    </row>
    <row r="1279" spans="3:7" x14ac:dyDescent="0.25">
      <c r="C1279" t="s">
        <v>1851</v>
      </c>
      <c r="D1279" s="104">
        <v>36300</v>
      </c>
      <c r="E1279">
        <v>0</v>
      </c>
      <c r="F1279">
        <v>0</v>
      </c>
      <c r="G1279" s="104">
        <v>36300</v>
      </c>
    </row>
    <row r="1280" spans="3:7" x14ac:dyDescent="0.25">
      <c r="C1280" t="s">
        <v>2246</v>
      </c>
      <c r="D1280" s="104">
        <v>1964.29</v>
      </c>
      <c r="E1280">
        <v>0</v>
      </c>
      <c r="F1280">
        <v>0</v>
      </c>
      <c r="G1280" s="104">
        <v>1964.29</v>
      </c>
    </row>
    <row r="1281" spans="3:7" x14ac:dyDescent="0.25">
      <c r="C1281" t="s">
        <v>1853</v>
      </c>
      <c r="D1281" s="104">
        <v>76919.34</v>
      </c>
      <c r="E1281">
        <v>0</v>
      </c>
      <c r="F1281">
        <v>0</v>
      </c>
      <c r="G1281" s="104">
        <v>76919.34</v>
      </c>
    </row>
    <row r="1282" spans="3:7" x14ac:dyDescent="0.25">
      <c r="C1282" t="s">
        <v>1865</v>
      </c>
      <c r="D1282" s="104">
        <v>10000</v>
      </c>
      <c r="E1282">
        <v>0</v>
      </c>
      <c r="F1282">
        <v>0</v>
      </c>
      <c r="G1282" s="104">
        <v>10000</v>
      </c>
    </row>
    <row r="1283" spans="3:7" x14ac:dyDescent="0.25">
      <c r="C1283" t="s">
        <v>1866</v>
      </c>
      <c r="D1283" s="104">
        <v>70000</v>
      </c>
      <c r="E1283">
        <v>0</v>
      </c>
      <c r="F1283">
        <v>0</v>
      </c>
      <c r="G1283" s="104">
        <v>70000</v>
      </c>
    </row>
    <row r="1284" spans="3:7" x14ac:dyDescent="0.25">
      <c r="C1284" t="s">
        <v>1869</v>
      </c>
      <c r="D1284" s="104">
        <v>6033120</v>
      </c>
      <c r="E1284">
        <v>0</v>
      </c>
      <c r="F1284">
        <v>0</v>
      </c>
      <c r="G1284" s="104">
        <v>6033120</v>
      </c>
    </row>
    <row r="1285" spans="3:7" x14ac:dyDescent="0.25">
      <c r="C1285" t="s">
        <v>1870</v>
      </c>
      <c r="D1285" s="104">
        <v>145464</v>
      </c>
      <c r="E1285">
        <v>0</v>
      </c>
      <c r="F1285">
        <v>0</v>
      </c>
      <c r="G1285" s="104">
        <v>145464</v>
      </c>
    </row>
    <row r="1286" spans="3:7" x14ac:dyDescent="0.25">
      <c r="C1286" t="s">
        <v>1871</v>
      </c>
      <c r="D1286" s="104">
        <v>31944.48</v>
      </c>
      <c r="E1286">
        <v>0</v>
      </c>
      <c r="F1286">
        <v>0</v>
      </c>
      <c r="G1286" s="104">
        <v>31944.48</v>
      </c>
    </row>
    <row r="1287" spans="3:7" x14ac:dyDescent="0.25">
      <c r="C1287" t="s">
        <v>1873</v>
      </c>
      <c r="D1287" s="104">
        <v>5586117.1200000001</v>
      </c>
      <c r="E1287">
        <v>0</v>
      </c>
      <c r="F1287">
        <v>0</v>
      </c>
      <c r="G1287" s="104">
        <v>5586117.1200000001</v>
      </c>
    </row>
    <row r="1288" spans="3:7" x14ac:dyDescent="0.25">
      <c r="C1288" t="s">
        <v>1874</v>
      </c>
      <c r="D1288" s="104">
        <v>734892</v>
      </c>
      <c r="E1288">
        <v>0</v>
      </c>
      <c r="F1288">
        <v>0</v>
      </c>
      <c r="G1288" s="104">
        <v>734892</v>
      </c>
    </row>
    <row r="1289" spans="3:7" x14ac:dyDescent="0.25">
      <c r="C1289" t="s">
        <v>1876</v>
      </c>
      <c r="D1289" s="104">
        <v>9228.7999999999993</v>
      </c>
      <c r="E1289">
        <v>0</v>
      </c>
      <c r="F1289">
        <v>0</v>
      </c>
      <c r="G1289" s="104">
        <v>9228.7999999999993</v>
      </c>
    </row>
    <row r="1290" spans="3:7" x14ac:dyDescent="0.25">
      <c r="C1290" t="s">
        <v>1877</v>
      </c>
      <c r="D1290" s="104">
        <v>52000</v>
      </c>
      <c r="E1290">
        <v>0</v>
      </c>
      <c r="F1290">
        <v>0</v>
      </c>
      <c r="G1290" s="104">
        <v>52000</v>
      </c>
    </row>
    <row r="1291" spans="3:7" x14ac:dyDescent="0.25">
      <c r="C1291" t="s">
        <v>1880</v>
      </c>
      <c r="D1291" s="104">
        <v>51662.84</v>
      </c>
      <c r="E1291">
        <v>0</v>
      </c>
      <c r="F1291">
        <v>0</v>
      </c>
      <c r="G1291" s="104">
        <v>51662.84</v>
      </c>
    </row>
    <row r="1292" spans="3:7" x14ac:dyDescent="0.25">
      <c r="C1292" t="s">
        <v>1882</v>
      </c>
      <c r="D1292" s="104">
        <v>11236</v>
      </c>
      <c r="E1292">
        <v>0</v>
      </c>
      <c r="F1292">
        <v>0</v>
      </c>
      <c r="G1292" s="104">
        <v>11236</v>
      </c>
    </row>
    <row r="1293" spans="3:7" x14ac:dyDescent="0.25">
      <c r="C1293" t="s">
        <v>1883</v>
      </c>
      <c r="D1293" s="104">
        <v>1133568</v>
      </c>
      <c r="E1293">
        <v>0</v>
      </c>
      <c r="F1293">
        <v>0</v>
      </c>
      <c r="G1293" s="104">
        <v>1133568</v>
      </c>
    </row>
    <row r="1294" spans="3:7" x14ac:dyDescent="0.25">
      <c r="C1294" t="s">
        <v>1884</v>
      </c>
      <c r="D1294" s="104">
        <v>232992</v>
      </c>
      <c r="E1294">
        <v>0</v>
      </c>
      <c r="F1294">
        <v>0</v>
      </c>
      <c r="G1294" s="104">
        <v>232992</v>
      </c>
    </row>
    <row r="1295" spans="3:7" x14ac:dyDescent="0.25">
      <c r="C1295" t="s">
        <v>1885</v>
      </c>
      <c r="D1295" s="104">
        <v>52368</v>
      </c>
      <c r="E1295">
        <v>0</v>
      </c>
      <c r="F1295">
        <v>0</v>
      </c>
      <c r="G1295" s="104">
        <v>52368</v>
      </c>
    </row>
    <row r="1296" spans="3:7" x14ac:dyDescent="0.25">
      <c r="C1296" t="s">
        <v>1886</v>
      </c>
      <c r="D1296" s="104">
        <v>213000</v>
      </c>
      <c r="E1296">
        <v>0</v>
      </c>
      <c r="F1296">
        <v>0</v>
      </c>
      <c r="G1296" s="104">
        <v>213000</v>
      </c>
    </row>
    <row r="1297" spans="2:7" x14ac:dyDescent="0.25">
      <c r="C1297" t="s">
        <v>1888</v>
      </c>
      <c r="D1297" s="104">
        <v>294780</v>
      </c>
      <c r="E1297">
        <v>0</v>
      </c>
      <c r="F1297">
        <v>0</v>
      </c>
      <c r="G1297" s="104">
        <v>294780</v>
      </c>
    </row>
    <row r="1298" spans="2:7" x14ac:dyDescent="0.25">
      <c r="C1298" t="s">
        <v>2248</v>
      </c>
      <c r="D1298" s="104">
        <v>4650038.4000000004</v>
      </c>
      <c r="E1298">
        <v>0</v>
      </c>
      <c r="F1298">
        <v>0</v>
      </c>
      <c r="G1298" s="104">
        <v>4650038.4000000004</v>
      </c>
    </row>
    <row r="1299" spans="2:7" x14ac:dyDescent="0.25">
      <c r="C1299" t="s">
        <v>2752</v>
      </c>
      <c r="D1299" s="104">
        <v>2392680</v>
      </c>
      <c r="E1299">
        <v>0</v>
      </c>
      <c r="F1299">
        <v>0</v>
      </c>
      <c r="G1299" s="104">
        <v>2392680</v>
      </c>
    </row>
    <row r="1300" spans="2:7" x14ac:dyDescent="0.25">
      <c r="C1300" t="s">
        <v>2753</v>
      </c>
      <c r="D1300" s="104">
        <v>38820.379999999997</v>
      </c>
      <c r="E1300">
        <v>0</v>
      </c>
      <c r="F1300">
        <v>0</v>
      </c>
      <c r="G1300" s="104">
        <v>38820.379999999997</v>
      </c>
    </row>
    <row r="1301" spans="2:7" x14ac:dyDescent="0.25">
      <c r="C1301" t="s">
        <v>2754</v>
      </c>
      <c r="D1301" s="104">
        <v>45000</v>
      </c>
      <c r="E1301">
        <v>0</v>
      </c>
      <c r="F1301">
        <v>0</v>
      </c>
      <c r="G1301" s="104">
        <v>45000</v>
      </c>
    </row>
    <row r="1302" spans="2:7" x14ac:dyDescent="0.25">
      <c r="B1302" t="s">
        <v>1587</v>
      </c>
      <c r="D1302" s="104">
        <v>46165006.450000003</v>
      </c>
      <c r="E1302">
        <v>0</v>
      </c>
      <c r="F1302" s="104">
        <v>1510874.57</v>
      </c>
      <c r="G1302" s="104">
        <v>47675881.020000003</v>
      </c>
    </row>
    <row r="1304" spans="2:7" x14ac:dyDescent="0.25">
      <c r="B1304">
        <v>20501030</v>
      </c>
      <c r="C1304" t="s">
        <v>2249</v>
      </c>
    </row>
    <row r="1305" spans="2:7" x14ac:dyDescent="0.25">
      <c r="C1305" t="s">
        <v>1954</v>
      </c>
      <c r="D1305" s="104">
        <v>1910150.51</v>
      </c>
      <c r="E1305">
        <v>0</v>
      </c>
      <c r="F1305">
        <v>0</v>
      </c>
      <c r="G1305" s="104">
        <v>1910150.51</v>
      </c>
    </row>
    <row r="1306" spans="2:7" x14ac:dyDescent="0.25">
      <c r="C1306" t="s">
        <v>1955</v>
      </c>
      <c r="D1306" s="104">
        <v>2910416.84</v>
      </c>
      <c r="E1306" s="104">
        <v>2910416.84</v>
      </c>
      <c r="F1306" s="104">
        <v>3117805.97</v>
      </c>
      <c r="G1306" s="104">
        <v>3117805.97</v>
      </c>
    </row>
    <row r="1307" spans="2:7" x14ac:dyDescent="0.25">
      <c r="C1307" t="s">
        <v>2250</v>
      </c>
      <c r="D1307" s="104">
        <v>12610164.689999999</v>
      </c>
      <c r="E1307">
        <v>0</v>
      </c>
      <c r="F1307" s="104">
        <v>652105</v>
      </c>
      <c r="G1307" s="104">
        <v>13262269.689999999</v>
      </c>
    </row>
    <row r="1308" spans="2:7" x14ac:dyDescent="0.25">
      <c r="B1308" t="s">
        <v>1587</v>
      </c>
      <c r="D1308" s="104">
        <v>17430732.039999999</v>
      </c>
      <c r="E1308" s="104">
        <v>2910416.84</v>
      </c>
      <c r="F1308" s="104">
        <v>3769910.97</v>
      </c>
      <c r="G1308" s="104">
        <v>18290226.170000002</v>
      </c>
    </row>
    <row r="1310" spans="2:7" x14ac:dyDescent="0.25">
      <c r="B1310">
        <v>20501990</v>
      </c>
      <c r="C1310" t="s">
        <v>2251</v>
      </c>
    </row>
    <row r="1311" spans="2:7" x14ac:dyDescent="0.25">
      <c r="B1311">
        <v>20502010</v>
      </c>
      <c r="C1311" t="s">
        <v>291</v>
      </c>
    </row>
    <row r="1312" spans="2:7" x14ac:dyDescent="0.25">
      <c r="C1312" t="s">
        <v>2252</v>
      </c>
      <c r="D1312">
        <v>0</v>
      </c>
      <c r="E1312">
        <v>0</v>
      </c>
      <c r="F1312">
        <v>0</v>
      </c>
      <c r="G1312">
        <v>0</v>
      </c>
    </row>
    <row r="1313" spans="2:7" x14ac:dyDescent="0.25">
      <c r="C1313" t="s">
        <v>2253</v>
      </c>
      <c r="D1313">
        <v>0</v>
      </c>
      <c r="E1313" s="104">
        <v>2002674.4</v>
      </c>
      <c r="F1313" s="104">
        <v>10013372.02</v>
      </c>
      <c r="G1313" s="104">
        <v>8010697.6200000001</v>
      </c>
    </row>
    <row r="1314" spans="2:7" x14ac:dyDescent="0.25">
      <c r="C1314" t="s">
        <v>2254</v>
      </c>
      <c r="D1314">
        <v>0</v>
      </c>
      <c r="E1314">
        <v>0</v>
      </c>
      <c r="F1314">
        <v>0</v>
      </c>
      <c r="G1314">
        <v>0</v>
      </c>
    </row>
    <row r="1315" spans="2:7" x14ac:dyDescent="0.25">
      <c r="C1315" t="s">
        <v>1786</v>
      </c>
      <c r="D1315">
        <v>0</v>
      </c>
      <c r="E1315">
        <v>0</v>
      </c>
      <c r="F1315">
        <v>0</v>
      </c>
      <c r="G1315">
        <v>0</v>
      </c>
    </row>
    <row r="1316" spans="2:7" x14ac:dyDescent="0.25">
      <c r="C1316" t="s">
        <v>1830</v>
      </c>
      <c r="D1316" s="104">
        <v>16032.02</v>
      </c>
      <c r="E1316">
        <v>0</v>
      </c>
      <c r="F1316">
        <v>0</v>
      </c>
      <c r="G1316" s="104">
        <v>16032.02</v>
      </c>
    </row>
    <row r="1317" spans="2:7" x14ac:dyDescent="0.25">
      <c r="C1317" t="s">
        <v>1844</v>
      </c>
      <c r="D1317">
        <v>0</v>
      </c>
      <c r="E1317">
        <v>0</v>
      </c>
      <c r="F1317">
        <v>0</v>
      </c>
      <c r="G1317">
        <v>0</v>
      </c>
    </row>
    <row r="1318" spans="2:7" x14ac:dyDescent="0.25">
      <c r="C1318" t="s">
        <v>1852</v>
      </c>
      <c r="D1318">
        <v>0</v>
      </c>
      <c r="E1318">
        <v>0</v>
      </c>
      <c r="F1318">
        <v>0</v>
      </c>
      <c r="G1318">
        <v>0</v>
      </c>
    </row>
    <row r="1319" spans="2:7" x14ac:dyDescent="0.25">
      <c r="C1319" t="s">
        <v>1871</v>
      </c>
      <c r="D1319">
        <v>0</v>
      </c>
      <c r="E1319">
        <v>0</v>
      </c>
      <c r="F1319">
        <v>0</v>
      </c>
      <c r="G1319">
        <v>0</v>
      </c>
    </row>
    <row r="1320" spans="2:7" x14ac:dyDescent="0.25">
      <c r="C1320" t="s">
        <v>1873</v>
      </c>
      <c r="D1320" s="104">
        <v>29249.39</v>
      </c>
      <c r="E1320">
        <v>0</v>
      </c>
      <c r="F1320">
        <v>0</v>
      </c>
      <c r="G1320" s="104">
        <v>29249.39</v>
      </c>
    </row>
    <row r="1321" spans="2:7" x14ac:dyDescent="0.25">
      <c r="C1321" t="s">
        <v>1881</v>
      </c>
      <c r="D1321" s="104">
        <v>15262.46</v>
      </c>
      <c r="E1321">
        <v>0</v>
      </c>
      <c r="F1321">
        <v>0</v>
      </c>
      <c r="G1321" s="104">
        <v>15262.46</v>
      </c>
    </row>
    <row r="1322" spans="2:7" x14ac:dyDescent="0.25">
      <c r="C1322" t="s">
        <v>2248</v>
      </c>
      <c r="D1322" s="104">
        <v>8303640</v>
      </c>
      <c r="E1322" s="104">
        <v>6227730</v>
      </c>
      <c r="F1322">
        <v>0</v>
      </c>
      <c r="G1322" s="104">
        <v>2075910</v>
      </c>
    </row>
    <row r="1323" spans="2:7" x14ac:dyDescent="0.25">
      <c r="C1323" t="s">
        <v>2752</v>
      </c>
      <c r="D1323" s="104">
        <v>3020703.36</v>
      </c>
      <c r="E1323">
        <v>0</v>
      </c>
      <c r="F1323">
        <v>0</v>
      </c>
      <c r="G1323" s="104">
        <v>3020703.36</v>
      </c>
    </row>
    <row r="1324" spans="2:7" x14ac:dyDescent="0.25">
      <c r="C1324" t="s">
        <v>2767</v>
      </c>
      <c r="D1324" s="104">
        <v>10013372.02</v>
      </c>
      <c r="E1324" s="104">
        <v>10013372.02</v>
      </c>
      <c r="F1324">
        <v>0</v>
      </c>
      <c r="G1324">
        <v>0</v>
      </c>
    </row>
    <row r="1325" spans="2:7" x14ac:dyDescent="0.25">
      <c r="B1325" t="s">
        <v>1587</v>
      </c>
      <c r="D1325" s="104">
        <v>21398259.25</v>
      </c>
      <c r="E1325" s="104">
        <v>18243776.420000002</v>
      </c>
      <c r="F1325" s="104">
        <v>10013372.02</v>
      </c>
      <c r="G1325" s="104">
        <v>13167854.85</v>
      </c>
    </row>
    <row r="1327" spans="2:7" x14ac:dyDescent="0.25">
      <c r="B1327">
        <v>20601020</v>
      </c>
      <c r="C1327" t="s">
        <v>793</v>
      </c>
    </row>
    <row r="1328" spans="2:7" x14ac:dyDescent="0.25">
      <c r="C1328" t="s">
        <v>2255</v>
      </c>
      <c r="D1328" s="104">
        <v>-8345348.8200000003</v>
      </c>
      <c r="E1328">
        <v>0</v>
      </c>
      <c r="F1328" s="104">
        <v>412893.37</v>
      </c>
      <c r="G1328" s="104">
        <v>-7932455.4500000002</v>
      </c>
    </row>
    <row r="1329" spans="2:7" x14ac:dyDescent="0.25">
      <c r="B1329" t="s">
        <v>1587</v>
      </c>
      <c r="D1329" s="104">
        <v>-8345348.8200000003</v>
      </c>
      <c r="E1329">
        <v>0</v>
      </c>
      <c r="F1329" s="104">
        <v>412893.37</v>
      </c>
      <c r="G1329" s="104">
        <v>-7932455.4500000002</v>
      </c>
    </row>
    <row r="1331" spans="2:7" x14ac:dyDescent="0.25">
      <c r="B1331">
        <v>20601990</v>
      </c>
      <c r="C1331" t="s">
        <v>755</v>
      </c>
    </row>
    <row r="1332" spans="2:7" x14ac:dyDescent="0.25">
      <c r="C1332" t="s">
        <v>2256</v>
      </c>
      <c r="D1332" s="104">
        <v>-313806761.08999997</v>
      </c>
      <c r="E1332">
        <v>0</v>
      </c>
      <c r="F1332">
        <v>0</v>
      </c>
      <c r="G1332" s="104">
        <v>-313806761.08999997</v>
      </c>
    </row>
    <row r="1333" spans="2:7" x14ac:dyDescent="0.25">
      <c r="B1333" t="s">
        <v>1587</v>
      </c>
      <c r="D1333" s="104">
        <v>-313806761.08999997</v>
      </c>
      <c r="E1333">
        <v>0</v>
      </c>
      <c r="F1333">
        <v>0</v>
      </c>
      <c r="G1333" s="104">
        <v>-313806761.08999997</v>
      </c>
    </row>
    <row r="1335" spans="2:7" x14ac:dyDescent="0.25">
      <c r="B1335">
        <v>20901010</v>
      </c>
      <c r="C1335" t="s">
        <v>1064</v>
      </c>
      <c r="D1335" s="104">
        <v>-6322519695.5500002</v>
      </c>
      <c r="E1335">
        <v>0</v>
      </c>
      <c r="F1335">
        <v>0</v>
      </c>
      <c r="G1335" s="104">
        <v>-6322519695.5500002</v>
      </c>
    </row>
    <row r="1336" spans="2:7" x14ac:dyDescent="0.25">
      <c r="B1336" t="s">
        <v>2257</v>
      </c>
      <c r="C1336" t="s">
        <v>282</v>
      </c>
    </row>
    <row r="1337" spans="2:7" x14ac:dyDescent="0.25">
      <c r="C1337" t="s">
        <v>2258</v>
      </c>
      <c r="D1337" s="104">
        <v>6880800804.0100002</v>
      </c>
      <c r="E1337">
        <v>0</v>
      </c>
      <c r="F1337">
        <v>0</v>
      </c>
      <c r="G1337" s="104">
        <v>6880800804.0100002</v>
      </c>
    </row>
    <row r="1338" spans="2:7" x14ac:dyDescent="0.25">
      <c r="B1338" t="s">
        <v>1587</v>
      </c>
      <c r="D1338" s="104">
        <v>6880800804.0100002</v>
      </c>
      <c r="E1338">
        <v>0</v>
      </c>
      <c r="F1338">
        <v>0</v>
      </c>
      <c r="G1338" s="104">
        <v>6880800804.0100002</v>
      </c>
    </row>
    <row r="1340" spans="2:7" x14ac:dyDescent="0.25">
      <c r="B1340" t="s">
        <v>2259</v>
      </c>
      <c r="C1340" t="s">
        <v>344</v>
      </c>
    </row>
    <row r="1341" spans="2:7" x14ac:dyDescent="0.25">
      <c r="B1341">
        <v>29999990</v>
      </c>
      <c r="C1341" t="s">
        <v>2260</v>
      </c>
      <c r="D1341" s="104">
        <v>324655228.25999999</v>
      </c>
      <c r="E1341" s="104">
        <v>285722.48</v>
      </c>
      <c r="F1341" s="104">
        <v>1415821.74</v>
      </c>
      <c r="G1341" s="104">
        <v>325785327.51999998</v>
      </c>
    </row>
    <row r="1342" spans="2:7" x14ac:dyDescent="0.25">
      <c r="B1342" t="s">
        <v>2261</v>
      </c>
      <c r="C1342" t="s">
        <v>272</v>
      </c>
    </row>
    <row r="1343" spans="2:7" x14ac:dyDescent="0.25">
      <c r="C1343" t="s">
        <v>2262</v>
      </c>
      <c r="D1343">
        <v>0</v>
      </c>
      <c r="E1343">
        <v>0</v>
      </c>
      <c r="F1343">
        <v>0</v>
      </c>
      <c r="G1343">
        <v>0</v>
      </c>
    </row>
    <row r="1344" spans="2:7" x14ac:dyDescent="0.25">
      <c r="C1344" s="891" t="s">
        <v>2250</v>
      </c>
      <c r="D1344" s="892">
        <v>-7961172</v>
      </c>
      <c r="E1344" s="891">
        <v>0</v>
      </c>
      <c r="F1344" s="891">
        <v>0</v>
      </c>
      <c r="G1344" s="892">
        <v>-7961172</v>
      </c>
    </row>
    <row r="1345" spans="3:7" x14ac:dyDescent="0.25">
      <c r="C1345" t="s">
        <v>2263</v>
      </c>
      <c r="D1345" s="104">
        <v>405000</v>
      </c>
      <c r="E1345">
        <v>0</v>
      </c>
      <c r="F1345" s="104">
        <v>45000</v>
      </c>
      <c r="G1345" s="104">
        <v>450000</v>
      </c>
    </row>
    <row r="1346" spans="3:7" x14ac:dyDescent="0.25">
      <c r="C1346" t="s">
        <v>2264</v>
      </c>
      <c r="D1346" s="104">
        <v>195160.79</v>
      </c>
      <c r="E1346">
        <v>0</v>
      </c>
      <c r="F1346">
        <v>0</v>
      </c>
      <c r="G1346" s="104">
        <v>195160.79</v>
      </c>
    </row>
    <row r="1347" spans="3:7" x14ac:dyDescent="0.25">
      <c r="C1347" t="s">
        <v>2161</v>
      </c>
      <c r="D1347">
        <v>0</v>
      </c>
      <c r="E1347">
        <v>0</v>
      </c>
      <c r="F1347">
        <v>0</v>
      </c>
      <c r="G1347">
        <v>0</v>
      </c>
    </row>
    <row r="1348" spans="3:7" x14ac:dyDescent="0.25">
      <c r="C1348" t="s">
        <v>1754</v>
      </c>
      <c r="D1348" s="104">
        <v>5589.99</v>
      </c>
      <c r="E1348" s="104">
        <v>65367.55</v>
      </c>
      <c r="F1348" s="104">
        <v>65367.55</v>
      </c>
      <c r="G1348" s="104">
        <v>5589.99</v>
      </c>
    </row>
    <row r="1349" spans="3:7" x14ac:dyDescent="0.25">
      <c r="C1349" t="s">
        <v>2265</v>
      </c>
      <c r="D1349">
        <v>0</v>
      </c>
      <c r="E1349">
        <v>0</v>
      </c>
      <c r="F1349">
        <v>0</v>
      </c>
      <c r="G1349">
        <v>0</v>
      </c>
    </row>
    <row r="1350" spans="3:7" x14ac:dyDescent="0.25">
      <c r="C1350" t="s">
        <v>2267</v>
      </c>
      <c r="D1350">
        <v>0</v>
      </c>
      <c r="E1350">
        <v>0</v>
      </c>
      <c r="F1350">
        <v>0</v>
      </c>
      <c r="G1350">
        <v>0</v>
      </c>
    </row>
    <row r="1351" spans="3:7" x14ac:dyDescent="0.25">
      <c r="C1351" t="s">
        <v>2268</v>
      </c>
      <c r="D1351">
        <v>0</v>
      </c>
      <c r="E1351">
        <v>0</v>
      </c>
      <c r="F1351">
        <v>0</v>
      </c>
      <c r="G1351">
        <v>0</v>
      </c>
    </row>
    <row r="1352" spans="3:7" x14ac:dyDescent="0.25">
      <c r="C1352" t="s">
        <v>1814</v>
      </c>
      <c r="D1352">
        <v>0</v>
      </c>
      <c r="E1352">
        <v>0</v>
      </c>
      <c r="F1352">
        <v>0</v>
      </c>
      <c r="G1352">
        <v>0</v>
      </c>
    </row>
    <row r="1353" spans="3:7" x14ac:dyDescent="0.25">
      <c r="C1353" t="s">
        <v>2269</v>
      </c>
      <c r="D1353">
        <v>0</v>
      </c>
      <c r="E1353">
        <v>0</v>
      </c>
      <c r="F1353">
        <v>0</v>
      </c>
      <c r="G1353">
        <v>0</v>
      </c>
    </row>
    <row r="1354" spans="3:7" x14ac:dyDescent="0.25">
      <c r="C1354" t="s">
        <v>2270</v>
      </c>
      <c r="D1354">
        <v>0</v>
      </c>
      <c r="E1354">
        <v>0</v>
      </c>
      <c r="F1354">
        <v>0</v>
      </c>
      <c r="G1354">
        <v>0</v>
      </c>
    </row>
    <row r="1355" spans="3:7" x14ac:dyDescent="0.25">
      <c r="C1355" t="s">
        <v>2033</v>
      </c>
      <c r="D1355">
        <v>-100</v>
      </c>
      <c r="E1355">
        <v>0</v>
      </c>
      <c r="F1355">
        <v>0</v>
      </c>
      <c r="G1355">
        <v>-100</v>
      </c>
    </row>
    <row r="1356" spans="3:7" x14ac:dyDescent="0.25">
      <c r="C1356" t="s">
        <v>2061</v>
      </c>
      <c r="D1356">
        <v>100</v>
      </c>
      <c r="E1356">
        <v>0</v>
      </c>
      <c r="F1356">
        <v>0</v>
      </c>
      <c r="G1356">
        <v>100</v>
      </c>
    </row>
    <row r="1357" spans="3:7" x14ac:dyDescent="0.25">
      <c r="C1357" t="s">
        <v>2276</v>
      </c>
      <c r="D1357">
        <v>0</v>
      </c>
      <c r="E1357">
        <v>0</v>
      </c>
      <c r="F1357">
        <v>0</v>
      </c>
      <c r="G1357">
        <v>0</v>
      </c>
    </row>
    <row r="1358" spans="3:7" x14ac:dyDescent="0.25">
      <c r="C1358" t="s">
        <v>1857</v>
      </c>
      <c r="D1358">
        <v>0</v>
      </c>
      <c r="E1358">
        <v>0</v>
      </c>
      <c r="F1358">
        <v>0</v>
      </c>
      <c r="G1358">
        <v>0</v>
      </c>
    </row>
    <row r="1359" spans="3:7" x14ac:dyDescent="0.25">
      <c r="C1359" t="s">
        <v>1895</v>
      </c>
      <c r="D1359">
        <v>-0.04</v>
      </c>
      <c r="E1359">
        <v>0</v>
      </c>
      <c r="F1359">
        <v>0</v>
      </c>
      <c r="G1359">
        <v>-0.04</v>
      </c>
    </row>
    <row r="1360" spans="3:7" x14ac:dyDescent="0.25">
      <c r="C1360" t="s">
        <v>2279</v>
      </c>
      <c r="D1360">
        <v>0</v>
      </c>
      <c r="E1360">
        <v>0</v>
      </c>
      <c r="F1360">
        <v>0</v>
      </c>
      <c r="G1360">
        <v>0</v>
      </c>
    </row>
    <row r="1361" spans="3:8" x14ac:dyDescent="0.25">
      <c r="C1361" t="s">
        <v>2281</v>
      </c>
      <c r="D1361">
        <v>0.02</v>
      </c>
      <c r="E1361">
        <v>0</v>
      </c>
      <c r="F1361">
        <v>0</v>
      </c>
      <c r="G1361">
        <v>0.02</v>
      </c>
    </row>
    <row r="1362" spans="3:8" x14ac:dyDescent="0.25">
      <c r="C1362" t="s">
        <v>2229</v>
      </c>
      <c r="D1362" s="104">
        <v>196428.57</v>
      </c>
      <c r="E1362">
        <v>0</v>
      </c>
      <c r="F1362">
        <v>0</v>
      </c>
      <c r="G1362" s="893">
        <v>196428.57</v>
      </c>
      <c r="H1362" t="s">
        <v>2784</v>
      </c>
    </row>
    <row r="1363" spans="3:8" x14ac:dyDescent="0.25">
      <c r="C1363" t="s">
        <v>2768</v>
      </c>
      <c r="D1363" s="104">
        <v>-199107.14</v>
      </c>
      <c r="E1363">
        <v>0</v>
      </c>
      <c r="F1363">
        <v>0</v>
      </c>
      <c r="G1363" s="893">
        <v>-199107.14</v>
      </c>
      <c r="H1363" t="s">
        <v>2784</v>
      </c>
    </row>
    <row r="1364" spans="3:8" x14ac:dyDescent="0.25">
      <c r="C1364" t="s">
        <v>2282</v>
      </c>
      <c r="D1364" s="104">
        <v>104599.61</v>
      </c>
      <c r="E1364">
        <v>0</v>
      </c>
      <c r="F1364">
        <v>0</v>
      </c>
      <c r="G1364" s="104">
        <v>104599.61</v>
      </c>
    </row>
    <row r="1365" spans="3:8" x14ac:dyDescent="0.25">
      <c r="C1365" t="s">
        <v>2283</v>
      </c>
      <c r="D1365" s="104">
        <v>6288.89</v>
      </c>
      <c r="E1365">
        <v>0</v>
      </c>
      <c r="F1365">
        <v>0</v>
      </c>
      <c r="G1365" s="104">
        <v>6288.89</v>
      </c>
    </row>
    <row r="1366" spans="3:8" x14ac:dyDescent="0.25">
      <c r="C1366" t="s">
        <v>2284</v>
      </c>
      <c r="D1366" s="104">
        <v>29000</v>
      </c>
      <c r="E1366">
        <v>0</v>
      </c>
      <c r="F1366">
        <v>0</v>
      </c>
      <c r="G1366" s="104">
        <v>29000</v>
      </c>
    </row>
    <row r="1367" spans="3:8" x14ac:dyDescent="0.25">
      <c r="C1367" t="s">
        <v>1898</v>
      </c>
      <c r="D1367" s="104">
        <v>2641771</v>
      </c>
      <c r="E1367">
        <v>0</v>
      </c>
      <c r="F1367">
        <v>0</v>
      </c>
      <c r="G1367" s="104">
        <v>2641771</v>
      </c>
    </row>
    <row r="1368" spans="3:8" x14ac:dyDescent="0.25">
      <c r="C1368" t="s">
        <v>2287</v>
      </c>
      <c r="D1368">
        <v>-0.06</v>
      </c>
      <c r="E1368">
        <v>0</v>
      </c>
      <c r="F1368">
        <v>0</v>
      </c>
      <c r="G1368">
        <v>-0.06</v>
      </c>
    </row>
    <row r="1369" spans="3:8" x14ac:dyDescent="0.25">
      <c r="C1369" t="s">
        <v>2136</v>
      </c>
      <c r="D1369" s="104">
        <v>14156752.689999999</v>
      </c>
      <c r="E1369">
        <v>0</v>
      </c>
      <c r="F1369">
        <v>0</v>
      </c>
      <c r="G1369" s="104">
        <v>14156752.689999999</v>
      </c>
    </row>
    <row r="1370" spans="3:8" x14ac:dyDescent="0.25">
      <c r="C1370" t="s">
        <v>2288</v>
      </c>
      <c r="D1370" s="104">
        <v>114285.71</v>
      </c>
      <c r="E1370">
        <v>0</v>
      </c>
      <c r="F1370">
        <v>0</v>
      </c>
      <c r="G1370" s="104">
        <v>114285.71</v>
      </c>
    </row>
    <row r="1371" spans="3:8" x14ac:dyDescent="0.25">
      <c r="C1371" t="s">
        <v>2163</v>
      </c>
      <c r="D1371" s="104">
        <v>7820.98</v>
      </c>
      <c r="E1371">
        <v>0</v>
      </c>
      <c r="F1371">
        <v>0</v>
      </c>
      <c r="G1371" s="104">
        <v>7820.98</v>
      </c>
    </row>
    <row r="1372" spans="3:8" x14ac:dyDescent="0.25">
      <c r="C1372" t="s">
        <v>2291</v>
      </c>
      <c r="D1372" s="104">
        <v>49862.5</v>
      </c>
      <c r="E1372">
        <v>0</v>
      </c>
      <c r="F1372">
        <v>0</v>
      </c>
      <c r="G1372" s="104">
        <v>49862.5</v>
      </c>
    </row>
    <row r="1373" spans="3:8" x14ac:dyDescent="0.25">
      <c r="C1373" t="s">
        <v>2255</v>
      </c>
      <c r="D1373">
        <v>0</v>
      </c>
      <c r="E1373">
        <v>0</v>
      </c>
      <c r="F1373">
        <v>0</v>
      </c>
      <c r="G1373">
        <v>0</v>
      </c>
    </row>
    <row r="1374" spans="3:8" x14ac:dyDescent="0.25">
      <c r="C1374" t="s">
        <v>2064</v>
      </c>
      <c r="D1374">
        <v>0</v>
      </c>
      <c r="E1374">
        <v>0</v>
      </c>
      <c r="F1374">
        <v>0</v>
      </c>
      <c r="G1374">
        <v>0</v>
      </c>
    </row>
    <row r="1375" spans="3:8" x14ac:dyDescent="0.25">
      <c r="C1375" t="s">
        <v>2065</v>
      </c>
      <c r="D1375">
        <v>188.76</v>
      </c>
      <c r="E1375">
        <v>0</v>
      </c>
      <c r="F1375">
        <v>0</v>
      </c>
      <c r="G1375">
        <v>188.76</v>
      </c>
    </row>
    <row r="1376" spans="3:8" x14ac:dyDescent="0.25">
      <c r="C1376" t="s">
        <v>2292</v>
      </c>
      <c r="D1376" s="104">
        <v>4935</v>
      </c>
      <c r="E1376">
        <v>0</v>
      </c>
      <c r="F1376">
        <v>0</v>
      </c>
      <c r="G1376" s="104">
        <v>4935</v>
      </c>
    </row>
    <row r="1377" spans="3:7" x14ac:dyDescent="0.25">
      <c r="C1377" t="s">
        <v>2293</v>
      </c>
      <c r="D1377" s="104">
        <v>19328.330000000002</v>
      </c>
      <c r="E1377">
        <v>0</v>
      </c>
      <c r="F1377">
        <v>0</v>
      </c>
      <c r="G1377" s="104">
        <v>19328.330000000002</v>
      </c>
    </row>
    <row r="1378" spans="3:7" x14ac:dyDescent="0.25">
      <c r="C1378" t="s">
        <v>1727</v>
      </c>
      <c r="D1378">
        <v>-352.51</v>
      </c>
      <c r="E1378">
        <v>0</v>
      </c>
      <c r="F1378">
        <v>0</v>
      </c>
      <c r="G1378">
        <v>-352.51</v>
      </c>
    </row>
    <row r="1379" spans="3:7" x14ac:dyDescent="0.25">
      <c r="C1379" t="s">
        <v>2295</v>
      </c>
      <c r="D1379">
        <v>0</v>
      </c>
      <c r="E1379">
        <v>0</v>
      </c>
      <c r="F1379">
        <v>0</v>
      </c>
      <c r="G1379">
        <v>0</v>
      </c>
    </row>
    <row r="1380" spans="3:7" x14ac:dyDescent="0.25">
      <c r="C1380" t="s">
        <v>2296</v>
      </c>
      <c r="D1380" s="104">
        <v>11093.3</v>
      </c>
      <c r="E1380">
        <v>0</v>
      </c>
      <c r="F1380">
        <v>0</v>
      </c>
      <c r="G1380" s="104">
        <v>11093.3</v>
      </c>
    </row>
    <row r="1381" spans="3:7" x14ac:dyDescent="0.25">
      <c r="C1381" t="s">
        <v>1981</v>
      </c>
      <c r="D1381">
        <v>0</v>
      </c>
      <c r="E1381">
        <v>0</v>
      </c>
      <c r="F1381">
        <v>0</v>
      </c>
      <c r="G1381">
        <v>0</v>
      </c>
    </row>
    <row r="1382" spans="3:7" x14ac:dyDescent="0.25">
      <c r="C1382" t="s">
        <v>2297</v>
      </c>
      <c r="D1382" s="104">
        <v>1339038.3899999999</v>
      </c>
      <c r="E1382">
        <v>0</v>
      </c>
      <c r="F1382">
        <v>0</v>
      </c>
      <c r="G1382" s="104">
        <v>1339038.3899999999</v>
      </c>
    </row>
    <row r="1383" spans="3:7" x14ac:dyDescent="0.25">
      <c r="C1383" t="s">
        <v>2298</v>
      </c>
      <c r="D1383" s="104">
        <v>1026</v>
      </c>
      <c r="E1383">
        <v>0</v>
      </c>
      <c r="F1383">
        <v>0</v>
      </c>
      <c r="G1383" s="104">
        <v>1026</v>
      </c>
    </row>
    <row r="1384" spans="3:7" x14ac:dyDescent="0.25">
      <c r="C1384" t="s">
        <v>1872</v>
      </c>
      <c r="D1384" s="104">
        <v>110945.54</v>
      </c>
      <c r="E1384">
        <v>0</v>
      </c>
      <c r="F1384">
        <v>0</v>
      </c>
      <c r="G1384" s="104">
        <v>110945.54</v>
      </c>
    </row>
    <row r="1385" spans="3:7" x14ac:dyDescent="0.25">
      <c r="C1385" t="s">
        <v>2299</v>
      </c>
      <c r="D1385">
        <v>0</v>
      </c>
      <c r="E1385">
        <v>0</v>
      </c>
      <c r="F1385">
        <v>0</v>
      </c>
      <c r="G1385">
        <v>0</v>
      </c>
    </row>
    <row r="1386" spans="3:7" x14ac:dyDescent="0.25">
      <c r="C1386" t="s">
        <v>2300</v>
      </c>
      <c r="D1386">
        <v>0</v>
      </c>
      <c r="E1386">
        <v>0</v>
      </c>
      <c r="F1386">
        <v>0</v>
      </c>
      <c r="G1386">
        <v>0</v>
      </c>
    </row>
    <row r="1387" spans="3:7" x14ac:dyDescent="0.25">
      <c r="C1387" t="s">
        <v>2301</v>
      </c>
      <c r="D1387">
        <v>0</v>
      </c>
      <c r="E1387">
        <v>0</v>
      </c>
      <c r="F1387">
        <v>0</v>
      </c>
      <c r="G1387">
        <v>0</v>
      </c>
    </row>
    <row r="1388" spans="3:7" x14ac:dyDescent="0.25">
      <c r="C1388" t="s">
        <v>2178</v>
      </c>
      <c r="D1388">
        <v>0</v>
      </c>
      <c r="E1388">
        <v>0</v>
      </c>
      <c r="F1388">
        <v>0</v>
      </c>
      <c r="G1388">
        <v>0</v>
      </c>
    </row>
    <row r="1389" spans="3:7" x14ac:dyDescent="0.25">
      <c r="C1389" t="s">
        <v>2304</v>
      </c>
      <c r="D1389">
        <v>0</v>
      </c>
      <c r="E1389">
        <v>0</v>
      </c>
      <c r="F1389">
        <v>0</v>
      </c>
      <c r="G1389">
        <v>0</v>
      </c>
    </row>
    <row r="1390" spans="3:7" x14ac:dyDescent="0.25">
      <c r="C1390" t="s">
        <v>2307</v>
      </c>
      <c r="D1390">
        <v>0</v>
      </c>
      <c r="E1390">
        <v>0</v>
      </c>
      <c r="F1390">
        <v>0</v>
      </c>
      <c r="G1390">
        <v>0</v>
      </c>
    </row>
    <row r="1391" spans="3:7" x14ac:dyDescent="0.25">
      <c r="C1391" t="s">
        <v>2308</v>
      </c>
      <c r="D1391" s="104">
        <v>1181875.48</v>
      </c>
      <c r="E1391" s="104">
        <v>173173</v>
      </c>
      <c r="F1391" s="104">
        <v>561957.81999999995</v>
      </c>
      <c r="G1391" s="104">
        <v>1570660.3</v>
      </c>
    </row>
    <row r="1392" spans="3:7" x14ac:dyDescent="0.25">
      <c r="C1392" t="s">
        <v>2310</v>
      </c>
      <c r="D1392" s="104">
        <v>35359.86</v>
      </c>
      <c r="E1392">
        <v>0</v>
      </c>
      <c r="F1392">
        <v>0</v>
      </c>
      <c r="G1392" s="104">
        <v>35359.86</v>
      </c>
    </row>
    <row r="1393" spans="2:8" x14ac:dyDescent="0.25">
      <c r="C1393" t="s">
        <v>2311</v>
      </c>
      <c r="D1393" s="104">
        <v>274172.42</v>
      </c>
      <c r="E1393">
        <v>0</v>
      </c>
      <c r="F1393">
        <v>0</v>
      </c>
      <c r="G1393" s="104">
        <v>274172.42</v>
      </c>
    </row>
    <row r="1394" spans="2:8" x14ac:dyDescent="0.25">
      <c r="C1394" t="s">
        <v>2153</v>
      </c>
      <c r="D1394" s="104">
        <v>54000</v>
      </c>
      <c r="E1394">
        <v>0</v>
      </c>
      <c r="F1394">
        <v>0</v>
      </c>
      <c r="G1394" s="104">
        <v>54000</v>
      </c>
    </row>
    <row r="1395" spans="2:8" x14ac:dyDescent="0.25">
      <c r="C1395" t="s">
        <v>2137</v>
      </c>
      <c r="D1395">
        <v>-0.01</v>
      </c>
      <c r="E1395">
        <v>0</v>
      </c>
      <c r="F1395">
        <v>0</v>
      </c>
      <c r="G1395">
        <v>-0.01</v>
      </c>
    </row>
    <row r="1396" spans="2:8" x14ac:dyDescent="0.25">
      <c r="C1396" t="s">
        <v>2317</v>
      </c>
      <c r="D1396">
        <v>0</v>
      </c>
      <c r="E1396">
        <v>0</v>
      </c>
      <c r="F1396">
        <v>0</v>
      </c>
      <c r="G1396">
        <v>0</v>
      </c>
    </row>
    <row r="1397" spans="2:8" x14ac:dyDescent="0.25">
      <c r="C1397" t="s">
        <v>1738</v>
      </c>
      <c r="D1397" s="104">
        <v>14275.56</v>
      </c>
      <c r="E1397">
        <v>0</v>
      </c>
      <c r="F1397">
        <v>0</v>
      </c>
      <c r="G1397" s="104">
        <v>14275.56</v>
      </c>
    </row>
    <row r="1398" spans="2:8" x14ac:dyDescent="0.25">
      <c r="C1398" t="s">
        <v>2236</v>
      </c>
      <c r="D1398" s="104">
        <v>25125</v>
      </c>
      <c r="E1398">
        <v>0</v>
      </c>
      <c r="F1398">
        <v>0</v>
      </c>
      <c r="G1398" s="104">
        <v>25125</v>
      </c>
    </row>
    <row r="1399" spans="2:8" x14ac:dyDescent="0.25">
      <c r="C1399" t="s">
        <v>2318</v>
      </c>
      <c r="D1399" s="104">
        <v>4600</v>
      </c>
      <c r="E1399">
        <v>0</v>
      </c>
      <c r="F1399">
        <v>0</v>
      </c>
      <c r="G1399" s="104">
        <v>4600</v>
      </c>
    </row>
    <row r="1400" spans="2:8" x14ac:dyDescent="0.25">
      <c r="C1400" t="s">
        <v>2319</v>
      </c>
      <c r="D1400" s="104">
        <v>14742.98</v>
      </c>
      <c r="E1400">
        <v>0</v>
      </c>
      <c r="F1400">
        <v>0</v>
      </c>
      <c r="G1400" s="104">
        <v>14742.98</v>
      </c>
    </row>
    <row r="1401" spans="2:8" x14ac:dyDescent="0.25">
      <c r="C1401" t="s">
        <v>1725</v>
      </c>
      <c r="D1401">
        <v>0</v>
      </c>
      <c r="E1401">
        <v>0</v>
      </c>
      <c r="F1401" s="104">
        <v>5000</v>
      </c>
      <c r="G1401" s="893">
        <v>5000</v>
      </c>
      <c r="H1401" t="s">
        <v>2783</v>
      </c>
    </row>
    <row r="1402" spans="2:8" x14ac:dyDescent="0.25">
      <c r="C1402" t="s">
        <v>2237</v>
      </c>
      <c r="D1402" s="104">
        <v>2678.57</v>
      </c>
      <c r="E1402">
        <v>0</v>
      </c>
      <c r="F1402">
        <v>0</v>
      </c>
      <c r="G1402" s="893">
        <v>2678.57</v>
      </c>
      <c r="H1402" t="s">
        <v>2783</v>
      </c>
    </row>
    <row r="1403" spans="2:8" x14ac:dyDescent="0.25">
      <c r="C1403" t="s">
        <v>2071</v>
      </c>
      <c r="D1403">
        <v>0</v>
      </c>
      <c r="E1403">
        <v>0</v>
      </c>
      <c r="F1403">
        <v>0</v>
      </c>
      <c r="G1403">
        <v>0</v>
      </c>
    </row>
    <row r="1404" spans="2:8" x14ac:dyDescent="0.25">
      <c r="C1404" t="s">
        <v>2330</v>
      </c>
      <c r="D1404">
        <v>0</v>
      </c>
      <c r="E1404">
        <v>0</v>
      </c>
      <c r="F1404">
        <v>0</v>
      </c>
      <c r="G1404">
        <v>0</v>
      </c>
    </row>
    <row r="1405" spans="2:8" x14ac:dyDescent="0.25">
      <c r="C1405" t="s">
        <v>2332</v>
      </c>
      <c r="D1405" s="104">
        <v>11137.5</v>
      </c>
      <c r="E1405">
        <v>0</v>
      </c>
      <c r="F1405">
        <v>0</v>
      </c>
      <c r="G1405" s="104">
        <v>11137.5</v>
      </c>
    </row>
    <row r="1406" spans="2:8" x14ac:dyDescent="0.25">
      <c r="C1406" t="s">
        <v>2336</v>
      </c>
      <c r="D1406" s="104">
        <v>2000</v>
      </c>
      <c r="E1406">
        <v>0</v>
      </c>
      <c r="F1406">
        <v>0</v>
      </c>
      <c r="G1406" s="104">
        <v>2000</v>
      </c>
    </row>
    <row r="1407" spans="2:8" x14ac:dyDescent="0.25">
      <c r="B1407" t="s">
        <v>1587</v>
      </c>
      <c r="D1407" s="104">
        <v>12858451.68</v>
      </c>
      <c r="E1407" s="104">
        <v>238540.55</v>
      </c>
      <c r="F1407" s="104">
        <v>677325.37</v>
      </c>
      <c r="G1407" s="104">
        <v>13297236.5</v>
      </c>
    </row>
    <row r="1409" spans="2:7" x14ac:dyDescent="0.25">
      <c r="B1409" t="s">
        <v>2346</v>
      </c>
      <c r="C1409" t="s">
        <v>275</v>
      </c>
    </row>
    <row r="1410" spans="2:7" x14ac:dyDescent="0.25">
      <c r="C1410" t="s">
        <v>2268</v>
      </c>
      <c r="D1410" s="104">
        <v>46661.93</v>
      </c>
      <c r="E1410" s="104">
        <v>46661.93</v>
      </c>
      <c r="F1410" s="104">
        <v>249750.72</v>
      </c>
      <c r="G1410" s="104">
        <v>249750.72</v>
      </c>
    </row>
    <row r="1411" spans="2:7" x14ac:dyDescent="0.25">
      <c r="C1411" t="s">
        <v>1975</v>
      </c>
      <c r="D1411">
        <v>0</v>
      </c>
      <c r="E1411">
        <v>500</v>
      </c>
      <c r="F1411">
        <v>0</v>
      </c>
      <c r="G1411">
        <v>-500</v>
      </c>
    </row>
    <row r="1412" spans="2:7" x14ac:dyDescent="0.25">
      <c r="C1412" t="s">
        <v>1940</v>
      </c>
      <c r="D1412" s="104">
        <v>31597.39</v>
      </c>
      <c r="E1412">
        <v>0</v>
      </c>
      <c r="F1412">
        <v>0</v>
      </c>
      <c r="G1412" s="104">
        <v>31597.39</v>
      </c>
    </row>
    <row r="1413" spans="2:7" x14ac:dyDescent="0.25">
      <c r="C1413" t="s">
        <v>2026</v>
      </c>
      <c r="D1413" s="104">
        <v>2944.54</v>
      </c>
      <c r="E1413">
        <v>0</v>
      </c>
      <c r="F1413">
        <v>0</v>
      </c>
      <c r="G1413" s="104">
        <v>2944.54</v>
      </c>
    </row>
    <row r="1414" spans="2:7" x14ac:dyDescent="0.25">
      <c r="C1414" t="s">
        <v>1945</v>
      </c>
      <c r="D1414" s="104">
        <v>24839.29</v>
      </c>
      <c r="E1414">
        <v>0</v>
      </c>
      <c r="F1414">
        <v>0</v>
      </c>
      <c r="G1414" s="104">
        <v>24839.29</v>
      </c>
    </row>
    <row r="1415" spans="2:7" x14ac:dyDescent="0.25">
      <c r="C1415" t="s">
        <v>2347</v>
      </c>
      <c r="D1415" s="104">
        <v>48992.04</v>
      </c>
      <c r="E1415">
        <v>0</v>
      </c>
      <c r="F1415">
        <v>0</v>
      </c>
      <c r="G1415" s="104">
        <v>48992.04</v>
      </c>
    </row>
    <row r="1416" spans="2:7" x14ac:dyDescent="0.25">
      <c r="C1416" t="s">
        <v>1978</v>
      </c>
      <c r="D1416" s="104">
        <v>15965.71</v>
      </c>
      <c r="E1416">
        <v>0</v>
      </c>
      <c r="F1416">
        <v>0</v>
      </c>
      <c r="G1416" s="104">
        <v>15965.71</v>
      </c>
    </row>
    <row r="1417" spans="2:7" x14ac:dyDescent="0.25">
      <c r="C1417" t="s">
        <v>2348</v>
      </c>
      <c r="D1417" s="104">
        <v>7546.56</v>
      </c>
      <c r="E1417">
        <v>0</v>
      </c>
      <c r="F1417">
        <v>0</v>
      </c>
      <c r="G1417" s="104">
        <v>7546.56</v>
      </c>
    </row>
    <row r="1418" spans="2:7" x14ac:dyDescent="0.25">
      <c r="C1418" t="s">
        <v>2349</v>
      </c>
      <c r="D1418" s="104">
        <v>25000</v>
      </c>
      <c r="E1418">
        <v>0</v>
      </c>
      <c r="F1418">
        <v>0</v>
      </c>
      <c r="G1418" s="104">
        <v>25000</v>
      </c>
    </row>
    <row r="1419" spans="2:7" x14ac:dyDescent="0.25">
      <c r="C1419" t="s">
        <v>2350</v>
      </c>
      <c r="D1419" s="104">
        <v>75000</v>
      </c>
      <c r="E1419">
        <v>0</v>
      </c>
      <c r="F1419">
        <v>0</v>
      </c>
      <c r="G1419" s="104">
        <v>75000</v>
      </c>
    </row>
    <row r="1420" spans="2:7" x14ac:dyDescent="0.25">
      <c r="C1420" t="s">
        <v>2351</v>
      </c>
      <c r="D1420" s="104">
        <v>39732.720000000001</v>
      </c>
      <c r="E1420">
        <v>0</v>
      </c>
      <c r="F1420">
        <v>0</v>
      </c>
      <c r="G1420" s="104">
        <v>39732.720000000001</v>
      </c>
    </row>
    <row r="1421" spans="2:7" x14ac:dyDescent="0.25">
      <c r="C1421" t="s">
        <v>2352</v>
      </c>
      <c r="D1421" s="104">
        <v>25000</v>
      </c>
      <c r="E1421">
        <v>0</v>
      </c>
      <c r="F1421">
        <v>0</v>
      </c>
      <c r="G1421" s="104">
        <v>25000</v>
      </c>
    </row>
    <row r="1422" spans="2:7" x14ac:dyDescent="0.25">
      <c r="C1422" t="s">
        <v>2033</v>
      </c>
      <c r="D1422">
        <v>100</v>
      </c>
      <c r="E1422">
        <v>0</v>
      </c>
      <c r="F1422">
        <v>0</v>
      </c>
      <c r="G1422">
        <v>100</v>
      </c>
    </row>
    <row r="1423" spans="2:7" x14ac:dyDescent="0.25">
      <c r="C1423" t="s">
        <v>2061</v>
      </c>
      <c r="D1423">
        <v>266.95999999999998</v>
      </c>
      <c r="E1423">
        <v>0</v>
      </c>
      <c r="F1423">
        <v>0</v>
      </c>
      <c r="G1423">
        <v>266.95999999999998</v>
      </c>
    </row>
    <row r="1424" spans="2:7" x14ac:dyDescent="0.25">
      <c r="C1424" t="s">
        <v>2353</v>
      </c>
      <c r="D1424" s="104">
        <v>2800</v>
      </c>
      <c r="E1424">
        <v>0</v>
      </c>
      <c r="F1424">
        <v>0</v>
      </c>
      <c r="G1424" s="104">
        <v>2800</v>
      </c>
    </row>
    <row r="1425" spans="2:7" x14ac:dyDescent="0.25">
      <c r="C1425" t="s">
        <v>2274</v>
      </c>
      <c r="D1425" s="104">
        <v>10416.67</v>
      </c>
      <c r="E1425">
        <v>0</v>
      </c>
      <c r="F1425">
        <v>0</v>
      </c>
      <c r="G1425" s="104">
        <v>10416.67</v>
      </c>
    </row>
    <row r="1426" spans="2:7" x14ac:dyDescent="0.25">
      <c r="C1426" t="s">
        <v>2066</v>
      </c>
      <c r="D1426">
        <v>0</v>
      </c>
      <c r="E1426">
        <v>20</v>
      </c>
      <c r="F1426">
        <v>20</v>
      </c>
      <c r="G1426">
        <v>0</v>
      </c>
    </row>
    <row r="1427" spans="2:7" x14ac:dyDescent="0.25">
      <c r="C1427" t="s">
        <v>1731</v>
      </c>
      <c r="D1427">
        <v>28</v>
      </c>
      <c r="E1427">
        <v>0</v>
      </c>
      <c r="F1427">
        <v>0</v>
      </c>
      <c r="G1427">
        <v>28</v>
      </c>
    </row>
    <row r="1428" spans="2:7" x14ac:dyDescent="0.25">
      <c r="C1428" t="s">
        <v>2321</v>
      </c>
      <c r="D1428">
        <v>0.03</v>
      </c>
      <c r="E1428">
        <v>0</v>
      </c>
      <c r="F1428">
        <v>0</v>
      </c>
      <c r="G1428">
        <v>0.03</v>
      </c>
    </row>
    <row r="1429" spans="2:7" x14ac:dyDescent="0.25">
      <c r="C1429" t="s">
        <v>2071</v>
      </c>
      <c r="D1429">
        <v>0</v>
      </c>
      <c r="E1429">
        <v>0</v>
      </c>
      <c r="F1429">
        <v>0</v>
      </c>
      <c r="G1429">
        <v>0</v>
      </c>
    </row>
    <row r="1430" spans="2:7" x14ac:dyDescent="0.25">
      <c r="C1430" t="s">
        <v>1733</v>
      </c>
      <c r="D1430">
        <v>101.61</v>
      </c>
      <c r="E1430">
        <v>0</v>
      </c>
      <c r="F1430">
        <v>0</v>
      </c>
      <c r="G1430">
        <v>101.61</v>
      </c>
    </row>
    <row r="1431" spans="2:7" x14ac:dyDescent="0.25">
      <c r="C1431" t="s">
        <v>2355</v>
      </c>
      <c r="D1431" s="104">
        <v>3733796.65</v>
      </c>
      <c r="E1431">
        <v>0</v>
      </c>
      <c r="F1431" s="104">
        <v>370552.05</v>
      </c>
      <c r="G1431" s="104">
        <v>4104348.7</v>
      </c>
    </row>
    <row r="1432" spans="2:7" x14ac:dyDescent="0.25">
      <c r="C1432" t="s">
        <v>2356</v>
      </c>
      <c r="D1432" s="104">
        <v>1180353.8999999999</v>
      </c>
      <c r="E1432">
        <v>0</v>
      </c>
      <c r="F1432" s="104">
        <v>118173.6</v>
      </c>
      <c r="G1432" s="104">
        <v>1298527.5</v>
      </c>
    </row>
    <row r="1433" spans="2:7" x14ac:dyDescent="0.25">
      <c r="B1433" t="s">
        <v>1587</v>
      </c>
      <c r="D1433" s="104">
        <v>5271144</v>
      </c>
      <c r="E1433" s="104">
        <v>47181.93</v>
      </c>
      <c r="F1433" s="104">
        <v>738496.37</v>
      </c>
      <c r="G1433" s="104">
        <v>5962458.4400000004</v>
      </c>
    </row>
    <row r="1435" spans="2:7" x14ac:dyDescent="0.25">
      <c r="B1435">
        <v>30101020</v>
      </c>
      <c r="C1435" t="s">
        <v>348</v>
      </c>
    </row>
    <row r="1436" spans="2:7" x14ac:dyDescent="0.25">
      <c r="C1436" t="s">
        <v>2357</v>
      </c>
      <c r="D1436" s="104">
        <v>8493703483.0699997</v>
      </c>
      <c r="E1436">
        <v>0</v>
      </c>
      <c r="F1436">
        <v>0</v>
      </c>
      <c r="G1436" s="104">
        <v>8493703483.0699997</v>
      </c>
    </row>
    <row r="1437" spans="2:7" x14ac:dyDescent="0.25">
      <c r="B1437" t="s">
        <v>1587</v>
      </c>
      <c r="D1437" s="104">
        <v>8493703483.0699997</v>
      </c>
      <c r="E1437">
        <v>0</v>
      </c>
      <c r="F1437">
        <v>0</v>
      </c>
      <c r="G1437" s="104">
        <v>8493703483.0699997</v>
      </c>
    </row>
    <row r="1439" spans="2:7" x14ac:dyDescent="0.25">
      <c r="B1439">
        <v>30101030</v>
      </c>
      <c r="C1439" t="s">
        <v>2358</v>
      </c>
    </row>
    <row r="1440" spans="2:7" x14ac:dyDescent="0.25">
      <c r="B1440">
        <v>30701010</v>
      </c>
      <c r="C1440" t="s">
        <v>352</v>
      </c>
    </row>
    <row r="1441" spans="3:7" x14ac:dyDescent="0.25">
      <c r="C1441" t="s">
        <v>2359</v>
      </c>
      <c r="D1441" s="104">
        <v>109100000</v>
      </c>
      <c r="E1441">
        <v>0</v>
      </c>
      <c r="F1441">
        <v>0</v>
      </c>
      <c r="G1441" s="104">
        <v>109100000</v>
      </c>
    </row>
    <row r="1442" spans="3:7" x14ac:dyDescent="0.25">
      <c r="C1442" t="s">
        <v>2360</v>
      </c>
      <c r="D1442" s="104">
        <v>21971886889.189999</v>
      </c>
      <c r="E1442">
        <v>0</v>
      </c>
      <c r="F1442">
        <v>0</v>
      </c>
      <c r="G1442" s="104">
        <v>21971886889.189999</v>
      </c>
    </row>
    <row r="1443" spans="3:7" x14ac:dyDescent="0.25">
      <c r="C1443" t="s">
        <v>2361</v>
      </c>
      <c r="D1443" s="104">
        <v>-1783699319.6800001</v>
      </c>
      <c r="E1443" s="104">
        <v>233613.21</v>
      </c>
      <c r="F1443">
        <v>0</v>
      </c>
      <c r="G1443" s="104">
        <v>-1783932932.8900001</v>
      </c>
    </row>
    <row r="1444" spans="3:7" x14ac:dyDescent="0.25">
      <c r="C1444" t="s">
        <v>2362</v>
      </c>
      <c r="D1444" s="104">
        <v>-33333.18</v>
      </c>
      <c r="E1444">
        <v>0</v>
      </c>
      <c r="F1444">
        <v>0</v>
      </c>
      <c r="G1444" s="104">
        <v>-33333.18</v>
      </c>
    </row>
    <row r="1445" spans="3:7" x14ac:dyDescent="0.25">
      <c r="C1445" t="s">
        <v>1974</v>
      </c>
      <c r="D1445" s="104">
        <v>19354.84</v>
      </c>
      <c r="E1445">
        <v>0</v>
      </c>
      <c r="F1445">
        <v>0</v>
      </c>
      <c r="G1445" s="104">
        <v>19354.84</v>
      </c>
    </row>
    <row r="1446" spans="3:7" x14ac:dyDescent="0.25">
      <c r="C1446" t="s">
        <v>2035</v>
      </c>
      <c r="D1446" s="104">
        <v>130548.9</v>
      </c>
      <c r="E1446">
        <v>0</v>
      </c>
      <c r="F1446">
        <v>0</v>
      </c>
      <c r="G1446" s="104">
        <v>130548.9</v>
      </c>
    </row>
    <row r="1447" spans="3:7" x14ac:dyDescent="0.25">
      <c r="C1447" t="s">
        <v>2270</v>
      </c>
      <c r="D1447">
        <v>-0.01</v>
      </c>
      <c r="E1447">
        <v>0</v>
      </c>
      <c r="F1447">
        <v>0</v>
      </c>
      <c r="G1447">
        <v>-0.01</v>
      </c>
    </row>
    <row r="1448" spans="3:7" x14ac:dyDescent="0.25">
      <c r="C1448" t="s">
        <v>2073</v>
      </c>
      <c r="D1448" s="104">
        <v>5676471.4400000004</v>
      </c>
      <c r="E1448">
        <v>0</v>
      </c>
      <c r="F1448">
        <v>0</v>
      </c>
      <c r="G1448" s="104">
        <v>5676471.4400000004</v>
      </c>
    </row>
    <row r="1449" spans="3:7" x14ac:dyDescent="0.25">
      <c r="C1449" t="s">
        <v>1819</v>
      </c>
      <c r="D1449" s="104">
        <v>25926.74</v>
      </c>
      <c r="E1449">
        <v>0</v>
      </c>
      <c r="F1449">
        <v>0</v>
      </c>
      <c r="G1449" s="104">
        <v>25926.74</v>
      </c>
    </row>
    <row r="1450" spans="3:7" x14ac:dyDescent="0.25">
      <c r="C1450" t="s">
        <v>2033</v>
      </c>
      <c r="D1450">
        <v>100</v>
      </c>
      <c r="E1450">
        <v>0</v>
      </c>
      <c r="F1450">
        <v>0</v>
      </c>
      <c r="G1450">
        <v>100</v>
      </c>
    </row>
    <row r="1451" spans="3:7" x14ac:dyDescent="0.25">
      <c r="C1451" t="s">
        <v>2363</v>
      </c>
      <c r="D1451" s="104">
        <v>2500</v>
      </c>
      <c r="E1451">
        <v>0</v>
      </c>
      <c r="F1451">
        <v>0</v>
      </c>
      <c r="G1451" s="104">
        <v>2500</v>
      </c>
    </row>
    <row r="1452" spans="3:7" x14ac:dyDescent="0.25">
      <c r="C1452" t="s">
        <v>2273</v>
      </c>
      <c r="D1452" s="104">
        <v>66666.66</v>
      </c>
      <c r="E1452">
        <v>0</v>
      </c>
      <c r="F1452">
        <v>0</v>
      </c>
      <c r="G1452" s="104">
        <v>66666.66</v>
      </c>
    </row>
    <row r="1453" spans="3:7" x14ac:dyDescent="0.25">
      <c r="C1453" t="s">
        <v>1955</v>
      </c>
      <c r="D1453" s="104">
        <v>1695.61</v>
      </c>
      <c r="E1453">
        <v>0</v>
      </c>
      <c r="F1453">
        <v>0</v>
      </c>
      <c r="G1453" s="104">
        <v>1695.61</v>
      </c>
    </row>
    <row r="1454" spans="3:7" x14ac:dyDescent="0.25">
      <c r="C1454" t="s">
        <v>1893</v>
      </c>
      <c r="D1454" s="104">
        <v>-1419130088.77</v>
      </c>
      <c r="E1454">
        <v>0</v>
      </c>
      <c r="F1454">
        <v>0</v>
      </c>
      <c r="G1454" s="104">
        <v>-1419130088.77</v>
      </c>
    </row>
    <row r="1455" spans="3:7" x14ac:dyDescent="0.25">
      <c r="C1455" t="s">
        <v>1822</v>
      </c>
      <c r="D1455" s="104">
        <v>84451.24</v>
      </c>
      <c r="E1455">
        <v>270</v>
      </c>
      <c r="F1455">
        <v>0</v>
      </c>
      <c r="G1455" s="104">
        <v>84181.24</v>
      </c>
    </row>
    <row r="1456" spans="3:7" x14ac:dyDescent="0.25">
      <c r="C1456" t="s">
        <v>1823</v>
      </c>
      <c r="D1456" s="104">
        <v>-181552.8</v>
      </c>
      <c r="E1456">
        <v>0</v>
      </c>
      <c r="F1456">
        <v>0</v>
      </c>
      <c r="G1456" s="104">
        <v>-181552.8</v>
      </c>
    </row>
    <row r="1457" spans="3:7" x14ac:dyDescent="0.25">
      <c r="C1457" t="s">
        <v>2364</v>
      </c>
      <c r="D1457" s="104">
        <v>5357.14</v>
      </c>
      <c r="E1457">
        <v>0</v>
      </c>
      <c r="F1457">
        <v>0</v>
      </c>
      <c r="G1457" s="104">
        <v>5357.14</v>
      </c>
    </row>
    <row r="1458" spans="3:7" x14ac:dyDescent="0.25">
      <c r="C1458" t="s">
        <v>2197</v>
      </c>
      <c r="D1458" s="104">
        <v>8590089.5099999998</v>
      </c>
      <c r="E1458">
        <v>0</v>
      </c>
      <c r="F1458">
        <v>0</v>
      </c>
      <c r="G1458" s="104">
        <v>8590089.5099999998</v>
      </c>
    </row>
    <row r="1459" spans="3:7" x14ac:dyDescent="0.25">
      <c r="C1459" t="s">
        <v>1824</v>
      </c>
      <c r="D1459" s="104">
        <v>5353.11</v>
      </c>
      <c r="E1459">
        <v>0</v>
      </c>
      <c r="F1459">
        <v>0</v>
      </c>
      <c r="G1459" s="104">
        <v>5353.11</v>
      </c>
    </row>
    <row r="1460" spans="3:7" x14ac:dyDescent="0.25">
      <c r="C1460" t="s">
        <v>1825</v>
      </c>
      <c r="D1460" s="104">
        <v>-7387.3</v>
      </c>
      <c r="E1460">
        <v>0</v>
      </c>
      <c r="F1460">
        <v>0</v>
      </c>
      <c r="G1460" s="104">
        <v>-7387.3</v>
      </c>
    </row>
    <row r="1461" spans="3:7" x14ac:dyDescent="0.25">
      <c r="C1461" t="s">
        <v>2004</v>
      </c>
      <c r="D1461" s="104">
        <v>-291343.06</v>
      </c>
      <c r="E1461">
        <v>0</v>
      </c>
      <c r="F1461">
        <v>0</v>
      </c>
      <c r="G1461" s="104">
        <v>-291343.06</v>
      </c>
    </row>
    <row r="1462" spans="3:7" x14ac:dyDescent="0.25">
      <c r="C1462" t="s">
        <v>2160</v>
      </c>
      <c r="D1462" s="104">
        <v>11000</v>
      </c>
      <c r="E1462">
        <v>0</v>
      </c>
      <c r="F1462">
        <v>0</v>
      </c>
      <c r="G1462" s="104">
        <v>11000</v>
      </c>
    </row>
    <row r="1463" spans="3:7" x14ac:dyDescent="0.25">
      <c r="C1463" t="s">
        <v>2005</v>
      </c>
      <c r="D1463" s="104">
        <v>-56369.760000000002</v>
      </c>
      <c r="E1463">
        <v>0</v>
      </c>
      <c r="F1463">
        <v>0</v>
      </c>
      <c r="G1463" s="104">
        <v>-56369.760000000002</v>
      </c>
    </row>
    <row r="1464" spans="3:7" x14ac:dyDescent="0.25">
      <c r="C1464" t="s">
        <v>1855</v>
      </c>
      <c r="D1464" s="104">
        <v>740740.67</v>
      </c>
      <c r="E1464">
        <v>0</v>
      </c>
      <c r="F1464">
        <v>0</v>
      </c>
      <c r="G1464" s="104">
        <v>740740.67</v>
      </c>
    </row>
    <row r="1465" spans="3:7" x14ac:dyDescent="0.25">
      <c r="C1465" t="s">
        <v>1804</v>
      </c>
      <c r="D1465" s="104">
        <v>18426100</v>
      </c>
      <c r="E1465">
        <v>0</v>
      </c>
      <c r="F1465">
        <v>0</v>
      </c>
      <c r="G1465" s="104">
        <v>18426100</v>
      </c>
    </row>
    <row r="1466" spans="3:7" x14ac:dyDescent="0.25">
      <c r="C1466" t="s">
        <v>1828</v>
      </c>
      <c r="D1466" s="104">
        <v>-1393471</v>
      </c>
      <c r="E1466">
        <v>0</v>
      </c>
      <c r="F1466">
        <v>0</v>
      </c>
      <c r="G1466" s="104">
        <v>-1393471</v>
      </c>
    </row>
    <row r="1467" spans="3:7" x14ac:dyDescent="0.25">
      <c r="C1467" t="s">
        <v>1787</v>
      </c>
      <c r="D1467" s="104">
        <v>-1119.92</v>
      </c>
      <c r="E1467">
        <v>0</v>
      </c>
      <c r="F1467">
        <v>0</v>
      </c>
      <c r="G1467" s="104">
        <v>-1119.92</v>
      </c>
    </row>
    <row r="1468" spans="3:7" x14ac:dyDescent="0.25">
      <c r="C1468" t="s">
        <v>1768</v>
      </c>
      <c r="D1468" s="104">
        <v>112776.12</v>
      </c>
      <c r="E1468">
        <v>0</v>
      </c>
      <c r="F1468">
        <v>0</v>
      </c>
      <c r="G1468" s="104">
        <v>112776.12</v>
      </c>
    </row>
    <row r="1469" spans="3:7" x14ac:dyDescent="0.25">
      <c r="C1469" t="s">
        <v>1857</v>
      </c>
      <c r="D1469" s="104">
        <v>3140.01</v>
      </c>
      <c r="E1469">
        <v>0</v>
      </c>
      <c r="F1469">
        <v>0</v>
      </c>
      <c r="G1469" s="104">
        <v>3140.01</v>
      </c>
    </row>
    <row r="1470" spans="3:7" x14ac:dyDescent="0.25">
      <c r="C1470" t="s">
        <v>1745</v>
      </c>
      <c r="D1470" s="104">
        <v>1874812.02</v>
      </c>
      <c r="E1470">
        <v>0</v>
      </c>
      <c r="F1470">
        <v>0</v>
      </c>
      <c r="G1470" s="104">
        <v>1874812.02</v>
      </c>
    </row>
    <row r="1471" spans="3:7" x14ac:dyDescent="0.25">
      <c r="C1471" t="s">
        <v>1753</v>
      </c>
      <c r="D1471" s="104">
        <v>-14001436.32</v>
      </c>
      <c r="E1471">
        <v>0</v>
      </c>
      <c r="F1471">
        <v>0</v>
      </c>
      <c r="G1471" s="104">
        <v>-14001436.32</v>
      </c>
    </row>
    <row r="1472" spans="3:7" x14ac:dyDescent="0.25">
      <c r="C1472" t="s">
        <v>2161</v>
      </c>
      <c r="D1472">
        <v>270</v>
      </c>
      <c r="E1472">
        <v>0</v>
      </c>
      <c r="F1472">
        <v>0</v>
      </c>
      <c r="G1472">
        <v>270</v>
      </c>
    </row>
    <row r="1473" spans="3:7" x14ac:dyDescent="0.25">
      <c r="C1473" t="s">
        <v>1754</v>
      </c>
      <c r="D1473" s="104">
        <v>-2815716.9</v>
      </c>
      <c r="E1473">
        <v>0</v>
      </c>
      <c r="F1473">
        <v>0</v>
      </c>
      <c r="G1473" s="104">
        <v>-2815716.9</v>
      </c>
    </row>
    <row r="1474" spans="3:7" x14ac:dyDescent="0.25">
      <c r="C1474" t="s">
        <v>1805</v>
      </c>
      <c r="D1474" s="104">
        <v>51500000</v>
      </c>
      <c r="E1474">
        <v>0</v>
      </c>
      <c r="F1474">
        <v>0</v>
      </c>
      <c r="G1474" s="104">
        <v>51500000</v>
      </c>
    </row>
    <row r="1475" spans="3:7" x14ac:dyDescent="0.25">
      <c r="C1475" t="s">
        <v>1806</v>
      </c>
      <c r="D1475" s="104">
        <v>440000</v>
      </c>
      <c r="E1475">
        <v>0</v>
      </c>
      <c r="F1475">
        <v>0</v>
      </c>
      <c r="G1475" s="104">
        <v>440000</v>
      </c>
    </row>
    <row r="1476" spans="3:7" x14ac:dyDescent="0.25">
      <c r="C1476" t="s">
        <v>1830</v>
      </c>
      <c r="D1476" s="104">
        <v>188459.58</v>
      </c>
      <c r="E1476">
        <v>0</v>
      </c>
      <c r="F1476">
        <v>0</v>
      </c>
      <c r="G1476" s="104">
        <v>188459.58</v>
      </c>
    </row>
    <row r="1477" spans="3:7" x14ac:dyDescent="0.25">
      <c r="C1477" t="s">
        <v>1755</v>
      </c>
      <c r="D1477" s="104">
        <v>-4218100.72</v>
      </c>
      <c r="E1477">
        <v>0</v>
      </c>
      <c r="F1477">
        <v>0</v>
      </c>
      <c r="G1477" s="104">
        <v>-4218100.72</v>
      </c>
    </row>
    <row r="1478" spans="3:7" x14ac:dyDescent="0.25">
      <c r="C1478" t="s">
        <v>1756</v>
      </c>
      <c r="D1478" s="104">
        <v>-5704684.9400000004</v>
      </c>
      <c r="E1478">
        <v>0</v>
      </c>
      <c r="F1478">
        <v>0</v>
      </c>
      <c r="G1478" s="104">
        <v>-5704684.9400000004</v>
      </c>
    </row>
    <row r="1479" spans="3:7" x14ac:dyDescent="0.25">
      <c r="C1479" t="s">
        <v>2098</v>
      </c>
      <c r="D1479" s="104">
        <v>-11788475.220000001</v>
      </c>
      <c r="E1479">
        <v>0</v>
      </c>
      <c r="F1479">
        <v>0</v>
      </c>
      <c r="G1479" s="104">
        <v>-11788475.220000001</v>
      </c>
    </row>
    <row r="1480" spans="3:7" x14ac:dyDescent="0.25">
      <c r="C1480" t="s">
        <v>2091</v>
      </c>
      <c r="D1480" s="104">
        <v>-536074515.36000001</v>
      </c>
      <c r="E1480">
        <v>0</v>
      </c>
      <c r="F1480">
        <v>0</v>
      </c>
      <c r="G1480" s="104">
        <v>-536074515.36000001</v>
      </c>
    </row>
    <row r="1481" spans="3:7" x14ac:dyDescent="0.25">
      <c r="C1481" t="s">
        <v>2365</v>
      </c>
      <c r="D1481" s="104">
        <v>12345.54</v>
      </c>
      <c r="E1481">
        <v>0</v>
      </c>
      <c r="F1481">
        <v>0</v>
      </c>
      <c r="G1481" s="104">
        <v>12345.54</v>
      </c>
    </row>
    <row r="1482" spans="3:7" x14ac:dyDescent="0.25">
      <c r="C1482" t="s">
        <v>1840</v>
      </c>
      <c r="D1482" s="104">
        <v>73274.7</v>
      </c>
      <c r="E1482">
        <v>0</v>
      </c>
      <c r="F1482">
        <v>0</v>
      </c>
      <c r="G1482" s="104">
        <v>73274.7</v>
      </c>
    </row>
    <row r="1483" spans="3:7" x14ac:dyDescent="0.25">
      <c r="C1483" t="s">
        <v>2256</v>
      </c>
      <c r="D1483" s="104">
        <v>-138146693.34</v>
      </c>
      <c r="E1483">
        <v>0</v>
      </c>
      <c r="F1483">
        <v>0</v>
      </c>
      <c r="G1483" s="104">
        <v>-138146693.34</v>
      </c>
    </row>
    <row r="1484" spans="3:7" x14ac:dyDescent="0.25">
      <c r="C1484" t="s">
        <v>2366</v>
      </c>
      <c r="D1484" s="104">
        <v>4800</v>
      </c>
      <c r="E1484">
        <v>0</v>
      </c>
      <c r="F1484">
        <v>0</v>
      </c>
      <c r="G1484" s="104">
        <v>4800</v>
      </c>
    </row>
    <row r="1485" spans="3:7" x14ac:dyDescent="0.25">
      <c r="C1485" t="s">
        <v>2367</v>
      </c>
      <c r="D1485" s="104">
        <v>225000</v>
      </c>
      <c r="E1485">
        <v>0</v>
      </c>
      <c r="F1485">
        <v>0</v>
      </c>
      <c r="G1485" s="104">
        <v>225000</v>
      </c>
    </row>
    <row r="1486" spans="3:7" x14ac:dyDescent="0.25">
      <c r="C1486" t="s">
        <v>2280</v>
      </c>
      <c r="D1486" s="104">
        <v>-7737</v>
      </c>
      <c r="E1486">
        <v>0</v>
      </c>
      <c r="F1486">
        <v>0</v>
      </c>
      <c r="G1486" s="104">
        <v>-7737</v>
      </c>
    </row>
    <row r="1487" spans="3:7" x14ac:dyDescent="0.25">
      <c r="C1487" t="s">
        <v>2266</v>
      </c>
      <c r="D1487" s="104">
        <v>71500</v>
      </c>
      <c r="E1487">
        <v>0</v>
      </c>
      <c r="F1487">
        <v>0</v>
      </c>
      <c r="G1487" s="104">
        <v>71500</v>
      </c>
    </row>
    <row r="1488" spans="3:7" x14ac:dyDescent="0.25">
      <c r="C1488" t="s">
        <v>1842</v>
      </c>
      <c r="D1488" s="104">
        <v>-21831.67</v>
      </c>
      <c r="E1488">
        <v>0</v>
      </c>
      <c r="F1488">
        <v>0</v>
      </c>
      <c r="G1488" s="104">
        <v>-21831.67</v>
      </c>
    </row>
    <row r="1489" spans="3:7" x14ac:dyDescent="0.25">
      <c r="C1489" t="s">
        <v>1807</v>
      </c>
      <c r="D1489" s="104">
        <v>45000</v>
      </c>
      <c r="E1489">
        <v>0</v>
      </c>
      <c r="F1489">
        <v>0</v>
      </c>
      <c r="G1489" s="104">
        <v>45000</v>
      </c>
    </row>
    <row r="1490" spans="3:7" x14ac:dyDescent="0.25">
      <c r="C1490" t="s">
        <v>1844</v>
      </c>
      <c r="D1490" s="104">
        <v>96541.25</v>
      </c>
      <c r="E1490">
        <v>0</v>
      </c>
      <c r="F1490">
        <v>0</v>
      </c>
      <c r="G1490" s="104">
        <v>96541.25</v>
      </c>
    </row>
    <row r="1491" spans="3:7" x14ac:dyDescent="0.25">
      <c r="C1491" t="s">
        <v>1845</v>
      </c>
      <c r="D1491" s="104">
        <v>-6262.89</v>
      </c>
      <c r="E1491">
        <v>0</v>
      </c>
      <c r="F1491">
        <v>0</v>
      </c>
      <c r="G1491" s="104">
        <v>-6262.89</v>
      </c>
    </row>
    <row r="1492" spans="3:7" x14ac:dyDescent="0.25">
      <c r="C1492" t="s">
        <v>2368</v>
      </c>
      <c r="D1492" s="104">
        <v>356800</v>
      </c>
      <c r="E1492">
        <v>0</v>
      </c>
      <c r="F1492">
        <v>0</v>
      </c>
      <c r="G1492" s="104">
        <v>356800</v>
      </c>
    </row>
    <row r="1493" spans="3:7" x14ac:dyDescent="0.25">
      <c r="C1493" t="s">
        <v>2231</v>
      </c>
      <c r="D1493">
        <v>-1</v>
      </c>
      <c r="E1493">
        <v>0</v>
      </c>
      <c r="F1493">
        <v>0</v>
      </c>
      <c r="G1493">
        <v>-1</v>
      </c>
    </row>
    <row r="1494" spans="3:7" x14ac:dyDescent="0.25">
      <c r="C1494" t="s">
        <v>1846</v>
      </c>
      <c r="D1494" s="104">
        <v>-23518.47</v>
      </c>
      <c r="E1494">
        <v>0</v>
      </c>
      <c r="F1494">
        <v>0</v>
      </c>
      <c r="G1494" s="104">
        <v>-23518.47</v>
      </c>
    </row>
    <row r="1495" spans="3:7" x14ac:dyDescent="0.25">
      <c r="C1495" t="s">
        <v>2369</v>
      </c>
      <c r="D1495" s="104">
        <v>2399.5500000000002</v>
      </c>
      <c r="E1495">
        <v>0</v>
      </c>
      <c r="F1495">
        <v>0</v>
      </c>
      <c r="G1495" s="104">
        <v>2399.5500000000002</v>
      </c>
    </row>
    <row r="1496" spans="3:7" x14ac:dyDescent="0.25">
      <c r="C1496" t="s">
        <v>1850</v>
      </c>
      <c r="D1496" s="104">
        <v>-273188.64</v>
      </c>
      <c r="E1496">
        <v>0</v>
      </c>
      <c r="F1496">
        <v>0</v>
      </c>
      <c r="G1496" s="104">
        <v>-273188.64</v>
      </c>
    </row>
    <row r="1497" spans="3:7" x14ac:dyDescent="0.25">
      <c r="C1497" t="s">
        <v>1851</v>
      </c>
      <c r="D1497" s="104">
        <v>-1467.48</v>
      </c>
      <c r="E1497">
        <v>0</v>
      </c>
      <c r="F1497">
        <v>0</v>
      </c>
      <c r="G1497" s="104">
        <v>-1467.48</v>
      </c>
    </row>
    <row r="1498" spans="3:7" x14ac:dyDescent="0.25">
      <c r="C1498" t="s">
        <v>1852</v>
      </c>
      <c r="D1498" s="104">
        <v>-37888.32</v>
      </c>
      <c r="E1498">
        <v>0</v>
      </c>
      <c r="F1498">
        <v>0</v>
      </c>
      <c r="G1498" s="104">
        <v>-37888.32</v>
      </c>
    </row>
    <row r="1499" spans="3:7" x14ac:dyDescent="0.25">
      <c r="C1499" t="s">
        <v>1862</v>
      </c>
      <c r="D1499" s="104">
        <v>-13781.25</v>
      </c>
      <c r="E1499">
        <v>0</v>
      </c>
      <c r="F1499">
        <v>0</v>
      </c>
      <c r="G1499" s="104">
        <v>-13781.25</v>
      </c>
    </row>
    <row r="1500" spans="3:7" x14ac:dyDescent="0.25">
      <c r="C1500" t="s">
        <v>2370</v>
      </c>
      <c r="D1500" s="104">
        <v>90000</v>
      </c>
      <c r="E1500">
        <v>0</v>
      </c>
      <c r="F1500">
        <v>0</v>
      </c>
      <c r="G1500" s="104">
        <v>90000</v>
      </c>
    </row>
    <row r="1501" spans="3:7" x14ac:dyDescent="0.25">
      <c r="C1501" t="s">
        <v>1853</v>
      </c>
      <c r="D1501" s="104">
        <v>48049.71</v>
      </c>
      <c r="E1501">
        <v>0</v>
      </c>
      <c r="F1501">
        <v>0</v>
      </c>
      <c r="G1501" s="104">
        <v>48049.71</v>
      </c>
    </row>
    <row r="1502" spans="3:7" x14ac:dyDescent="0.25">
      <c r="C1502" t="s">
        <v>2267</v>
      </c>
      <c r="D1502" s="104">
        <v>163636.37</v>
      </c>
      <c r="E1502">
        <v>0</v>
      </c>
      <c r="F1502">
        <v>0</v>
      </c>
      <c r="G1502" s="104">
        <v>163636.37</v>
      </c>
    </row>
    <row r="1503" spans="3:7" x14ac:dyDescent="0.25">
      <c r="C1503" t="s">
        <v>2371</v>
      </c>
      <c r="D1503" s="104">
        <v>-4131.32</v>
      </c>
      <c r="E1503">
        <v>0</v>
      </c>
      <c r="F1503">
        <v>0</v>
      </c>
      <c r="G1503" s="104">
        <v>-4131.32</v>
      </c>
    </row>
    <row r="1504" spans="3:7" x14ac:dyDescent="0.25">
      <c r="C1504" t="s">
        <v>1867</v>
      </c>
      <c r="D1504" s="104">
        <v>-35518.94</v>
      </c>
      <c r="E1504">
        <v>0</v>
      </c>
      <c r="F1504">
        <v>0</v>
      </c>
      <c r="G1504" s="104">
        <v>-35518.94</v>
      </c>
    </row>
    <row r="1505" spans="3:7" x14ac:dyDescent="0.25">
      <c r="C1505" t="s">
        <v>2253</v>
      </c>
      <c r="D1505" s="104">
        <v>8376944.0499999998</v>
      </c>
      <c r="E1505">
        <v>0</v>
      </c>
      <c r="F1505">
        <v>0</v>
      </c>
      <c r="G1505" s="104">
        <v>8376944.0499999998</v>
      </c>
    </row>
    <row r="1506" spans="3:7" x14ac:dyDescent="0.25">
      <c r="C1506" t="s">
        <v>2372</v>
      </c>
      <c r="D1506" s="104">
        <v>-15142.86</v>
      </c>
      <c r="E1506">
        <v>0</v>
      </c>
      <c r="F1506">
        <v>0</v>
      </c>
      <c r="G1506" s="104">
        <v>-15142.86</v>
      </c>
    </row>
    <row r="1507" spans="3:7" x14ac:dyDescent="0.25">
      <c r="C1507" t="s">
        <v>2268</v>
      </c>
      <c r="D1507" s="104">
        <v>181196.98</v>
      </c>
      <c r="E1507">
        <v>0</v>
      </c>
      <c r="F1507">
        <v>0</v>
      </c>
      <c r="G1507" s="104">
        <v>181196.98</v>
      </c>
    </row>
    <row r="1508" spans="3:7" x14ac:dyDescent="0.25">
      <c r="C1508" t="s">
        <v>2373</v>
      </c>
      <c r="D1508">
        <v>247.77</v>
      </c>
      <c r="E1508">
        <v>0</v>
      </c>
      <c r="F1508">
        <v>0</v>
      </c>
      <c r="G1508">
        <v>247.77</v>
      </c>
    </row>
    <row r="1509" spans="3:7" x14ac:dyDescent="0.25">
      <c r="C1509" t="s">
        <v>2374</v>
      </c>
      <c r="D1509" s="104">
        <v>107625</v>
      </c>
      <c r="E1509">
        <v>0</v>
      </c>
      <c r="F1509">
        <v>0</v>
      </c>
      <c r="G1509" s="104">
        <v>107625</v>
      </c>
    </row>
    <row r="1510" spans="3:7" x14ac:dyDescent="0.25">
      <c r="C1510" t="s">
        <v>1814</v>
      </c>
      <c r="D1510" s="104">
        <v>-133521.96</v>
      </c>
      <c r="E1510">
        <v>0</v>
      </c>
      <c r="F1510">
        <v>0</v>
      </c>
      <c r="G1510" s="104">
        <v>-133521.96</v>
      </c>
    </row>
    <row r="1511" spans="3:7" x14ac:dyDescent="0.25">
      <c r="C1511" t="s">
        <v>1724</v>
      </c>
      <c r="D1511" s="104">
        <v>2979.99</v>
      </c>
      <c r="E1511">
        <v>0</v>
      </c>
      <c r="F1511">
        <v>0</v>
      </c>
      <c r="G1511" s="104">
        <v>2979.99</v>
      </c>
    </row>
    <row r="1512" spans="3:7" x14ac:dyDescent="0.25">
      <c r="C1512" t="s">
        <v>2204</v>
      </c>
      <c r="D1512" s="104">
        <v>3297.11</v>
      </c>
      <c r="E1512">
        <v>0</v>
      </c>
      <c r="F1512">
        <v>0</v>
      </c>
      <c r="G1512" s="104">
        <v>3297.11</v>
      </c>
    </row>
    <row r="1513" spans="3:7" x14ac:dyDescent="0.25">
      <c r="C1513" t="s">
        <v>2375</v>
      </c>
      <c r="D1513" s="104">
        <v>1057.5</v>
      </c>
      <c r="E1513">
        <v>0</v>
      </c>
      <c r="F1513">
        <v>0</v>
      </c>
      <c r="G1513" s="104">
        <v>1057.5</v>
      </c>
    </row>
    <row r="1514" spans="3:7" x14ac:dyDescent="0.25">
      <c r="C1514" t="s">
        <v>2376</v>
      </c>
      <c r="D1514" s="104">
        <v>120723.43</v>
      </c>
      <c r="E1514">
        <v>0</v>
      </c>
      <c r="F1514">
        <v>0</v>
      </c>
      <c r="G1514" s="104">
        <v>120723.43</v>
      </c>
    </row>
    <row r="1515" spans="3:7" x14ac:dyDescent="0.25">
      <c r="C1515" t="s">
        <v>2377</v>
      </c>
      <c r="D1515">
        <v>-950</v>
      </c>
      <c r="E1515">
        <v>0</v>
      </c>
      <c r="F1515">
        <v>0</v>
      </c>
      <c r="G1515">
        <v>-950</v>
      </c>
    </row>
    <row r="1516" spans="3:7" x14ac:dyDescent="0.25">
      <c r="C1516" t="s">
        <v>2206</v>
      </c>
      <c r="D1516" s="104">
        <v>1173</v>
      </c>
      <c r="E1516">
        <v>0</v>
      </c>
      <c r="F1516">
        <v>0</v>
      </c>
      <c r="G1516" s="104">
        <v>1173</v>
      </c>
    </row>
    <row r="1517" spans="3:7" x14ac:dyDescent="0.25">
      <c r="C1517" t="s">
        <v>2208</v>
      </c>
      <c r="D1517" s="104">
        <v>14188.95</v>
      </c>
      <c r="E1517">
        <v>0</v>
      </c>
      <c r="F1517">
        <v>0</v>
      </c>
      <c r="G1517" s="104">
        <v>14188.95</v>
      </c>
    </row>
    <row r="1518" spans="3:7" x14ac:dyDescent="0.25">
      <c r="C1518" t="s">
        <v>2378</v>
      </c>
      <c r="D1518" s="104">
        <v>-8902283.8499999996</v>
      </c>
      <c r="E1518">
        <v>0</v>
      </c>
      <c r="F1518">
        <v>0</v>
      </c>
      <c r="G1518" s="104">
        <v>-8902283.8499999996</v>
      </c>
    </row>
    <row r="1519" spans="3:7" x14ac:dyDescent="0.25">
      <c r="C1519" t="s">
        <v>2258</v>
      </c>
      <c r="D1519" s="104">
        <v>380736534.85000002</v>
      </c>
      <c r="E1519">
        <v>0</v>
      </c>
      <c r="F1519">
        <v>0</v>
      </c>
      <c r="G1519" s="104">
        <v>380736534.85000002</v>
      </c>
    </row>
    <row r="1520" spans="3:7" x14ac:dyDescent="0.25">
      <c r="C1520" t="s">
        <v>2379</v>
      </c>
      <c r="D1520" s="104">
        <v>309339.19</v>
      </c>
      <c r="E1520">
        <v>0</v>
      </c>
      <c r="F1520">
        <v>0</v>
      </c>
      <c r="G1520" s="104">
        <v>309339.19</v>
      </c>
    </row>
    <row r="1521" spans="3:7" x14ac:dyDescent="0.25">
      <c r="C1521" t="s">
        <v>1871</v>
      </c>
      <c r="D1521" s="104">
        <v>20852.86</v>
      </c>
      <c r="E1521">
        <v>0</v>
      </c>
      <c r="F1521">
        <v>0</v>
      </c>
      <c r="G1521" s="104">
        <v>20852.86</v>
      </c>
    </row>
    <row r="1522" spans="3:7" x14ac:dyDescent="0.25">
      <c r="C1522" t="s">
        <v>2299</v>
      </c>
      <c r="D1522" s="104">
        <v>-85256.4</v>
      </c>
      <c r="E1522">
        <v>0</v>
      </c>
      <c r="F1522">
        <v>0</v>
      </c>
      <c r="G1522" s="104">
        <v>-85256.4</v>
      </c>
    </row>
    <row r="1523" spans="3:7" x14ac:dyDescent="0.25">
      <c r="C1523" t="s">
        <v>1982</v>
      </c>
      <c r="D1523">
        <v>90</v>
      </c>
      <c r="E1523">
        <v>0</v>
      </c>
      <c r="F1523">
        <v>0</v>
      </c>
      <c r="G1523">
        <v>90</v>
      </c>
    </row>
    <row r="1524" spans="3:7" x14ac:dyDescent="0.25">
      <c r="C1524" t="s">
        <v>2178</v>
      </c>
      <c r="D1524" s="104">
        <v>83085.08</v>
      </c>
      <c r="E1524">
        <v>0</v>
      </c>
      <c r="F1524">
        <v>0</v>
      </c>
      <c r="G1524" s="104">
        <v>83085.08</v>
      </c>
    </row>
    <row r="1525" spans="3:7" x14ac:dyDescent="0.25">
      <c r="C1525" t="s">
        <v>2354</v>
      </c>
      <c r="D1525" s="104">
        <v>-1500</v>
      </c>
      <c r="E1525">
        <v>0</v>
      </c>
      <c r="F1525">
        <v>0</v>
      </c>
      <c r="G1525" s="104">
        <v>-1500</v>
      </c>
    </row>
    <row r="1526" spans="3:7" x14ac:dyDescent="0.25">
      <c r="C1526" t="s">
        <v>2220</v>
      </c>
      <c r="D1526" s="104">
        <v>-28571.42</v>
      </c>
      <c r="E1526">
        <v>0</v>
      </c>
      <c r="F1526">
        <v>0</v>
      </c>
      <c r="G1526" s="104">
        <v>-28571.42</v>
      </c>
    </row>
    <row r="1527" spans="3:7" x14ac:dyDescent="0.25">
      <c r="C1527" t="s">
        <v>2202</v>
      </c>
      <c r="D1527" s="104">
        <v>-140000000</v>
      </c>
      <c r="E1527">
        <v>0</v>
      </c>
      <c r="F1527">
        <v>0</v>
      </c>
      <c r="G1527" s="104">
        <v>-140000000</v>
      </c>
    </row>
    <row r="1528" spans="3:7" x14ac:dyDescent="0.25">
      <c r="C1528" t="s">
        <v>2307</v>
      </c>
      <c r="D1528">
        <v>-871.36</v>
      </c>
      <c r="E1528">
        <v>0</v>
      </c>
      <c r="F1528">
        <v>0</v>
      </c>
      <c r="G1528">
        <v>-871.36</v>
      </c>
    </row>
    <row r="1529" spans="3:7" x14ac:dyDescent="0.25">
      <c r="C1529" t="s">
        <v>2380</v>
      </c>
      <c r="D1529" s="104">
        <v>-35714.29</v>
      </c>
      <c r="E1529">
        <v>0</v>
      </c>
      <c r="F1529">
        <v>0</v>
      </c>
      <c r="G1529" s="104">
        <v>-35714.29</v>
      </c>
    </row>
    <row r="1530" spans="3:7" x14ac:dyDescent="0.25">
      <c r="C1530" t="s">
        <v>1875</v>
      </c>
      <c r="D1530" s="104">
        <v>5418881.25</v>
      </c>
      <c r="E1530">
        <v>0</v>
      </c>
      <c r="F1530">
        <v>0</v>
      </c>
      <c r="G1530" s="104">
        <v>5418881.25</v>
      </c>
    </row>
    <row r="1531" spans="3:7" x14ac:dyDescent="0.25">
      <c r="C1531" t="s">
        <v>2381</v>
      </c>
      <c r="D1531" s="104">
        <v>1006666.68</v>
      </c>
      <c r="E1531">
        <v>0</v>
      </c>
      <c r="F1531">
        <v>0</v>
      </c>
      <c r="G1531" s="104">
        <v>1006666.68</v>
      </c>
    </row>
    <row r="1532" spans="3:7" x14ac:dyDescent="0.25">
      <c r="C1532" t="s">
        <v>1877</v>
      </c>
      <c r="D1532" s="104">
        <v>130000</v>
      </c>
      <c r="E1532">
        <v>0</v>
      </c>
      <c r="F1532">
        <v>0</v>
      </c>
      <c r="G1532" s="104">
        <v>130000</v>
      </c>
    </row>
    <row r="1533" spans="3:7" x14ac:dyDescent="0.25">
      <c r="C1533" t="s">
        <v>2247</v>
      </c>
      <c r="D1533" s="104">
        <v>5000</v>
      </c>
      <c r="E1533">
        <v>0</v>
      </c>
      <c r="F1533">
        <v>0</v>
      </c>
      <c r="G1533" s="104">
        <v>5000</v>
      </c>
    </row>
    <row r="1534" spans="3:7" x14ac:dyDescent="0.25">
      <c r="C1534" t="s">
        <v>2326</v>
      </c>
      <c r="D1534" s="104">
        <v>120000</v>
      </c>
      <c r="E1534">
        <v>0</v>
      </c>
      <c r="F1534">
        <v>0</v>
      </c>
      <c r="G1534" s="104">
        <v>120000</v>
      </c>
    </row>
    <row r="1535" spans="3:7" x14ac:dyDescent="0.25">
      <c r="C1535" t="s">
        <v>1733</v>
      </c>
      <c r="D1535">
        <v>519.75</v>
      </c>
      <c r="E1535">
        <v>0</v>
      </c>
      <c r="F1535">
        <v>0</v>
      </c>
      <c r="G1535">
        <v>519.75</v>
      </c>
    </row>
    <row r="1536" spans="3:7" x14ac:dyDescent="0.25">
      <c r="C1536" t="s">
        <v>2334</v>
      </c>
      <c r="D1536" s="104">
        <v>1545</v>
      </c>
      <c r="E1536">
        <v>0</v>
      </c>
      <c r="F1536">
        <v>0</v>
      </c>
      <c r="G1536" s="104">
        <v>1545</v>
      </c>
    </row>
    <row r="1537" spans="2:7" x14ac:dyDescent="0.25">
      <c r="C1537" t="s">
        <v>2130</v>
      </c>
      <c r="D1537" s="104">
        <v>306918000</v>
      </c>
      <c r="E1537">
        <v>0</v>
      </c>
      <c r="F1537">
        <v>0</v>
      </c>
      <c r="G1537" s="104">
        <v>306918000</v>
      </c>
    </row>
    <row r="1538" spans="2:7" x14ac:dyDescent="0.25">
      <c r="B1538" t="s">
        <v>1587</v>
      </c>
      <c r="D1538" s="104">
        <v>18806469250.939999</v>
      </c>
      <c r="E1538" s="104">
        <v>233883.21</v>
      </c>
      <c r="F1538">
        <v>0</v>
      </c>
      <c r="G1538" s="104">
        <v>18806235367.73</v>
      </c>
    </row>
    <row r="1540" spans="2:7" x14ac:dyDescent="0.25">
      <c r="B1540">
        <v>31001010</v>
      </c>
      <c r="C1540" t="s">
        <v>354</v>
      </c>
    </row>
    <row r="1541" spans="2:7" x14ac:dyDescent="0.25">
      <c r="C1541" t="s">
        <v>1756</v>
      </c>
      <c r="D1541" s="104">
        <v>28883100.600000001</v>
      </c>
      <c r="E1541">
        <v>0</v>
      </c>
      <c r="F1541">
        <v>0</v>
      </c>
      <c r="G1541" s="104">
        <v>28883100.600000001</v>
      </c>
    </row>
    <row r="1542" spans="2:7" x14ac:dyDescent="0.25">
      <c r="B1542" t="s">
        <v>1587</v>
      </c>
      <c r="D1542" s="104">
        <v>28883100.600000001</v>
      </c>
      <c r="E1542">
        <v>0</v>
      </c>
      <c r="F1542">
        <v>0</v>
      </c>
      <c r="G1542" s="104">
        <v>28883100.600000001</v>
      </c>
    </row>
    <row r="1544" spans="2:7" x14ac:dyDescent="0.25">
      <c r="B1544">
        <v>40202050</v>
      </c>
      <c r="C1544" t="s">
        <v>373</v>
      </c>
    </row>
    <row r="1545" spans="2:7" x14ac:dyDescent="0.25">
      <c r="C1545" t="s">
        <v>1854</v>
      </c>
      <c r="D1545" s="104">
        <v>2549385.36</v>
      </c>
      <c r="E1545">
        <v>0</v>
      </c>
      <c r="F1545" s="104">
        <v>185588.56</v>
      </c>
      <c r="G1545" s="104">
        <v>2734973.92</v>
      </c>
    </row>
    <row r="1546" spans="2:7" x14ac:dyDescent="0.25">
      <c r="C1546" t="s">
        <v>1820</v>
      </c>
      <c r="D1546" s="104">
        <v>27416983.039999999</v>
      </c>
      <c r="E1546">
        <v>0</v>
      </c>
      <c r="F1546" s="104">
        <v>3427122.88</v>
      </c>
      <c r="G1546" s="104">
        <v>30844105.920000002</v>
      </c>
    </row>
    <row r="1547" spans="2:7" x14ac:dyDescent="0.25">
      <c r="C1547" t="s">
        <v>1822</v>
      </c>
      <c r="D1547" s="104">
        <v>1323444</v>
      </c>
      <c r="E1547">
        <v>0</v>
      </c>
      <c r="F1547" s="104">
        <v>222108</v>
      </c>
      <c r="G1547" s="104">
        <v>1545552</v>
      </c>
    </row>
    <row r="1548" spans="2:7" x14ac:dyDescent="0.25">
      <c r="C1548" t="s">
        <v>2252</v>
      </c>
      <c r="D1548" s="104">
        <v>2217075.5499999998</v>
      </c>
      <c r="E1548">
        <v>0</v>
      </c>
      <c r="F1548">
        <v>0</v>
      </c>
      <c r="G1548" s="104">
        <v>2217075.5499999998</v>
      </c>
    </row>
    <row r="1549" spans="2:7" x14ac:dyDescent="0.25">
      <c r="C1549" t="s">
        <v>1823</v>
      </c>
      <c r="D1549" s="104">
        <v>8955998.6400000006</v>
      </c>
      <c r="E1549">
        <v>0</v>
      </c>
      <c r="F1549" s="104">
        <v>1119499.83</v>
      </c>
      <c r="G1549" s="104">
        <v>10075498.470000001</v>
      </c>
    </row>
    <row r="1550" spans="2:7" x14ac:dyDescent="0.25">
      <c r="C1550" t="s">
        <v>1824</v>
      </c>
      <c r="D1550" s="104">
        <v>175528.92</v>
      </c>
      <c r="E1550">
        <v>0</v>
      </c>
      <c r="F1550" s="104">
        <v>22682.89</v>
      </c>
      <c r="G1550" s="104">
        <v>198211.81</v>
      </c>
    </row>
    <row r="1551" spans="2:7" x14ac:dyDescent="0.25">
      <c r="C1551" t="s">
        <v>1825</v>
      </c>
      <c r="D1551" s="104">
        <v>492949.64</v>
      </c>
      <c r="E1551">
        <v>0</v>
      </c>
      <c r="F1551" s="104">
        <v>61792.33</v>
      </c>
      <c r="G1551" s="104">
        <v>554741.97</v>
      </c>
    </row>
    <row r="1552" spans="2:7" x14ac:dyDescent="0.25">
      <c r="C1552" t="s">
        <v>1786</v>
      </c>
      <c r="D1552" s="104">
        <v>33600</v>
      </c>
      <c r="E1552">
        <v>0</v>
      </c>
      <c r="F1552" s="104">
        <v>4200</v>
      </c>
      <c r="G1552" s="104">
        <v>37800</v>
      </c>
    </row>
    <row r="1553" spans="3:7" x14ac:dyDescent="0.25">
      <c r="C1553" t="s">
        <v>1828</v>
      </c>
      <c r="D1553" s="104">
        <v>4031201.2</v>
      </c>
      <c r="E1553">
        <v>0</v>
      </c>
      <c r="F1553" s="104">
        <v>599480.51</v>
      </c>
      <c r="G1553" s="104">
        <v>4630681.71</v>
      </c>
    </row>
    <row r="1554" spans="3:7" x14ac:dyDescent="0.25">
      <c r="C1554" t="s">
        <v>1787</v>
      </c>
      <c r="D1554" s="104">
        <v>4884087.33</v>
      </c>
      <c r="E1554">
        <v>0</v>
      </c>
      <c r="F1554" s="104">
        <v>578464.78</v>
      </c>
      <c r="G1554" s="104">
        <v>5462552.1100000003</v>
      </c>
    </row>
    <row r="1555" spans="3:7" x14ac:dyDescent="0.25">
      <c r="C1555" t="s">
        <v>1857</v>
      </c>
      <c r="D1555" s="104">
        <v>155938.04</v>
      </c>
      <c r="E1555">
        <v>0</v>
      </c>
      <c r="F1555" s="104">
        <v>19492.330000000002</v>
      </c>
      <c r="G1555" s="104">
        <v>175430.37</v>
      </c>
    </row>
    <row r="1556" spans="3:7" x14ac:dyDescent="0.25">
      <c r="C1556" t="s">
        <v>1858</v>
      </c>
      <c r="D1556">
        <v>0</v>
      </c>
      <c r="E1556">
        <v>0</v>
      </c>
      <c r="F1556">
        <v>0</v>
      </c>
      <c r="G1556">
        <v>0</v>
      </c>
    </row>
    <row r="1557" spans="3:7" x14ac:dyDescent="0.25">
      <c r="C1557" t="s">
        <v>1754</v>
      </c>
      <c r="D1557" s="104">
        <v>5821895.5999999996</v>
      </c>
      <c r="E1557">
        <v>0</v>
      </c>
      <c r="F1557" s="104">
        <v>1302822.79</v>
      </c>
      <c r="G1557" s="104">
        <v>7124718.3899999997</v>
      </c>
    </row>
    <row r="1558" spans="3:7" x14ac:dyDescent="0.25">
      <c r="C1558" t="s">
        <v>1830</v>
      </c>
      <c r="D1558" s="104">
        <v>2295752.7999999998</v>
      </c>
      <c r="E1558">
        <v>0</v>
      </c>
      <c r="F1558" s="104">
        <v>286969.09999999998</v>
      </c>
      <c r="G1558" s="104">
        <v>2582721.9</v>
      </c>
    </row>
    <row r="1559" spans="3:7" x14ac:dyDescent="0.25">
      <c r="C1559" t="s">
        <v>1835</v>
      </c>
      <c r="D1559" s="104">
        <v>53979.040000000001</v>
      </c>
      <c r="E1559">
        <v>0</v>
      </c>
      <c r="F1559">
        <v>108.34</v>
      </c>
      <c r="G1559" s="104">
        <v>54087.38</v>
      </c>
    </row>
    <row r="1560" spans="3:7" x14ac:dyDescent="0.25">
      <c r="C1560" t="s">
        <v>1841</v>
      </c>
      <c r="D1560">
        <v>0</v>
      </c>
      <c r="E1560">
        <v>0</v>
      </c>
      <c r="F1560">
        <v>0</v>
      </c>
      <c r="G1560">
        <v>0</v>
      </c>
    </row>
    <row r="1561" spans="3:7" x14ac:dyDescent="0.25">
      <c r="C1561" t="s">
        <v>1859</v>
      </c>
      <c r="D1561" s="104">
        <v>354075.65</v>
      </c>
      <c r="E1561">
        <v>0</v>
      </c>
      <c r="F1561" s="104">
        <v>65970</v>
      </c>
      <c r="G1561" s="104">
        <v>420045.65</v>
      </c>
    </row>
    <row r="1562" spans="3:7" x14ac:dyDescent="0.25">
      <c r="C1562" t="s">
        <v>1842</v>
      </c>
      <c r="D1562" s="104">
        <v>2740102.16</v>
      </c>
      <c r="E1562">
        <v>0</v>
      </c>
      <c r="F1562" s="104">
        <v>352488.87</v>
      </c>
      <c r="G1562" s="104">
        <v>3092591.03</v>
      </c>
    </row>
    <row r="1563" spans="3:7" x14ac:dyDescent="0.25">
      <c r="C1563" t="s">
        <v>1844</v>
      </c>
      <c r="D1563" s="104">
        <v>952470.03</v>
      </c>
      <c r="E1563">
        <v>0</v>
      </c>
      <c r="F1563" s="104">
        <v>123425.21</v>
      </c>
      <c r="G1563" s="104">
        <v>1075895.24</v>
      </c>
    </row>
    <row r="1564" spans="3:7" x14ac:dyDescent="0.25">
      <c r="C1564" t="s">
        <v>1845</v>
      </c>
      <c r="D1564">
        <v>0</v>
      </c>
      <c r="E1564">
        <v>0</v>
      </c>
      <c r="F1564">
        <v>0</v>
      </c>
      <c r="G1564">
        <v>0</v>
      </c>
    </row>
    <row r="1565" spans="3:7" x14ac:dyDescent="0.25">
      <c r="C1565" t="s">
        <v>1860</v>
      </c>
      <c r="D1565" s="104">
        <v>353667.44</v>
      </c>
      <c r="E1565">
        <v>0</v>
      </c>
      <c r="F1565" s="104">
        <v>44208.43</v>
      </c>
      <c r="G1565" s="104">
        <v>397875.87</v>
      </c>
    </row>
    <row r="1566" spans="3:7" x14ac:dyDescent="0.25">
      <c r="C1566" t="s">
        <v>1846</v>
      </c>
      <c r="D1566" s="104">
        <v>3333.68</v>
      </c>
      <c r="E1566">
        <v>0</v>
      </c>
      <c r="F1566" s="104">
        <v>1666.84</v>
      </c>
      <c r="G1566" s="104">
        <v>5000.5200000000004</v>
      </c>
    </row>
    <row r="1567" spans="3:7" x14ac:dyDescent="0.25">
      <c r="C1567" t="s">
        <v>1848</v>
      </c>
      <c r="D1567">
        <v>0</v>
      </c>
      <c r="E1567">
        <v>0</v>
      </c>
      <c r="F1567">
        <v>0</v>
      </c>
      <c r="G1567">
        <v>0</v>
      </c>
    </row>
    <row r="1568" spans="3:7" x14ac:dyDescent="0.25">
      <c r="C1568" t="s">
        <v>1850</v>
      </c>
      <c r="D1568" s="104">
        <v>2059531.44</v>
      </c>
      <c r="E1568">
        <v>0</v>
      </c>
      <c r="F1568">
        <v>0</v>
      </c>
      <c r="G1568" s="104">
        <v>2059531.44</v>
      </c>
    </row>
    <row r="1569" spans="3:7" x14ac:dyDescent="0.25">
      <c r="C1569" t="s">
        <v>1851</v>
      </c>
      <c r="D1569" s="104">
        <v>290400</v>
      </c>
      <c r="E1569">
        <v>0</v>
      </c>
      <c r="F1569" s="104">
        <v>36300</v>
      </c>
      <c r="G1569" s="104">
        <v>326700</v>
      </c>
    </row>
    <row r="1570" spans="3:7" x14ac:dyDescent="0.25">
      <c r="C1570" t="s">
        <v>1852</v>
      </c>
      <c r="D1570">
        <v>0</v>
      </c>
      <c r="E1570">
        <v>0</v>
      </c>
      <c r="F1570">
        <v>0</v>
      </c>
      <c r="G1570">
        <v>0</v>
      </c>
    </row>
    <row r="1571" spans="3:7" x14ac:dyDescent="0.25">
      <c r="C1571" t="s">
        <v>1861</v>
      </c>
      <c r="D1571">
        <v>0</v>
      </c>
      <c r="E1571">
        <v>0</v>
      </c>
      <c r="F1571">
        <v>0</v>
      </c>
      <c r="G1571">
        <v>0</v>
      </c>
    </row>
    <row r="1572" spans="3:7" x14ac:dyDescent="0.25">
      <c r="C1572" t="s">
        <v>1862</v>
      </c>
      <c r="D1572">
        <v>0</v>
      </c>
      <c r="E1572">
        <v>0</v>
      </c>
      <c r="F1572">
        <v>0</v>
      </c>
      <c r="G1572">
        <v>0</v>
      </c>
    </row>
    <row r="1573" spans="3:7" x14ac:dyDescent="0.25">
      <c r="C1573" t="s">
        <v>1863</v>
      </c>
      <c r="D1573">
        <v>0</v>
      </c>
      <c r="E1573">
        <v>0</v>
      </c>
      <c r="F1573">
        <v>0</v>
      </c>
      <c r="G1573">
        <v>0</v>
      </c>
    </row>
    <row r="1574" spans="3:7" x14ac:dyDescent="0.25">
      <c r="C1574" t="s">
        <v>1853</v>
      </c>
      <c r="D1574" s="104">
        <v>224395.7</v>
      </c>
      <c r="E1574">
        <v>0</v>
      </c>
      <c r="F1574" s="104">
        <v>32528.22</v>
      </c>
      <c r="G1574" s="104">
        <v>256923.92</v>
      </c>
    </row>
    <row r="1575" spans="3:7" x14ac:dyDescent="0.25">
      <c r="C1575" t="s">
        <v>1865</v>
      </c>
      <c r="D1575" s="104">
        <v>58564</v>
      </c>
      <c r="E1575">
        <v>0</v>
      </c>
      <c r="F1575" s="104">
        <v>7320.5</v>
      </c>
      <c r="G1575" s="104">
        <v>65884.5</v>
      </c>
    </row>
    <row r="1576" spans="3:7" x14ac:dyDescent="0.25">
      <c r="C1576" t="s">
        <v>1866</v>
      </c>
      <c r="D1576" s="104">
        <v>330871.31</v>
      </c>
      <c r="E1576">
        <v>0</v>
      </c>
      <c r="F1576" s="104">
        <v>42750</v>
      </c>
      <c r="G1576" s="104">
        <v>373621.31</v>
      </c>
    </row>
    <row r="1577" spans="3:7" x14ac:dyDescent="0.25">
      <c r="C1577" t="s">
        <v>2253</v>
      </c>
      <c r="D1577" s="104">
        <v>4005348.8</v>
      </c>
      <c r="E1577">
        <v>0</v>
      </c>
      <c r="F1577" s="104">
        <v>4005348.81</v>
      </c>
      <c r="G1577" s="104">
        <v>8010697.6100000003</v>
      </c>
    </row>
    <row r="1578" spans="3:7" x14ac:dyDescent="0.25">
      <c r="C1578" t="s">
        <v>1868</v>
      </c>
      <c r="D1578" s="104">
        <v>2976666.96</v>
      </c>
      <c r="E1578">
        <v>0</v>
      </c>
      <c r="F1578">
        <v>0</v>
      </c>
      <c r="G1578" s="104">
        <v>2976666.96</v>
      </c>
    </row>
    <row r="1579" spans="3:7" x14ac:dyDescent="0.25">
      <c r="C1579" t="s">
        <v>1869</v>
      </c>
      <c r="D1579" s="104">
        <v>34593513.219999999</v>
      </c>
      <c r="E1579">
        <v>0</v>
      </c>
      <c r="F1579" s="104">
        <v>4456832.99</v>
      </c>
      <c r="G1579" s="104">
        <v>39050346.210000001</v>
      </c>
    </row>
    <row r="1580" spans="3:7" x14ac:dyDescent="0.25">
      <c r="C1580" t="s">
        <v>2254</v>
      </c>
      <c r="D1580">
        <v>0</v>
      </c>
      <c r="E1580">
        <v>0</v>
      </c>
      <c r="F1580">
        <v>0</v>
      </c>
      <c r="G1580">
        <v>0</v>
      </c>
    </row>
    <row r="1581" spans="3:7" x14ac:dyDescent="0.25">
      <c r="C1581" t="s">
        <v>1897</v>
      </c>
      <c r="D1581" s="104">
        <v>2129353.7599999998</v>
      </c>
      <c r="E1581">
        <v>0</v>
      </c>
      <c r="F1581" s="104">
        <v>1064676.8799999999</v>
      </c>
      <c r="G1581" s="104">
        <v>3194030.64</v>
      </c>
    </row>
    <row r="1582" spans="3:7" x14ac:dyDescent="0.25">
      <c r="C1582" t="s">
        <v>1855</v>
      </c>
      <c r="D1582" s="104">
        <v>6281480.8799999999</v>
      </c>
      <c r="E1582">
        <v>0</v>
      </c>
      <c r="F1582" s="104">
        <v>785185.11</v>
      </c>
      <c r="G1582" s="104">
        <v>7066665.9900000002</v>
      </c>
    </row>
    <row r="1583" spans="3:7" x14ac:dyDescent="0.25">
      <c r="C1583" t="s">
        <v>1761</v>
      </c>
      <c r="D1583" s="104">
        <v>23112</v>
      </c>
      <c r="E1583">
        <v>0</v>
      </c>
      <c r="F1583" s="104">
        <v>2889</v>
      </c>
      <c r="G1583" s="104">
        <v>26001</v>
      </c>
    </row>
    <row r="1584" spans="3:7" x14ac:dyDescent="0.25">
      <c r="C1584" t="s">
        <v>1870</v>
      </c>
      <c r="D1584">
        <v>0</v>
      </c>
      <c r="E1584">
        <v>0</v>
      </c>
      <c r="F1584">
        <v>0</v>
      </c>
      <c r="G1584">
        <v>0</v>
      </c>
    </row>
    <row r="1585" spans="3:7" x14ac:dyDescent="0.25">
      <c r="C1585" t="s">
        <v>1871</v>
      </c>
      <c r="D1585">
        <v>0</v>
      </c>
      <c r="E1585">
        <v>0</v>
      </c>
      <c r="F1585">
        <v>0</v>
      </c>
      <c r="G1585">
        <v>0</v>
      </c>
    </row>
    <row r="1586" spans="3:7" x14ac:dyDescent="0.25">
      <c r="C1586" t="s">
        <v>1872</v>
      </c>
      <c r="D1586">
        <v>0</v>
      </c>
      <c r="E1586">
        <v>0</v>
      </c>
      <c r="F1586">
        <v>0</v>
      </c>
      <c r="G1586">
        <v>0</v>
      </c>
    </row>
    <row r="1587" spans="3:7" x14ac:dyDescent="0.25">
      <c r="C1587" t="s">
        <v>1873</v>
      </c>
      <c r="D1587" s="104">
        <v>3972121.28</v>
      </c>
      <c r="E1587">
        <v>0</v>
      </c>
      <c r="F1587" s="104">
        <v>496515.16</v>
      </c>
      <c r="G1587" s="104">
        <v>4468636.4400000004</v>
      </c>
    </row>
    <row r="1588" spans="3:7" x14ac:dyDescent="0.25">
      <c r="C1588" t="s">
        <v>1874</v>
      </c>
      <c r="D1588" s="104">
        <v>2171489.25</v>
      </c>
      <c r="E1588">
        <v>0</v>
      </c>
      <c r="F1588" s="104">
        <v>274362.75</v>
      </c>
      <c r="G1588" s="104">
        <v>2445852</v>
      </c>
    </row>
    <row r="1589" spans="3:7" x14ac:dyDescent="0.25">
      <c r="C1589" t="s">
        <v>1875</v>
      </c>
      <c r="D1589">
        <v>0</v>
      </c>
      <c r="E1589">
        <v>0</v>
      </c>
      <c r="F1589">
        <v>0</v>
      </c>
      <c r="G1589">
        <v>0</v>
      </c>
    </row>
    <row r="1590" spans="3:7" x14ac:dyDescent="0.25">
      <c r="C1590" t="s">
        <v>1876</v>
      </c>
      <c r="D1590" s="104">
        <v>17800</v>
      </c>
      <c r="E1590">
        <v>0</v>
      </c>
      <c r="F1590" s="104">
        <v>2400</v>
      </c>
      <c r="G1590" s="104">
        <v>20200</v>
      </c>
    </row>
    <row r="1591" spans="3:7" x14ac:dyDescent="0.25">
      <c r="C1591" t="s">
        <v>1877</v>
      </c>
      <c r="D1591" s="104">
        <v>52000</v>
      </c>
      <c r="E1591">
        <v>0</v>
      </c>
      <c r="F1591">
        <v>0</v>
      </c>
      <c r="G1591" s="104">
        <v>52000</v>
      </c>
    </row>
    <row r="1592" spans="3:7" x14ac:dyDescent="0.25">
      <c r="C1592" t="s">
        <v>1878</v>
      </c>
      <c r="D1592">
        <v>0</v>
      </c>
      <c r="E1592">
        <v>0</v>
      </c>
      <c r="F1592">
        <v>0</v>
      </c>
      <c r="G1592">
        <v>0</v>
      </c>
    </row>
    <row r="1593" spans="3:7" x14ac:dyDescent="0.25">
      <c r="C1593" t="s">
        <v>1879</v>
      </c>
      <c r="D1593" s="104">
        <v>723344</v>
      </c>
      <c r="E1593">
        <v>0</v>
      </c>
      <c r="F1593" s="104">
        <v>90418</v>
      </c>
      <c r="G1593" s="104">
        <v>813762</v>
      </c>
    </row>
    <row r="1594" spans="3:7" x14ac:dyDescent="0.25">
      <c r="C1594" t="s">
        <v>1880</v>
      </c>
      <c r="D1594" s="104">
        <v>298631.36</v>
      </c>
      <c r="E1594">
        <v>0</v>
      </c>
      <c r="F1594" s="104">
        <v>38750</v>
      </c>
      <c r="G1594" s="104">
        <v>337381.36</v>
      </c>
    </row>
    <row r="1595" spans="3:7" x14ac:dyDescent="0.25">
      <c r="C1595" t="s">
        <v>1881</v>
      </c>
      <c r="D1595" s="104">
        <v>472140.37</v>
      </c>
      <c r="E1595">
        <v>0</v>
      </c>
      <c r="F1595" s="104">
        <v>62092.9</v>
      </c>
      <c r="G1595" s="104">
        <v>534233.27</v>
      </c>
    </row>
    <row r="1596" spans="3:7" x14ac:dyDescent="0.25">
      <c r="C1596" t="s">
        <v>1882</v>
      </c>
      <c r="D1596" s="104">
        <v>43672</v>
      </c>
      <c r="E1596">
        <v>0</v>
      </c>
      <c r="F1596" s="104">
        <v>5618</v>
      </c>
      <c r="G1596" s="104">
        <v>49290</v>
      </c>
    </row>
    <row r="1597" spans="3:7" x14ac:dyDescent="0.25">
      <c r="C1597" t="s">
        <v>1883</v>
      </c>
      <c r="D1597" s="104">
        <v>3068544</v>
      </c>
      <c r="E1597">
        <v>0</v>
      </c>
      <c r="F1597" s="104">
        <v>383568</v>
      </c>
      <c r="G1597" s="104">
        <v>3452112</v>
      </c>
    </row>
    <row r="1598" spans="3:7" x14ac:dyDescent="0.25">
      <c r="C1598" t="s">
        <v>1884</v>
      </c>
      <c r="D1598" s="104">
        <v>987886.07</v>
      </c>
      <c r="E1598">
        <v>0</v>
      </c>
      <c r="F1598" s="104">
        <v>123485.75999999999</v>
      </c>
      <c r="G1598" s="104">
        <v>1111371.83</v>
      </c>
    </row>
    <row r="1599" spans="3:7" x14ac:dyDescent="0.25">
      <c r="C1599" t="s">
        <v>1885</v>
      </c>
      <c r="D1599" s="104">
        <v>220469.28</v>
      </c>
      <c r="E1599">
        <v>0</v>
      </c>
      <c r="F1599" s="104">
        <v>27755.040000000001</v>
      </c>
      <c r="G1599" s="104">
        <v>248224.32</v>
      </c>
    </row>
    <row r="1600" spans="3:7" x14ac:dyDescent="0.25">
      <c r="C1600" t="s">
        <v>1886</v>
      </c>
      <c r="D1600" s="104">
        <v>887100</v>
      </c>
      <c r="E1600">
        <v>0</v>
      </c>
      <c r="F1600" s="104">
        <v>112350</v>
      </c>
      <c r="G1600" s="104">
        <v>999450</v>
      </c>
    </row>
    <row r="1601" spans="2:7" x14ac:dyDescent="0.25">
      <c r="C1601" t="s">
        <v>1887</v>
      </c>
      <c r="D1601" s="104">
        <v>987886.07999999996</v>
      </c>
      <c r="E1601">
        <v>0</v>
      </c>
      <c r="F1601" s="104">
        <v>123485.75999999999</v>
      </c>
      <c r="G1601" s="104">
        <v>1111371.8400000001</v>
      </c>
    </row>
    <row r="1602" spans="2:7" x14ac:dyDescent="0.25">
      <c r="C1602" t="s">
        <v>1888</v>
      </c>
      <c r="D1602" s="104">
        <v>1221987</v>
      </c>
      <c r="E1602">
        <v>0</v>
      </c>
      <c r="F1602" s="104">
        <v>155963.4</v>
      </c>
      <c r="G1602" s="104">
        <v>1377950.4</v>
      </c>
    </row>
    <row r="1603" spans="2:7" x14ac:dyDescent="0.25">
      <c r="C1603" t="s">
        <v>1889</v>
      </c>
      <c r="D1603" s="104">
        <v>396592.53</v>
      </c>
      <c r="E1603">
        <v>0</v>
      </c>
      <c r="F1603" s="104">
        <v>50797.51</v>
      </c>
      <c r="G1603" s="104">
        <v>447390.04</v>
      </c>
    </row>
    <row r="1604" spans="2:7" x14ac:dyDescent="0.25">
      <c r="C1604" t="s">
        <v>1890</v>
      </c>
      <c r="D1604" s="104">
        <v>717386</v>
      </c>
      <c r="E1604">
        <v>0</v>
      </c>
      <c r="F1604" s="104">
        <v>92962</v>
      </c>
      <c r="G1604" s="104">
        <v>810348</v>
      </c>
    </row>
    <row r="1605" spans="2:7" x14ac:dyDescent="0.25">
      <c r="C1605" t="s">
        <v>2383</v>
      </c>
      <c r="D1605" s="104">
        <v>15267.85</v>
      </c>
      <c r="E1605">
        <v>0</v>
      </c>
      <c r="F1605">
        <v>0</v>
      </c>
      <c r="G1605" s="104">
        <v>15267.85</v>
      </c>
    </row>
    <row r="1606" spans="2:7" x14ac:dyDescent="0.25">
      <c r="C1606" t="s">
        <v>2248</v>
      </c>
      <c r="D1606" s="104">
        <v>8303640</v>
      </c>
      <c r="E1606">
        <v>0</v>
      </c>
      <c r="F1606" s="104">
        <v>6227730</v>
      </c>
      <c r="G1606" s="104">
        <v>14531370</v>
      </c>
    </row>
    <row r="1607" spans="2:7" x14ac:dyDescent="0.25">
      <c r="C1607" t="s">
        <v>2752</v>
      </c>
      <c r="D1607" s="104">
        <v>1595120</v>
      </c>
      <c r="E1607">
        <v>0</v>
      </c>
      <c r="F1607" s="104">
        <v>797560</v>
      </c>
      <c r="G1607" s="104">
        <v>2392680</v>
      </c>
    </row>
    <row r="1608" spans="2:7" x14ac:dyDescent="0.25">
      <c r="C1608" t="s">
        <v>2753</v>
      </c>
      <c r="D1608" s="104">
        <v>116461.14</v>
      </c>
      <c r="E1608">
        <v>0</v>
      </c>
      <c r="F1608" s="104">
        <v>19410.189999999999</v>
      </c>
      <c r="G1608" s="104">
        <v>135871.32999999999</v>
      </c>
    </row>
    <row r="1609" spans="2:7" x14ac:dyDescent="0.25">
      <c r="C1609" t="s">
        <v>2769</v>
      </c>
      <c r="D1609" s="104">
        <v>11875</v>
      </c>
      <c r="E1609">
        <v>0</v>
      </c>
      <c r="F1609">
        <v>0</v>
      </c>
      <c r="G1609" s="104">
        <v>11875</v>
      </c>
    </row>
    <row r="1610" spans="2:7" x14ac:dyDescent="0.25">
      <c r="C1610" t="s">
        <v>2754</v>
      </c>
      <c r="D1610" s="104">
        <v>112500</v>
      </c>
      <c r="E1610">
        <v>0</v>
      </c>
      <c r="F1610" s="104">
        <v>22500</v>
      </c>
      <c r="G1610" s="104">
        <v>135000</v>
      </c>
    </row>
    <row r="1611" spans="2:7" x14ac:dyDescent="0.25">
      <c r="C1611" t="s">
        <v>2767</v>
      </c>
      <c r="D1611" s="104">
        <v>2002674.41</v>
      </c>
      <c r="E1611" s="104">
        <v>2002674.41</v>
      </c>
      <c r="F1611">
        <v>0</v>
      </c>
      <c r="G1611">
        <v>0</v>
      </c>
    </row>
    <row r="1612" spans="2:7" x14ac:dyDescent="0.25">
      <c r="C1612" t="s">
        <v>2755</v>
      </c>
      <c r="D1612" s="104">
        <v>180000</v>
      </c>
      <c r="E1612">
        <v>0</v>
      </c>
      <c r="F1612" s="104">
        <v>45000</v>
      </c>
      <c r="G1612" s="104">
        <v>225000</v>
      </c>
    </row>
    <row r="1613" spans="2:7" x14ac:dyDescent="0.25">
      <c r="C1613" t="s">
        <v>2756</v>
      </c>
      <c r="D1613" s="104">
        <v>1189788</v>
      </c>
      <c r="E1613">
        <v>0</v>
      </c>
      <c r="F1613" s="104">
        <v>594894</v>
      </c>
      <c r="G1613" s="104">
        <v>1784682</v>
      </c>
    </row>
    <row r="1614" spans="2:7" x14ac:dyDescent="0.25">
      <c r="B1614" t="s">
        <v>1587</v>
      </c>
      <c r="D1614" s="104">
        <v>147551081.81</v>
      </c>
      <c r="E1614" s="104">
        <v>2002674.41</v>
      </c>
      <c r="F1614" s="104">
        <v>28599541.670000002</v>
      </c>
      <c r="G1614" s="104">
        <v>174147949.06999999</v>
      </c>
    </row>
    <row r="1616" spans="2:7" x14ac:dyDescent="0.25">
      <c r="B1616">
        <v>40202200</v>
      </c>
      <c r="C1616" t="s">
        <v>2384</v>
      </c>
      <c r="D1616" s="104">
        <v>404659322.95999998</v>
      </c>
      <c r="E1616">
        <v>0</v>
      </c>
      <c r="F1616">
        <v>0</v>
      </c>
      <c r="G1616" s="104">
        <v>404659322.95999998</v>
      </c>
    </row>
    <row r="1617" spans="2:7" x14ac:dyDescent="0.25">
      <c r="B1617" t="s">
        <v>2385</v>
      </c>
      <c r="C1617" t="s">
        <v>363</v>
      </c>
    </row>
    <row r="1618" spans="2:7" x14ac:dyDescent="0.25">
      <c r="B1618" t="s">
        <v>2386</v>
      </c>
      <c r="C1618" t="s">
        <v>364</v>
      </c>
    </row>
    <row r="1619" spans="2:7" x14ac:dyDescent="0.25">
      <c r="C1619" t="s">
        <v>1783</v>
      </c>
      <c r="D1619" s="104">
        <v>758356.7</v>
      </c>
      <c r="E1619">
        <v>0</v>
      </c>
      <c r="F1619">
        <v>0</v>
      </c>
      <c r="G1619" s="104">
        <v>758356.7</v>
      </c>
    </row>
    <row r="1620" spans="2:7" x14ac:dyDescent="0.25">
      <c r="C1620" t="s">
        <v>1785</v>
      </c>
      <c r="D1620" s="104">
        <v>688277</v>
      </c>
      <c r="E1620">
        <v>0</v>
      </c>
      <c r="F1620">
        <v>0</v>
      </c>
      <c r="G1620" s="104">
        <v>688277</v>
      </c>
    </row>
    <row r="1621" spans="2:7" x14ac:dyDescent="0.25">
      <c r="C1621" t="s">
        <v>1753</v>
      </c>
      <c r="D1621" s="104">
        <v>3000000</v>
      </c>
      <c r="E1621">
        <v>0</v>
      </c>
      <c r="F1621">
        <v>0</v>
      </c>
      <c r="G1621" s="104">
        <v>3000000</v>
      </c>
    </row>
    <row r="1622" spans="2:7" x14ac:dyDescent="0.25">
      <c r="C1622" t="s">
        <v>1792</v>
      </c>
      <c r="D1622" s="104">
        <v>5694820</v>
      </c>
      <c r="E1622">
        <v>0</v>
      </c>
      <c r="F1622">
        <v>0</v>
      </c>
      <c r="G1622" s="104">
        <v>5694820</v>
      </c>
    </row>
    <row r="1623" spans="2:7" x14ac:dyDescent="0.25">
      <c r="C1623" t="s">
        <v>1755</v>
      </c>
      <c r="D1623" s="104">
        <v>676743.9</v>
      </c>
      <c r="E1623">
        <v>0</v>
      </c>
      <c r="F1623">
        <v>0</v>
      </c>
      <c r="G1623" s="104">
        <v>676743.9</v>
      </c>
    </row>
    <row r="1624" spans="2:7" x14ac:dyDescent="0.25">
      <c r="C1624" t="s">
        <v>1980</v>
      </c>
      <c r="D1624" s="104">
        <v>946205.5</v>
      </c>
      <c r="E1624">
        <v>0</v>
      </c>
      <c r="F1624">
        <v>0</v>
      </c>
      <c r="G1624" s="104">
        <v>946205.5</v>
      </c>
    </row>
    <row r="1625" spans="2:7" x14ac:dyDescent="0.25">
      <c r="B1625" t="s">
        <v>1587</v>
      </c>
      <c r="D1625" s="104">
        <v>11764403.1</v>
      </c>
      <c r="E1625">
        <v>0</v>
      </c>
      <c r="F1625">
        <v>0</v>
      </c>
      <c r="G1625" s="104">
        <v>11764403.1</v>
      </c>
    </row>
    <row r="1627" spans="2:7" x14ac:dyDescent="0.25">
      <c r="B1627">
        <v>40202210</v>
      </c>
      <c r="C1627" t="s">
        <v>2387</v>
      </c>
      <c r="D1627" s="104">
        <v>35641279.890000001</v>
      </c>
      <c r="E1627">
        <v>0</v>
      </c>
      <c r="F1627" s="104">
        <v>12559578</v>
      </c>
      <c r="G1627" s="104">
        <v>48200857.890000001</v>
      </c>
    </row>
    <row r="1628" spans="2:7" x14ac:dyDescent="0.25">
      <c r="B1628" t="s">
        <v>2388</v>
      </c>
      <c r="C1628" t="s">
        <v>355</v>
      </c>
    </row>
    <row r="1629" spans="2:7" x14ac:dyDescent="0.25">
      <c r="C1629" t="s">
        <v>1724</v>
      </c>
      <c r="D1629">
        <v>603.16</v>
      </c>
      <c r="E1629">
        <v>0</v>
      </c>
      <c r="F1629">
        <v>338.2</v>
      </c>
      <c r="G1629">
        <v>941.36</v>
      </c>
    </row>
    <row r="1630" spans="2:7" x14ac:dyDescent="0.25">
      <c r="C1630" t="s">
        <v>1735</v>
      </c>
      <c r="D1630">
        <v>50.87</v>
      </c>
      <c r="E1630">
        <v>0</v>
      </c>
      <c r="F1630">
        <v>32.58</v>
      </c>
      <c r="G1630">
        <v>83.45</v>
      </c>
    </row>
    <row r="1631" spans="2:7" x14ac:dyDescent="0.25">
      <c r="C1631" t="s">
        <v>1736</v>
      </c>
      <c r="D1631">
        <v>368.19</v>
      </c>
      <c r="E1631">
        <v>0</v>
      </c>
      <c r="F1631">
        <v>483.67</v>
      </c>
      <c r="G1631">
        <v>851.86</v>
      </c>
    </row>
    <row r="1632" spans="2:7" x14ac:dyDescent="0.25">
      <c r="C1632" t="s">
        <v>1740</v>
      </c>
      <c r="D1632">
        <v>21.64</v>
      </c>
      <c r="E1632">
        <v>0</v>
      </c>
      <c r="F1632">
        <v>4.49</v>
      </c>
      <c r="G1632">
        <v>26.13</v>
      </c>
    </row>
    <row r="1633" spans="2:7" x14ac:dyDescent="0.25">
      <c r="C1633" t="s">
        <v>1737</v>
      </c>
      <c r="D1633">
        <v>0</v>
      </c>
      <c r="E1633">
        <v>0</v>
      </c>
      <c r="F1633">
        <v>0</v>
      </c>
      <c r="G1633">
        <v>0</v>
      </c>
    </row>
    <row r="1634" spans="2:7" x14ac:dyDescent="0.25">
      <c r="C1634" t="s">
        <v>1738</v>
      </c>
      <c r="D1634">
        <v>92.65</v>
      </c>
      <c r="E1634">
        <v>0</v>
      </c>
      <c r="F1634">
        <v>0</v>
      </c>
      <c r="G1634">
        <v>92.65</v>
      </c>
    </row>
    <row r="1635" spans="2:7" x14ac:dyDescent="0.25">
      <c r="C1635" t="s">
        <v>1726</v>
      </c>
      <c r="D1635" s="104">
        <v>5205.9399999999996</v>
      </c>
      <c r="E1635">
        <v>0</v>
      </c>
      <c r="F1635">
        <v>963.88</v>
      </c>
      <c r="G1635" s="104">
        <v>6169.82</v>
      </c>
    </row>
    <row r="1636" spans="2:7" x14ac:dyDescent="0.25">
      <c r="C1636" t="s">
        <v>2760</v>
      </c>
      <c r="D1636">
        <v>0</v>
      </c>
      <c r="E1636">
        <v>0</v>
      </c>
      <c r="F1636">
        <v>46.85</v>
      </c>
      <c r="G1636">
        <v>46.85</v>
      </c>
    </row>
    <row r="1637" spans="2:7" x14ac:dyDescent="0.25">
      <c r="B1637" t="s">
        <v>1587</v>
      </c>
      <c r="D1637" s="104">
        <v>6342.45</v>
      </c>
      <c r="E1637">
        <v>0</v>
      </c>
      <c r="F1637" s="104">
        <v>1869.67</v>
      </c>
      <c r="G1637" s="104">
        <v>8212.1200000000008</v>
      </c>
    </row>
    <row r="1639" spans="2:7" x14ac:dyDescent="0.25">
      <c r="B1639" t="s">
        <v>2389</v>
      </c>
      <c r="C1639" t="s">
        <v>358</v>
      </c>
    </row>
    <row r="1640" spans="2:7" x14ac:dyDescent="0.25">
      <c r="C1640" t="s">
        <v>1756</v>
      </c>
      <c r="D1640">
        <v>0</v>
      </c>
      <c r="E1640">
        <v>0</v>
      </c>
      <c r="F1640">
        <v>0</v>
      </c>
      <c r="G1640">
        <v>0</v>
      </c>
    </row>
    <row r="1641" spans="2:7" x14ac:dyDescent="0.25">
      <c r="C1641" t="s">
        <v>1784</v>
      </c>
      <c r="D1641" s="104">
        <v>75289.820000000007</v>
      </c>
      <c r="E1641">
        <v>0</v>
      </c>
      <c r="F1641">
        <v>0</v>
      </c>
      <c r="G1641" s="104">
        <v>75289.820000000007</v>
      </c>
    </row>
    <row r="1642" spans="2:7" x14ac:dyDescent="0.25">
      <c r="B1642" t="s">
        <v>1587</v>
      </c>
      <c r="D1642" s="104">
        <v>75289.820000000007</v>
      </c>
      <c r="E1642">
        <v>0</v>
      </c>
      <c r="F1642">
        <v>0</v>
      </c>
      <c r="G1642" s="104">
        <v>75289.820000000007</v>
      </c>
    </row>
    <row r="1644" spans="2:7" x14ac:dyDescent="0.25">
      <c r="B1644" t="s">
        <v>2390</v>
      </c>
      <c r="C1644" t="s">
        <v>359</v>
      </c>
    </row>
    <row r="1645" spans="2:7" x14ac:dyDescent="0.25">
      <c r="C1645" t="s">
        <v>2004</v>
      </c>
      <c r="D1645" s="104">
        <v>70202440.700000003</v>
      </c>
      <c r="E1645">
        <v>0</v>
      </c>
      <c r="F1645" s="104">
        <v>9051259.1699999999</v>
      </c>
      <c r="G1645" s="104">
        <v>79253699.870000005</v>
      </c>
    </row>
    <row r="1646" spans="2:7" x14ac:dyDescent="0.25">
      <c r="C1646" t="s">
        <v>1745</v>
      </c>
      <c r="D1646">
        <v>0</v>
      </c>
      <c r="E1646">
        <v>0</v>
      </c>
      <c r="F1646">
        <v>0</v>
      </c>
      <c r="G1646">
        <v>0</v>
      </c>
    </row>
    <row r="1647" spans="2:7" x14ac:dyDescent="0.25">
      <c r="C1647" t="s">
        <v>1742</v>
      </c>
      <c r="D1647">
        <v>0</v>
      </c>
      <c r="E1647">
        <v>0</v>
      </c>
      <c r="F1647">
        <v>0</v>
      </c>
      <c r="G1647">
        <v>0</v>
      </c>
    </row>
    <row r="1648" spans="2:7" x14ac:dyDescent="0.25">
      <c r="C1648" t="s">
        <v>1796</v>
      </c>
      <c r="D1648" s="104">
        <v>3816894.74</v>
      </c>
      <c r="E1648">
        <v>0</v>
      </c>
      <c r="F1648" s="104">
        <v>471221.57</v>
      </c>
      <c r="G1648" s="104">
        <v>4288116.3099999996</v>
      </c>
    </row>
    <row r="1649" spans="2:7" x14ac:dyDescent="0.25">
      <c r="C1649" t="s">
        <v>1797</v>
      </c>
      <c r="D1649" s="104">
        <v>4567147.78</v>
      </c>
      <c r="E1649">
        <v>0</v>
      </c>
      <c r="F1649" s="104">
        <v>563845.4</v>
      </c>
      <c r="G1649" s="104">
        <v>5130993.18</v>
      </c>
    </row>
    <row r="1650" spans="2:7" x14ac:dyDescent="0.25">
      <c r="C1650" t="s">
        <v>1798</v>
      </c>
      <c r="D1650" s="104">
        <v>14096.47</v>
      </c>
      <c r="E1650">
        <v>0</v>
      </c>
      <c r="F1650" s="104">
        <v>1740.3</v>
      </c>
      <c r="G1650" s="104">
        <v>15836.77</v>
      </c>
    </row>
    <row r="1651" spans="2:7" x14ac:dyDescent="0.25">
      <c r="C1651" t="s">
        <v>2748</v>
      </c>
      <c r="D1651" s="104">
        <v>96724.15</v>
      </c>
      <c r="E1651">
        <v>0</v>
      </c>
      <c r="F1651" s="104">
        <v>22507.46</v>
      </c>
      <c r="G1651" s="104">
        <v>119231.61</v>
      </c>
    </row>
    <row r="1652" spans="2:7" x14ac:dyDescent="0.25">
      <c r="C1652" t="s">
        <v>1724</v>
      </c>
      <c r="D1652">
        <v>0</v>
      </c>
      <c r="E1652">
        <v>0</v>
      </c>
      <c r="F1652">
        <v>0</v>
      </c>
      <c r="G1652">
        <v>0</v>
      </c>
    </row>
    <row r="1653" spans="2:7" x14ac:dyDescent="0.25">
      <c r="C1653" t="s">
        <v>1738</v>
      </c>
      <c r="D1653" s="104">
        <v>19326486.989999998</v>
      </c>
      <c r="E1653">
        <v>0</v>
      </c>
      <c r="F1653" s="104">
        <v>2442125.6</v>
      </c>
      <c r="G1653" s="104">
        <v>21768612.59</v>
      </c>
    </row>
    <row r="1654" spans="2:7" x14ac:dyDescent="0.25">
      <c r="B1654" t="s">
        <v>1587</v>
      </c>
      <c r="D1654" s="104">
        <v>98023790.829999998</v>
      </c>
      <c r="E1654">
        <v>0</v>
      </c>
      <c r="F1654" s="104">
        <v>12552699.5</v>
      </c>
      <c r="G1654" s="104">
        <v>110576490.33</v>
      </c>
    </row>
    <row r="1656" spans="2:7" x14ac:dyDescent="0.25">
      <c r="B1656" t="s">
        <v>2391</v>
      </c>
      <c r="C1656" t="s">
        <v>362</v>
      </c>
    </row>
    <row r="1657" spans="2:7" x14ac:dyDescent="0.25">
      <c r="C1657" t="s">
        <v>1913</v>
      </c>
      <c r="D1657">
        <v>0</v>
      </c>
      <c r="E1657">
        <v>0</v>
      </c>
      <c r="F1657">
        <v>0</v>
      </c>
      <c r="G1657">
        <v>0</v>
      </c>
    </row>
    <row r="1658" spans="2:7" x14ac:dyDescent="0.25">
      <c r="C1658" t="s">
        <v>1917</v>
      </c>
      <c r="D1658">
        <v>810.19</v>
      </c>
      <c r="E1658">
        <v>0</v>
      </c>
      <c r="F1658">
        <v>52.14</v>
      </c>
      <c r="G1658">
        <v>862.33</v>
      </c>
    </row>
    <row r="1659" spans="2:7" x14ac:dyDescent="0.25">
      <c r="C1659" t="s">
        <v>2059</v>
      </c>
      <c r="D1659">
        <v>0</v>
      </c>
      <c r="E1659">
        <v>0</v>
      </c>
      <c r="F1659">
        <v>0</v>
      </c>
      <c r="G1659">
        <v>0</v>
      </c>
    </row>
    <row r="1660" spans="2:7" x14ac:dyDescent="0.25">
      <c r="C1660" t="s">
        <v>1928</v>
      </c>
      <c r="D1660" s="104">
        <v>1904.5</v>
      </c>
      <c r="E1660">
        <v>0</v>
      </c>
      <c r="F1660">
        <v>0</v>
      </c>
      <c r="G1660" s="104">
        <v>1904.5</v>
      </c>
    </row>
    <row r="1661" spans="2:7" x14ac:dyDescent="0.25">
      <c r="C1661" t="s">
        <v>1932</v>
      </c>
      <c r="D1661" s="104">
        <v>9961.51</v>
      </c>
      <c r="E1661">
        <v>0</v>
      </c>
      <c r="F1661">
        <v>0</v>
      </c>
      <c r="G1661" s="104">
        <v>9961.51</v>
      </c>
    </row>
    <row r="1662" spans="2:7" x14ac:dyDescent="0.25">
      <c r="C1662" t="s">
        <v>1940</v>
      </c>
      <c r="D1662">
        <v>0</v>
      </c>
      <c r="E1662">
        <v>0</v>
      </c>
      <c r="F1662">
        <v>0</v>
      </c>
      <c r="G1662">
        <v>0</v>
      </c>
    </row>
    <row r="1663" spans="2:7" x14ac:dyDescent="0.25">
      <c r="C1663" t="s">
        <v>1977</v>
      </c>
      <c r="D1663" s="104">
        <v>12618.56</v>
      </c>
      <c r="E1663">
        <v>0</v>
      </c>
      <c r="F1663" s="104">
        <v>4956.6899999999996</v>
      </c>
      <c r="G1663" s="104">
        <v>17575.25</v>
      </c>
    </row>
    <row r="1664" spans="2:7" x14ac:dyDescent="0.25">
      <c r="C1664" t="s">
        <v>2032</v>
      </c>
      <c r="D1664">
        <v>0</v>
      </c>
      <c r="E1664">
        <v>0</v>
      </c>
      <c r="F1664">
        <v>0</v>
      </c>
      <c r="G1664">
        <v>0</v>
      </c>
    </row>
    <row r="1665" spans="3:7" x14ac:dyDescent="0.25">
      <c r="C1665" t="s">
        <v>1952</v>
      </c>
      <c r="D1665">
        <v>0</v>
      </c>
      <c r="E1665">
        <v>0</v>
      </c>
      <c r="F1665">
        <v>0</v>
      </c>
      <c r="G1665">
        <v>0</v>
      </c>
    </row>
    <row r="1666" spans="3:7" x14ac:dyDescent="0.25">
      <c r="C1666" t="s">
        <v>2392</v>
      </c>
      <c r="D1666">
        <v>0</v>
      </c>
      <c r="E1666">
        <v>0</v>
      </c>
      <c r="F1666">
        <v>0</v>
      </c>
      <c r="G1666">
        <v>0</v>
      </c>
    </row>
    <row r="1667" spans="3:7" x14ac:dyDescent="0.25">
      <c r="C1667" t="s">
        <v>1867</v>
      </c>
      <c r="D1667">
        <v>0</v>
      </c>
      <c r="E1667">
        <v>0</v>
      </c>
      <c r="F1667">
        <v>0</v>
      </c>
      <c r="G1667">
        <v>0</v>
      </c>
    </row>
    <row r="1668" spans="3:7" x14ac:dyDescent="0.25">
      <c r="C1668" t="s">
        <v>1907</v>
      </c>
      <c r="D1668" s="104">
        <v>1339.29</v>
      </c>
      <c r="E1668">
        <v>0</v>
      </c>
      <c r="F1668">
        <v>0</v>
      </c>
      <c r="G1668" s="104">
        <v>1339.29</v>
      </c>
    </row>
    <row r="1669" spans="3:7" x14ac:dyDescent="0.25">
      <c r="C1669" t="s">
        <v>2037</v>
      </c>
      <c r="D1669">
        <v>0</v>
      </c>
      <c r="E1669">
        <v>0</v>
      </c>
      <c r="F1669">
        <v>0</v>
      </c>
      <c r="G1669">
        <v>0</v>
      </c>
    </row>
    <row r="1670" spans="3:7" x14ac:dyDescent="0.25">
      <c r="C1670" t="s">
        <v>1936</v>
      </c>
      <c r="D1670">
        <v>0</v>
      </c>
      <c r="E1670">
        <v>0</v>
      </c>
      <c r="F1670">
        <v>0</v>
      </c>
      <c r="G1670">
        <v>0</v>
      </c>
    </row>
    <row r="1671" spans="3:7" x14ac:dyDescent="0.25">
      <c r="C1671" t="s">
        <v>1822</v>
      </c>
      <c r="D1671">
        <v>0</v>
      </c>
      <c r="E1671">
        <v>0</v>
      </c>
      <c r="F1671">
        <v>0</v>
      </c>
      <c r="G1671">
        <v>0</v>
      </c>
    </row>
    <row r="1672" spans="3:7" x14ac:dyDescent="0.25">
      <c r="C1672" t="s">
        <v>1823</v>
      </c>
      <c r="D1672">
        <v>0</v>
      </c>
      <c r="E1672">
        <v>0</v>
      </c>
      <c r="F1672">
        <v>0</v>
      </c>
      <c r="G1672">
        <v>0</v>
      </c>
    </row>
    <row r="1673" spans="3:7" x14ac:dyDescent="0.25">
      <c r="C1673" t="s">
        <v>1824</v>
      </c>
      <c r="D1673">
        <v>0</v>
      </c>
      <c r="E1673">
        <v>0</v>
      </c>
      <c r="F1673">
        <v>0</v>
      </c>
      <c r="G1673">
        <v>0</v>
      </c>
    </row>
    <row r="1674" spans="3:7" x14ac:dyDescent="0.25">
      <c r="C1674" t="s">
        <v>1825</v>
      </c>
      <c r="D1674">
        <v>0</v>
      </c>
      <c r="E1674">
        <v>0</v>
      </c>
      <c r="F1674">
        <v>0</v>
      </c>
      <c r="G1674">
        <v>0</v>
      </c>
    </row>
    <row r="1675" spans="3:7" x14ac:dyDescent="0.25">
      <c r="C1675" t="s">
        <v>1826</v>
      </c>
      <c r="D1675">
        <v>0</v>
      </c>
      <c r="E1675">
        <v>0</v>
      </c>
      <c r="F1675">
        <v>0</v>
      </c>
      <c r="G1675">
        <v>0</v>
      </c>
    </row>
    <row r="1676" spans="3:7" x14ac:dyDescent="0.25">
      <c r="C1676" t="s">
        <v>1857</v>
      </c>
      <c r="D1676">
        <v>0</v>
      </c>
      <c r="E1676">
        <v>0</v>
      </c>
      <c r="F1676">
        <v>0</v>
      </c>
      <c r="G1676">
        <v>0</v>
      </c>
    </row>
    <row r="1677" spans="3:7" x14ac:dyDescent="0.25">
      <c r="C1677" t="s">
        <v>1850</v>
      </c>
      <c r="D1677">
        <v>0</v>
      </c>
      <c r="E1677">
        <v>0</v>
      </c>
      <c r="F1677">
        <v>0</v>
      </c>
      <c r="G1677">
        <v>0</v>
      </c>
    </row>
    <row r="1678" spans="3:7" x14ac:dyDescent="0.25">
      <c r="C1678" t="s">
        <v>1851</v>
      </c>
      <c r="D1678">
        <v>0</v>
      </c>
      <c r="E1678">
        <v>0</v>
      </c>
      <c r="F1678">
        <v>0</v>
      </c>
      <c r="G1678">
        <v>0</v>
      </c>
    </row>
    <row r="1679" spans="3:7" x14ac:dyDescent="0.25">
      <c r="C1679" t="s">
        <v>1862</v>
      </c>
      <c r="D1679">
        <v>0</v>
      </c>
      <c r="E1679">
        <v>0</v>
      </c>
      <c r="F1679">
        <v>0</v>
      </c>
      <c r="G1679">
        <v>0</v>
      </c>
    </row>
    <row r="1680" spans="3:7" x14ac:dyDescent="0.25">
      <c r="C1680" t="s">
        <v>2393</v>
      </c>
      <c r="D1680">
        <v>0</v>
      </c>
      <c r="E1680">
        <v>0</v>
      </c>
      <c r="F1680">
        <v>0</v>
      </c>
      <c r="G1680">
        <v>0</v>
      </c>
    </row>
    <row r="1681" spans="2:7" x14ac:dyDescent="0.25">
      <c r="C1681" t="s">
        <v>2042</v>
      </c>
      <c r="D1681">
        <v>225.24</v>
      </c>
      <c r="E1681">
        <v>0</v>
      </c>
      <c r="F1681">
        <v>0</v>
      </c>
      <c r="G1681">
        <v>225.24</v>
      </c>
    </row>
    <row r="1682" spans="2:7" x14ac:dyDescent="0.25">
      <c r="B1682" t="s">
        <v>1587</v>
      </c>
      <c r="D1682" s="104">
        <v>26859.29</v>
      </c>
      <c r="E1682">
        <v>0</v>
      </c>
      <c r="F1682" s="104">
        <v>5008.83</v>
      </c>
      <c r="G1682" s="104">
        <v>31868.12</v>
      </c>
    </row>
    <row r="1684" spans="2:7" x14ac:dyDescent="0.25">
      <c r="B1684">
        <v>40202220</v>
      </c>
      <c r="C1684" t="s">
        <v>2394</v>
      </c>
    </row>
    <row r="1685" spans="2:7" x14ac:dyDescent="0.25">
      <c r="C1685" t="s">
        <v>1898</v>
      </c>
      <c r="D1685">
        <v>0</v>
      </c>
      <c r="E1685">
        <v>0</v>
      </c>
      <c r="F1685">
        <v>0</v>
      </c>
      <c r="G1685">
        <v>0</v>
      </c>
    </row>
    <row r="1686" spans="2:7" x14ac:dyDescent="0.25">
      <c r="C1686" t="s">
        <v>1901</v>
      </c>
      <c r="D1686">
        <v>0</v>
      </c>
      <c r="E1686">
        <v>0</v>
      </c>
      <c r="F1686">
        <v>0</v>
      </c>
      <c r="G1686">
        <v>0</v>
      </c>
    </row>
    <row r="1687" spans="2:7" x14ac:dyDescent="0.25">
      <c r="B1687" t="s">
        <v>1587</v>
      </c>
      <c r="D1687">
        <v>0</v>
      </c>
      <c r="E1687">
        <v>0</v>
      </c>
      <c r="F1687">
        <v>0</v>
      </c>
      <c r="G1687">
        <v>0</v>
      </c>
    </row>
    <row r="1689" spans="2:7" x14ac:dyDescent="0.25">
      <c r="B1689">
        <v>40202280</v>
      </c>
      <c r="C1689" t="s">
        <v>390</v>
      </c>
    </row>
    <row r="1690" spans="2:7" x14ac:dyDescent="0.25">
      <c r="B1690">
        <v>40202340</v>
      </c>
      <c r="C1690" t="s">
        <v>99</v>
      </c>
    </row>
    <row r="1691" spans="2:7" x14ac:dyDescent="0.25">
      <c r="C1691" t="s">
        <v>1783</v>
      </c>
      <c r="D1691" s="104">
        <v>53333.599999999999</v>
      </c>
      <c r="E1691">
        <v>0</v>
      </c>
      <c r="F1691" s="104">
        <v>6666.7</v>
      </c>
      <c r="G1691" s="104">
        <v>60000.3</v>
      </c>
    </row>
    <row r="1692" spans="2:7" x14ac:dyDescent="0.25">
      <c r="C1692" t="s">
        <v>1784</v>
      </c>
      <c r="D1692" s="104">
        <v>12000</v>
      </c>
      <c r="E1692">
        <v>0</v>
      </c>
      <c r="F1692" s="104">
        <v>1500</v>
      </c>
      <c r="G1692" s="104">
        <v>13500</v>
      </c>
    </row>
    <row r="1693" spans="2:7" x14ac:dyDescent="0.25">
      <c r="C1693" t="s">
        <v>1785</v>
      </c>
      <c r="D1693" s="104">
        <v>16000</v>
      </c>
      <c r="E1693">
        <v>0</v>
      </c>
      <c r="F1693" s="104">
        <v>8000</v>
      </c>
      <c r="G1693" s="104">
        <v>24000</v>
      </c>
    </row>
    <row r="1694" spans="2:7" x14ac:dyDescent="0.25">
      <c r="C1694" t="s">
        <v>1788</v>
      </c>
      <c r="D1694" s="104">
        <v>12000</v>
      </c>
      <c r="E1694">
        <v>0</v>
      </c>
      <c r="F1694" s="104">
        <v>6000</v>
      </c>
      <c r="G1694" s="104">
        <v>18000</v>
      </c>
    </row>
    <row r="1695" spans="2:7" x14ac:dyDescent="0.25">
      <c r="B1695" t="s">
        <v>1587</v>
      </c>
      <c r="D1695" s="104">
        <v>93333.6</v>
      </c>
      <c r="E1695">
        <v>0</v>
      </c>
      <c r="F1695" s="104">
        <v>22166.7</v>
      </c>
      <c r="G1695" s="104">
        <v>115500.3</v>
      </c>
    </row>
    <row r="1697" spans="2:7" x14ac:dyDescent="0.25">
      <c r="B1697">
        <v>40501010</v>
      </c>
      <c r="C1697" t="s">
        <v>378</v>
      </c>
    </row>
    <row r="1698" spans="2:7" x14ac:dyDescent="0.25">
      <c r="C1698" t="s">
        <v>1745</v>
      </c>
      <c r="D1698" s="104">
        <v>23374.06</v>
      </c>
      <c r="E1698">
        <v>0</v>
      </c>
      <c r="F1698">
        <v>0</v>
      </c>
      <c r="G1698" s="104">
        <v>23374.06</v>
      </c>
    </row>
    <row r="1699" spans="2:7" x14ac:dyDescent="0.25">
      <c r="C1699" t="s">
        <v>1724</v>
      </c>
      <c r="D1699">
        <v>0</v>
      </c>
      <c r="E1699">
        <v>0</v>
      </c>
      <c r="F1699">
        <v>0</v>
      </c>
      <c r="G1699">
        <v>0</v>
      </c>
    </row>
    <row r="1700" spans="2:7" x14ac:dyDescent="0.25">
      <c r="C1700" t="s">
        <v>1740</v>
      </c>
      <c r="D1700" s="104">
        <v>3814.06</v>
      </c>
      <c r="E1700">
        <v>0</v>
      </c>
      <c r="F1700">
        <v>0</v>
      </c>
      <c r="G1700" s="104">
        <v>3814.06</v>
      </c>
    </row>
    <row r="1701" spans="2:7" x14ac:dyDescent="0.25">
      <c r="C1701" t="s">
        <v>1746</v>
      </c>
      <c r="D1701" s="104">
        <v>12807585</v>
      </c>
      <c r="E1701">
        <v>0</v>
      </c>
      <c r="F1701">
        <v>0</v>
      </c>
      <c r="G1701" s="104">
        <v>12807585</v>
      </c>
    </row>
    <row r="1702" spans="2:7" x14ac:dyDescent="0.25">
      <c r="C1702" t="s">
        <v>2749</v>
      </c>
      <c r="D1702" s="104">
        <v>433110.29</v>
      </c>
      <c r="E1702">
        <v>0</v>
      </c>
      <c r="F1702">
        <v>0</v>
      </c>
      <c r="G1702" s="104">
        <v>433110.29</v>
      </c>
    </row>
    <row r="1703" spans="2:7" x14ac:dyDescent="0.25">
      <c r="B1703" t="s">
        <v>1587</v>
      </c>
      <c r="D1703" s="104">
        <v>13267883.41</v>
      </c>
      <c r="E1703">
        <v>0</v>
      </c>
      <c r="F1703">
        <v>0</v>
      </c>
      <c r="G1703" s="104">
        <v>13267883.41</v>
      </c>
    </row>
    <row r="1705" spans="2:7" x14ac:dyDescent="0.25">
      <c r="B1705">
        <v>40501020</v>
      </c>
      <c r="C1705" t="s">
        <v>369</v>
      </c>
    </row>
    <row r="1706" spans="2:7" x14ac:dyDescent="0.25">
      <c r="B1706">
        <v>40501030</v>
      </c>
      <c r="C1706" t="s">
        <v>2395</v>
      </c>
    </row>
    <row r="1707" spans="2:7" x14ac:dyDescent="0.25">
      <c r="C1707" t="s">
        <v>2091</v>
      </c>
      <c r="D1707" s="104">
        <v>754659930.48000002</v>
      </c>
      <c r="E1707">
        <v>0</v>
      </c>
      <c r="F1707">
        <v>0</v>
      </c>
      <c r="G1707" s="104">
        <v>754659930.48000002</v>
      </c>
    </row>
    <row r="1708" spans="2:7" x14ac:dyDescent="0.25">
      <c r="B1708" t="s">
        <v>1587</v>
      </c>
      <c r="D1708" s="104">
        <v>754659930.48000002</v>
      </c>
      <c r="E1708">
        <v>0</v>
      </c>
      <c r="F1708">
        <v>0</v>
      </c>
      <c r="G1708" s="104">
        <v>754659930.48000002</v>
      </c>
    </row>
    <row r="1710" spans="2:7" x14ac:dyDescent="0.25">
      <c r="B1710">
        <v>40501040</v>
      </c>
      <c r="C1710" t="s">
        <v>380</v>
      </c>
    </row>
    <row r="1711" spans="2:7" x14ac:dyDescent="0.25">
      <c r="C1711" t="s">
        <v>1814</v>
      </c>
      <c r="D1711" s="104">
        <v>80445.539999999994</v>
      </c>
      <c r="E1711">
        <v>0</v>
      </c>
      <c r="F1711">
        <v>0</v>
      </c>
      <c r="G1711" s="104">
        <v>80445.539999999994</v>
      </c>
    </row>
    <row r="1712" spans="2:7" x14ac:dyDescent="0.25">
      <c r="B1712" t="s">
        <v>1587</v>
      </c>
      <c r="D1712" s="104">
        <v>80445.539999999994</v>
      </c>
      <c r="E1712">
        <v>0</v>
      </c>
      <c r="F1712">
        <v>0</v>
      </c>
      <c r="G1712" s="104">
        <v>80445.539999999994</v>
      </c>
    </row>
    <row r="1714" spans="2:7" x14ac:dyDescent="0.25">
      <c r="B1714">
        <v>40501050</v>
      </c>
      <c r="C1714" t="s">
        <v>2396</v>
      </c>
    </row>
    <row r="1715" spans="2:7" x14ac:dyDescent="0.25">
      <c r="B1715">
        <v>40501160</v>
      </c>
      <c r="C1715" t="s">
        <v>2397</v>
      </c>
    </row>
    <row r="1716" spans="2:7" x14ac:dyDescent="0.25">
      <c r="B1716">
        <v>40602010</v>
      </c>
      <c r="C1716" t="s">
        <v>775</v>
      </c>
    </row>
    <row r="1717" spans="2:7" x14ac:dyDescent="0.25">
      <c r="C1717" t="s">
        <v>2045</v>
      </c>
      <c r="D1717">
        <v>0</v>
      </c>
      <c r="E1717">
        <v>0</v>
      </c>
      <c r="F1717" s="104">
        <v>183034.31</v>
      </c>
      <c r="G1717" s="104">
        <v>183034.31</v>
      </c>
    </row>
    <row r="1718" spans="2:7" x14ac:dyDescent="0.25">
      <c r="C1718" t="s">
        <v>2059</v>
      </c>
      <c r="D1718">
        <v>0</v>
      </c>
      <c r="E1718">
        <v>0</v>
      </c>
      <c r="F1718" s="104">
        <v>27331.919999999998</v>
      </c>
      <c r="G1718" s="104">
        <v>27331.919999999998</v>
      </c>
    </row>
    <row r="1719" spans="2:7" x14ac:dyDescent="0.25">
      <c r="C1719" t="s">
        <v>1928</v>
      </c>
      <c r="D1719">
        <v>0</v>
      </c>
      <c r="E1719">
        <v>0</v>
      </c>
      <c r="F1719" s="104">
        <v>17964.25</v>
      </c>
      <c r="G1719" s="104">
        <v>17964.25</v>
      </c>
    </row>
    <row r="1720" spans="2:7" x14ac:dyDescent="0.25">
      <c r="C1720" t="s">
        <v>1824</v>
      </c>
      <c r="D1720">
        <v>0</v>
      </c>
      <c r="E1720">
        <v>0</v>
      </c>
      <c r="F1720" s="104">
        <v>571824.56999999995</v>
      </c>
      <c r="G1720" s="104">
        <v>571824.56999999995</v>
      </c>
    </row>
    <row r="1721" spans="2:7" x14ac:dyDescent="0.25">
      <c r="C1721" t="s">
        <v>1834</v>
      </c>
      <c r="D1721">
        <v>0</v>
      </c>
      <c r="E1721">
        <v>0</v>
      </c>
      <c r="F1721" s="104">
        <v>159438.78</v>
      </c>
      <c r="G1721" s="104">
        <v>159438.78</v>
      </c>
    </row>
    <row r="1722" spans="2:7" x14ac:dyDescent="0.25">
      <c r="C1722" t="s">
        <v>1849</v>
      </c>
      <c r="D1722">
        <v>0</v>
      </c>
      <c r="E1722">
        <v>0</v>
      </c>
      <c r="F1722" s="104">
        <v>250819.38</v>
      </c>
      <c r="G1722" s="104">
        <v>250819.38</v>
      </c>
    </row>
    <row r="1723" spans="2:7" x14ac:dyDescent="0.25">
      <c r="B1723" t="s">
        <v>1587</v>
      </c>
      <c r="D1723">
        <v>0</v>
      </c>
      <c r="E1723">
        <v>0</v>
      </c>
      <c r="F1723" s="104">
        <v>1210413.21</v>
      </c>
      <c r="G1723" s="104">
        <v>1210413.21</v>
      </c>
    </row>
    <row r="1725" spans="2:7" x14ac:dyDescent="0.25">
      <c r="B1725">
        <v>40603990</v>
      </c>
      <c r="C1725" t="s">
        <v>381</v>
      </c>
    </row>
    <row r="1726" spans="2:7" x14ac:dyDescent="0.25">
      <c r="C1726" t="s">
        <v>1819</v>
      </c>
      <c r="D1726">
        <v>0</v>
      </c>
      <c r="E1726">
        <v>0</v>
      </c>
      <c r="F1726">
        <v>0</v>
      </c>
      <c r="G1726">
        <v>0</v>
      </c>
    </row>
    <row r="1727" spans="2:7" x14ac:dyDescent="0.25">
      <c r="C1727" t="s">
        <v>1820</v>
      </c>
      <c r="D1727" s="104">
        <v>1322599.19</v>
      </c>
      <c r="E1727">
        <v>0</v>
      </c>
      <c r="F1727" s="104">
        <v>165324.9</v>
      </c>
      <c r="G1727" s="104">
        <v>1487924.09</v>
      </c>
    </row>
    <row r="1728" spans="2:7" x14ac:dyDescent="0.25">
      <c r="C1728" t="s">
        <v>1954</v>
      </c>
      <c r="D1728">
        <v>0</v>
      </c>
      <c r="E1728">
        <v>0</v>
      </c>
      <c r="F1728">
        <v>0</v>
      </c>
      <c r="G1728">
        <v>0</v>
      </c>
    </row>
    <row r="1729" spans="3:7" x14ac:dyDescent="0.25">
      <c r="C1729" t="s">
        <v>1822</v>
      </c>
      <c r="D1729" s="104">
        <v>54960</v>
      </c>
      <c r="E1729">
        <v>0</v>
      </c>
      <c r="F1729" s="104">
        <v>6870</v>
      </c>
      <c r="G1729" s="104">
        <v>61830</v>
      </c>
    </row>
    <row r="1730" spans="3:7" x14ac:dyDescent="0.25">
      <c r="C1730" t="s">
        <v>1823</v>
      </c>
      <c r="D1730" s="104">
        <v>420928.8</v>
      </c>
      <c r="E1730">
        <v>0</v>
      </c>
      <c r="F1730" s="104">
        <v>52616.1</v>
      </c>
      <c r="G1730" s="104">
        <v>473544.9</v>
      </c>
    </row>
    <row r="1731" spans="3:7" x14ac:dyDescent="0.25">
      <c r="C1731" t="s">
        <v>1786</v>
      </c>
      <c r="D1731" s="104">
        <v>3360</v>
      </c>
      <c r="E1731">
        <v>0</v>
      </c>
      <c r="F1731">
        <v>420</v>
      </c>
      <c r="G1731" s="104">
        <v>3780</v>
      </c>
    </row>
    <row r="1732" spans="3:7" x14ac:dyDescent="0.25">
      <c r="C1732" t="s">
        <v>1787</v>
      </c>
      <c r="D1732" s="104">
        <v>334152</v>
      </c>
      <c r="E1732">
        <v>0</v>
      </c>
      <c r="F1732" s="104">
        <v>41769</v>
      </c>
      <c r="G1732" s="104">
        <v>375921</v>
      </c>
    </row>
    <row r="1733" spans="3:7" x14ac:dyDescent="0.25">
      <c r="C1733" t="s">
        <v>1830</v>
      </c>
      <c r="D1733" s="104">
        <v>411844.99</v>
      </c>
      <c r="E1733">
        <v>0</v>
      </c>
      <c r="F1733" s="104">
        <v>12919.8</v>
      </c>
      <c r="G1733" s="104">
        <v>424764.79</v>
      </c>
    </row>
    <row r="1734" spans="3:7" x14ac:dyDescent="0.25">
      <c r="C1734" t="s">
        <v>1840</v>
      </c>
      <c r="D1734">
        <v>0</v>
      </c>
      <c r="E1734">
        <v>0</v>
      </c>
      <c r="F1734">
        <v>0</v>
      </c>
      <c r="G1734">
        <v>0</v>
      </c>
    </row>
    <row r="1735" spans="3:7" x14ac:dyDescent="0.25">
      <c r="C1735" t="s">
        <v>1844</v>
      </c>
      <c r="D1735" s="104">
        <v>43939.199999999997</v>
      </c>
      <c r="E1735">
        <v>0</v>
      </c>
      <c r="F1735" s="104">
        <v>5492.4</v>
      </c>
      <c r="G1735" s="104">
        <v>49431.6</v>
      </c>
    </row>
    <row r="1736" spans="3:7" x14ac:dyDescent="0.25">
      <c r="C1736" t="s">
        <v>2398</v>
      </c>
      <c r="D1736">
        <v>0</v>
      </c>
      <c r="E1736">
        <v>0</v>
      </c>
      <c r="F1736">
        <v>0</v>
      </c>
      <c r="G1736">
        <v>0</v>
      </c>
    </row>
    <row r="1737" spans="3:7" x14ac:dyDescent="0.25">
      <c r="C1737" t="s">
        <v>1852</v>
      </c>
      <c r="D1737">
        <v>0</v>
      </c>
      <c r="E1737">
        <v>0</v>
      </c>
      <c r="F1737">
        <v>0</v>
      </c>
      <c r="G1737">
        <v>0</v>
      </c>
    </row>
    <row r="1738" spans="3:7" x14ac:dyDescent="0.25">
      <c r="C1738" t="s">
        <v>1861</v>
      </c>
      <c r="D1738">
        <v>0</v>
      </c>
      <c r="E1738">
        <v>0</v>
      </c>
      <c r="F1738">
        <v>0</v>
      </c>
      <c r="G1738">
        <v>0</v>
      </c>
    </row>
    <row r="1739" spans="3:7" x14ac:dyDescent="0.25">
      <c r="C1739" t="s">
        <v>1867</v>
      </c>
      <c r="D1739">
        <v>0</v>
      </c>
      <c r="E1739">
        <v>0</v>
      </c>
      <c r="F1739">
        <v>0</v>
      </c>
      <c r="G1739">
        <v>0</v>
      </c>
    </row>
    <row r="1740" spans="3:7" x14ac:dyDescent="0.25">
      <c r="C1740" t="s">
        <v>2399</v>
      </c>
      <c r="D1740">
        <v>0</v>
      </c>
      <c r="E1740">
        <v>0</v>
      </c>
      <c r="F1740">
        <v>0</v>
      </c>
      <c r="G1740">
        <v>0</v>
      </c>
    </row>
    <row r="1741" spans="3:7" x14ac:dyDescent="0.25">
      <c r="C1741" t="s">
        <v>2400</v>
      </c>
      <c r="D1741">
        <v>0</v>
      </c>
      <c r="E1741">
        <v>0</v>
      </c>
      <c r="F1741">
        <v>0</v>
      </c>
      <c r="G1741">
        <v>0</v>
      </c>
    </row>
    <row r="1742" spans="3:7" x14ac:dyDescent="0.25">
      <c r="C1742" t="s">
        <v>1814</v>
      </c>
      <c r="D1742">
        <v>0</v>
      </c>
      <c r="E1742">
        <v>0</v>
      </c>
      <c r="F1742">
        <v>0</v>
      </c>
      <c r="G1742">
        <v>0</v>
      </c>
    </row>
    <row r="1743" spans="3:7" x14ac:dyDescent="0.25">
      <c r="C1743" t="s">
        <v>1932</v>
      </c>
      <c r="D1743">
        <v>543.23</v>
      </c>
      <c r="E1743">
        <v>0</v>
      </c>
      <c r="F1743">
        <v>0</v>
      </c>
      <c r="G1743">
        <v>543.23</v>
      </c>
    </row>
    <row r="1744" spans="3:7" x14ac:dyDescent="0.25">
      <c r="C1744" t="s">
        <v>2401</v>
      </c>
      <c r="D1744">
        <v>0</v>
      </c>
      <c r="E1744">
        <v>0</v>
      </c>
      <c r="F1744">
        <v>0</v>
      </c>
      <c r="G1744">
        <v>0</v>
      </c>
    </row>
    <row r="1745" spans="3:7" x14ac:dyDescent="0.25">
      <c r="C1745" t="s">
        <v>1824</v>
      </c>
      <c r="D1745" s="104">
        <v>347598.17</v>
      </c>
      <c r="E1745">
        <v>0</v>
      </c>
      <c r="F1745">
        <v>0</v>
      </c>
      <c r="G1745" s="104">
        <v>347598.17</v>
      </c>
    </row>
    <row r="1746" spans="3:7" x14ac:dyDescent="0.25">
      <c r="C1746" t="s">
        <v>1896</v>
      </c>
      <c r="D1746">
        <v>0</v>
      </c>
      <c r="E1746">
        <v>0</v>
      </c>
      <c r="F1746">
        <v>0</v>
      </c>
      <c r="G1746">
        <v>0</v>
      </c>
    </row>
    <row r="1747" spans="3:7" x14ac:dyDescent="0.25">
      <c r="C1747" t="s">
        <v>1851</v>
      </c>
      <c r="D1747" s="104">
        <v>7920</v>
      </c>
      <c r="E1747">
        <v>0</v>
      </c>
      <c r="F1747">
        <v>990</v>
      </c>
      <c r="G1747" s="104">
        <v>8910</v>
      </c>
    </row>
    <row r="1748" spans="3:7" x14ac:dyDescent="0.25">
      <c r="C1748" t="s">
        <v>2285</v>
      </c>
      <c r="D1748">
        <v>0</v>
      </c>
      <c r="E1748">
        <v>0</v>
      </c>
      <c r="F1748">
        <v>0</v>
      </c>
      <c r="G1748">
        <v>0</v>
      </c>
    </row>
    <row r="1749" spans="3:7" x14ac:dyDescent="0.25">
      <c r="C1749" t="s">
        <v>2065</v>
      </c>
      <c r="D1749">
        <v>0</v>
      </c>
      <c r="E1749">
        <v>0</v>
      </c>
      <c r="F1749">
        <v>0</v>
      </c>
      <c r="G1749">
        <v>0</v>
      </c>
    </row>
    <row r="1750" spans="3:7" x14ac:dyDescent="0.25">
      <c r="C1750" t="s">
        <v>2403</v>
      </c>
      <c r="D1750">
        <v>0</v>
      </c>
      <c r="E1750">
        <v>0</v>
      </c>
      <c r="F1750">
        <v>0</v>
      </c>
      <c r="G1750">
        <v>0</v>
      </c>
    </row>
    <row r="1751" spans="3:7" x14ac:dyDescent="0.25">
      <c r="C1751" t="s">
        <v>1871</v>
      </c>
      <c r="D1751">
        <v>0</v>
      </c>
      <c r="E1751">
        <v>0</v>
      </c>
      <c r="F1751">
        <v>0</v>
      </c>
      <c r="G1751">
        <v>0</v>
      </c>
    </row>
    <row r="1752" spans="3:7" x14ac:dyDescent="0.25">
      <c r="C1752" t="s">
        <v>1874</v>
      </c>
      <c r="D1752" s="104">
        <v>98580</v>
      </c>
      <c r="E1752">
        <v>0</v>
      </c>
      <c r="F1752" s="104">
        <v>12322.5</v>
      </c>
      <c r="G1752" s="104">
        <v>110902.5</v>
      </c>
    </row>
    <row r="1753" spans="3:7" x14ac:dyDescent="0.25">
      <c r="C1753" t="s">
        <v>2404</v>
      </c>
      <c r="D1753">
        <v>0</v>
      </c>
      <c r="E1753">
        <v>0</v>
      </c>
      <c r="F1753">
        <v>0</v>
      </c>
      <c r="G1753">
        <v>0</v>
      </c>
    </row>
    <row r="1754" spans="3:7" x14ac:dyDescent="0.25">
      <c r="C1754" t="s">
        <v>2405</v>
      </c>
      <c r="D1754">
        <v>0</v>
      </c>
      <c r="E1754">
        <v>0</v>
      </c>
      <c r="F1754">
        <v>0</v>
      </c>
      <c r="G1754">
        <v>0</v>
      </c>
    </row>
    <row r="1755" spans="3:7" x14ac:dyDescent="0.25">
      <c r="C1755" t="s">
        <v>1884</v>
      </c>
      <c r="D1755" s="104">
        <v>46598.400000000001</v>
      </c>
      <c r="E1755">
        <v>0</v>
      </c>
      <c r="F1755" s="104">
        <v>5824.8</v>
      </c>
      <c r="G1755" s="104">
        <v>52423.199999999997</v>
      </c>
    </row>
    <row r="1756" spans="3:7" x14ac:dyDescent="0.25">
      <c r="C1756" t="s">
        <v>1885</v>
      </c>
      <c r="D1756" s="104">
        <v>10473.59</v>
      </c>
      <c r="E1756">
        <v>0</v>
      </c>
      <c r="F1756" s="104">
        <v>1309.2</v>
      </c>
      <c r="G1756" s="104">
        <v>11782.79</v>
      </c>
    </row>
    <row r="1757" spans="3:7" x14ac:dyDescent="0.25">
      <c r="C1757" t="s">
        <v>1886</v>
      </c>
      <c r="D1757" s="104">
        <v>36000</v>
      </c>
      <c r="E1757">
        <v>0</v>
      </c>
      <c r="F1757" s="104">
        <v>4500</v>
      </c>
      <c r="G1757" s="104">
        <v>40500</v>
      </c>
    </row>
    <row r="1758" spans="3:7" x14ac:dyDescent="0.25">
      <c r="C1758" t="s">
        <v>1887</v>
      </c>
      <c r="D1758" s="104">
        <v>46598.400000000001</v>
      </c>
      <c r="E1758">
        <v>0</v>
      </c>
      <c r="F1758" s="104">
        <v>5824.8</v>
      </c>
      <c r="G1758" s="104">
        <v>52423.199999999997</v>
      </c>
    </row>
    <row r="1759" spans="3:7" x14ac:dyDescent="0.25">
      <c r="C1759" t="s">
        <v>1888</v>
      </c>
      <c r="D1759" s="104">
        <v>22862.400000000001</v>
      </c>
      <c r="E1759">
        <v>0</v>
      </c>
      <c r="F1759" s="104">
        <v>2857.8</v>
      </c>
      <c r="G1759" s="104">
        <v>25720.2</v>
      </c>
    </row>
    <row r="1760" spans="3:7" x14ac:dyDescent="0.25">
      <c r="C1760" t="s">
        <v>2411</v>
      </c>
      <c r="D1760">
        <v>529.47</v>
      </c>
      <c r="E1760">
        <v>0</v>
      </c>
      <c r="F1760">
        <v>0</v>
      </c>
      <c r="G1760">
        <v>529.47</v>
      </c>
    </row>
    <row r="1761" spans="2:7" x14ac:dyDescent="0.25">
      <c r="C1761" t="s">
        <v>2770</v>
      </c>
      <c r="D1761">
        <v>138</v>
      </c>
      <c r="E1761">
        <v>0</v>
      </c>
      <c r="F1761">
        <v>0</v>
      </c>
      <c r="G1761">
        <v>138</v>
      </c>
    </row>
    <row r="1762" spans="2:7" x14ac:dyDescent="0.25">
      <c r="C1762" t="s">
        <v>2771</v>
      </c>
      <c r="D1762" s="104">
        <v>2678.57</v>
      </c>
      <c r="E1762">
        <v>0</v>
      </c>
      <c r="F1762">
        <v>0</v>
      </c>
      <c r="G1762" s="104">
        <v>2678.57</v>
      </c>
    </row>
    <row r="1763" spans="2:7" x14ac:dyDescent="0.25">
      <c r="C1763" t="s">
        <v>2772</v>
      </c>
      <c r="D1763">
        <v>119.64</v>
      </c>
      <c r="E1763">
        <v>0</v>
      </c>
      <c r="F1763">
        <v>0</v>
      </c>
      <c r="G1763">
        <v>119.64</v>
      </c>
    </row>
    <row r="1764" spans="2:7" x14ac:dyDescent="0.25">
      <c r="B1764" t="s">
        <v>1587</v>
      </c>
      <c r="D1764" s="104">
        <v>3212424.05</v>
      </c>
      <c r="E1764">
        <v>0</v>
      </c>
      <c r="F1764" s="104">
        <v>319041.3</v>
      </c>
      <c r="G1764" s="104">
        <v>3531465.35</v>
      </c>
    </row>
    <row r="1766" spans="2:7" x14ac:dyDescent="0.25">
      <c r="B1766">
        <v>50101010</v>
      </c>
      <c r="C1766" t="s">
        <v>399</v>
      </c>
    </row>
    <row r="1767" spans="2:7" x14ac:dyDescent="0.25">
      <c r="C1767" t="s">
        <v>2269</v>
      </c>
      <c r="D1767" s="104">
        <v>1928707.62</v>
      </c>
      <c r="E1767" s="104">
        <v>1083740.5</v>
      </c>
      <c r="F1767">
        <v>0</v>
      </c>
      <c r="G1767" s="104">
        <v>3012448.12</v>
      </c>
    </row>
    <row r="1768" spans="2:7" x14ac:dyDescent="0.25">
      <c r="C1768" t="s">
        <v>2270</v>
      </c>
      <c r="D1768" s="104">
        <v>2482627.2000000002</v>
      </c>
      <c r="E1768" s="104">
        <v>255668</v>
      </c>
      <c r="F1768">
        <v>0</v>
      </c>
      <c r="G1768" s="104">
        <v>2738295.2</v>
      </c>
    </row>
    <row r="1769" spans="2:7" x14ac:dyDescent="0.25">
      <c r="C1769" t="s">
        <v>2413</v>
      </c>
      <c r="D1769" s="104">
        <v>2580600.83</v>
      </c>
      <c r="E1769" s="104">
        <v>420804.78</v>
      </c>
      <c r="F1769">
        <v>0</v>
      </c>
      <c r="G1769" s="104">
        <v>3001405.61</v>
      </c>
    </row>
    <row r="1770" spans="2:7" x14ac:dyDescent="0.25">
      <c r="C1770" t="s">
        <v>2414</v>
      </c>
      <c r="D1770" s="104">
        <v>434781</v>
      </c>
      <c r="E1770">
        <v>0</v>
      </c>
      <c r="F1770">
        <v>0</v>
      </c>
      <c r="G1770" s="104">
        <v>434781</v>
      </c>
    </row>
    <row r="1771" spans="2:7" x14ac:dyDescent="0.25">
      <c r="C1771" t="s">
        <v>2415</v>
      </c>
      <c r="D1771" s="104">
        <v>882805.18</v>
      </c>
      <c r="E1771" s="104">
        <v>177849</v>
      </c>
      <c r="F1771">
        <v>0</v>
      </c>
      <c r="G1771" s="104">
        <v>1060654.18</v>
      </c>
    </row>
    <row r="1772" spans="2:7" x14ac:dyDescent="0.25">
      <c r="C1772" t="s">
        <v>2416</v>
      </c>
      <c r="D1772" s="104">
        <v>2872651.41</v>
      </c>
      <c r="E1772" s="104">
        <v>387151.82</v>
      </c>
      <c r="F1772">
        <v>0</v>
      </c>
      <c r="G1772" s="104">
        <v>3259803.23</v>
      </c>
    </row>
    <row r="1773" spans="2:7" x14ac:dyDescent="0.25">
      <c r="C1773" t="s">
        <v>2145</v>
      </c>
      <c r="D1773">
        <v>0</v>
      </c>
      <c r="E1773">
        <v>0</v>
      </c>
      <c r="F1773">
        <v>0</v>
      </c>
      <c r="G1773">
        <v>0</v>
      </c>
    </row>
    <row r="1774" spans="2:7" x14ac:dyDescent="0.25">
      <c r="C1774" t="s">
        <v>2421</v>
      </c>
      <c r="D1774" s="104">
        <v>625478</v>
      </c>
      <c r="E1774" s="104">
        <v>80003</v>
      </c>
      <c r="F1774">
        <v>0</v>
      </c>
      <c r="G1774" s="104">
        <v>705481</v>
      </c>
    </row>
    <row r="1775" spans="2:7" x14ac:dyDescent="0.25">
      <c r="C1775" t="s">
        <v>2417</v>
      </c>
      <c r="D1775" s="104">
        <v>1339456</v>
      </c>
      <c r="E1775" s="104">
        <v>167432</v>
      </c>
      <c r="F1775">
        <v>0</v>
      </c>
      <c r="G1775" s="104">
        <v>1506888</v>
      </c>
    </row>
    <row r="1776" spans="2:7" x14ac:dyDescent="0.25">
      <c r="C1776" t="s">
        <v>2418</v>
      </c>
      <c r="D1776" s="104">
        <v>1339456</v>
      </c>
      <c r="E1776" s="104">
        <v>167432</v>
      </c>
      <c r="F1776">
        <v>0</v>
      </c>
      <c r="G1776" s="104">
        <v>1506888</v>
      </c>
    </row>
    <row r="1777" spans="2:7" x14ac:dyDescent="0.25">
      <c r="C1777" t="s">
        <v>2773</v>
      </c>
      <c r="D1777" s="104">
        <v>5337523.4400000004</v>
      </c>
      <c r="E1777" s="104">
        <v>760455.95</v>
      </c>
      <c r="F1777">
        <v>0</v>
      </c>
      <c r="G1777" s="104">
        <v>6097979.3899999997</v>
      </c>
    </row>
    <row r="1778" spans="2:7" x14ac:dyDescent="0.25">
      <c r="C1778" t="s">
        <v>2774</v>
      </c>
      <c r="D1778" s="104">
        <v>3629549.13</v>
      </c>
      <c r="E1778" s="104">
        <v>507625</v>
      </c>
      <c r="F1778">
        <v>0</v>
      </c>
      <c r="G1778" s="104">
        <v>4137174.13</v>
      </c>
    </row>
    <row r="1779" spans="2:7" x14ac:dyDescent="0.25">
      <c r="B1779" t="s">
        <v>1587</v>
      </c>
      <c r="D1779" s="104">
        <v>23453635.809999999</v>
      </c>
      <c r="E1779" s="104">
        <v>4008162.05</v>
      </c>
      <c r="F1779">
        <v>0</v>
      </c>
      <c r="G1779" s="104">
        <v>27461797.859999999</v>
      </c>
    </row>
    <row r="1781" spans="2:7" x14ac:dyDescent="0.25">
      <c r="B1781">
        <v>50101020</v>
      </c>
      <c r="C1781" t="s">
        <v>2420</v>
      </c>
    </row>
    <row r="1782" spans="2:7" x14ac:dyDescent="0.25">
      <c r="B1782">
        <v>50102010</v>
      </c>
      <c r="C1782" t="s">
        <v>434</v>
      </c>
    </row>
    <row r="1783" spans="2:7" x14ac:dyDescent="0.25">
      <c r="C1783" t="s">
        <v>2269</v>
      </c>
      <c r="D1783" s="104">
        <v>55000</v>
      </c>
      <c r="E1783" s="104">
        <v>16636.36</v>
      </c>
      <c r="F1783">
        <v>0</v>
      </c>
      <c r="G1783" s="104">
        <v>71636.36</v>
      </c>
    </row>
    <row r="1784" spans="2:7" x14ac:dyDescent="0.25">
      <c r="C1784" t="s">
        <v>2270</v>
      </c>
      <c r="D1784" s="104">
        <v>59818.18</v>
      </c>
      <c r="E1784" s="104">
        <v>5909.09</v>
      </c>
      <c r="F1784">
        <v>0</v>
      </c>
      <c r="G1784" s="104">
        <v>65727.27</v>
      </c>
    </row>
    <row r="1785" spans="2:7" x14ac:dyDescent="0.25">
      <c r="C1785" t="s">
        <v>2414</v>
      </c>
      <c r="D1785" s="104">
        <v>12000</v>
      </c>
      <c r="E1785">
        <v>0</v>
      </c>
      <c r="F1785">
        <v>0</v>
      </c>
      <c r="G1785" s="104">
        <v>12000</v>
      </c>
    </row>
    <row r="1786" spans="2:7" x14ac:dyDescent="0.25">
      <c r="C1786" t="s">
        <v>2413</v>
      </c>
      <c r="D1786" s="104">
        <v>50000</v>
      </c>
      <c r="E1786" s="104">
        <v>7818.18</v>
      </c>
      <c r="F1786">
        <v>0</v>
      </c>
      <c r="G1786" s="104">
        <v>57818.18</v>
      </c>
    </row>
    <row r="1787" spans="2:7" x14ac:dyDescent="0.25">
      <c r="C1787" t="s">
        <v>2415</v>
      </c>
      <c r="D1787" s="104">
        <v>18000</v>
      </c>
      <c r="E1787" s="104">
        <v>4000</v>
      </c>
      <c r="F1787">
        <v>0</v>
      </c>
      <c r="G1787" s="104">
        <v>22000</v>
      </c>
    </row>
    <row r="1788" spans="2:7" x14ac:dyDescent="0.25">
      <c r="C1788" t="s">
        <v>2416</v>
      </c>
      <c r="D1788" s="104">
        <v>53727.27</v>
      </c>
      <c r="E1788" s="104">
        <v>8000</v>
      </c>
      <c r="F1788">
        <v>0</v>
      </c>
      <c r="G1788" s="104">
        <v>61727.27</v>
      </c>
    </row>
    <row r="1789" spans="2:7" x14ac:dyDescent="0.25">
      <c r="C1789" t="s">
        <v>2421</v>
      </c>
      <c r="D1789" s="104">
        <v>15636.36</v>
      </c>
      <c r="E1789" s="104">
        <v>2000</v>
      </c>
      <c r="F1789">
        <v>0</v>
      </c>
      <c r="G1789" s="104">
        <v>17636.36</v>
      </c>
    </row>
    <row r="1790" spans="2:7" x14ac:dyDescent="0.25">
      <c r="C1790" t="s">
        <v>2417</v>
      </c>
      <c r="D1790" s="104">
        <v>16000</v>
      </c>
      <c r="E1790" s="104">
        <v>2000</v>
      </c>
      <c r="F1790">
        <v>0</v>
      </c>
      <c r="G1790" s="104">
        <v>18000</v>
      </c>
    </row>
    <row r="1791" spans="2:7" x14ac:dyDescent="0.25">
      <c r="C1791" t="s">
        <v>2418</v>
      </c>
      <c r="D1791" s="104">
        <v>16000</v>
      </c>
      <c r="E1791" s="104">
        <v>2000</v>
      </c>
      <c r="F1791">
        <v>0</v>
      </c>
      <c r="G1791" s="104">
        <v>18000</v>
      </c>
    </row>
    <row r="1792" spans="2:7" x14ac:dyDescent="0.25">
      <c r="C1792" t="s">
        <v>2773</v>
      </c>
      <c r="D1792" s="104">
        <v>146000</v>
      </c>
      <c r="E1792" s="104">
        <v>21363.64</v>
      </c>
      <c r="F1792">
        <v>0</v>
      </c>
      <c r="G1792" s="104">
        <v>167363.64000000001</v>
      </c>
    </row>
    <row r="1793" spans="2:7" x14ac:dyDescent="0.25">
      <c r="C1793" t="s">
        <v>2774</v>
      </c>
      <c r="D1793" s="104">
        <v>108818.18</v>
      </c>
      <c r="E1793" s="104">
        <v>14000</v>
      </c>
      <c r="F1793">
        <v>0</v>
      </c>
      <c r="G1793" s="104">
        <v>122818.18</v>
      </c>
    </row>
    <row r="1794" spans="2:7" x14ac:dyDescent="0.25">
      <c r="B1794" t="s">
        <v>1587</v>
      </c>
      <c r="D1794" s="104">
        <v>550999.99</v>
      </c>
      <c r="E1794" s="104">
        <v>83727.27</v>
      </c>
      <c r="F1794">
        <v>0</v>
      </c>
      <c r="G1794" s="104">
        <v>634727.26</v>
      </c>
    </row>
    <row r="1796" spans="2:7" x14ac:dyDescent="0.25">
      <c r="B1796">
        <v>50102020</v>
      </c>
      <c r="C1796" t="s">
        <v>435</v>
      </c>
    </row>
    <row r="1797" spans="2:7" x14ac:dyDescent="0.25">
      <c r="C1797" t="s">
        <v>2269</v>
      </c>
      <c r="D1797" s="104">
        <v>43125</v>
      </c>
      <c r="E1797" s="104">
        <v>57500</v>
      </c>
      <c r="F1797">
        <v>0</v>
      </c>
      <c r="G1797" s="104">
        <v>100625</v>
      </c>
    </row>
    <row r="1798" spans="2:7" x14ac:dyDescent="0.25">
      <c r="C1798" t="s">
        <v>2270</v>
      </c>
      <c r="D1798" s="104">
        <v>100000</v>
      </c>
      <c r="E1798" s="104">
        <v>12500</v>
      </c>
      <c r="F1798">
        <v>0</v>
      </c>
      <c r="G1798" s="104">
        <v>112500</v>
      </c>
    </row>
    <row r="1799" spans="2:7" x14ac:dyDescent="0.25">
      <c r="C1799" t="s">
        <v>2413</v>
      </c>
      <c r="D1799" s="104">
        <v>64136.36</v>
      </c>
      <c r="E1799" s="104">
        <v>8500</v>
      </c>
      <c r="F1799">
        <v>0</v>
      </c>
      <c r="G1799" s="104">
        <v>72636.36</v>
      </c>
    </row>
    <row r="1800" spans="2:7" x14ac:dyDescent="0.25">
      <c r="C1800" t="s">
        <v>2415</v>
      </c>
      <c r="D1800" s="104">
        <v>68000</v>
      </c>
      <c r="E1800" s="104">
        <v>8500</v>
      </c>
      <c r="F1800">
        <v>0</v>
      </c>
      <c r="G1800" s="104">
        <v>76500</v>
      </c>
    </row>
    <row r="1801" spans="2:7" x14ac:dyDescent="0.25">
      <c r="C1801" t="s">
        <v>2416</v>
      </c>
      <c r="D1801" s="104">
        <v>92000</v>
      </c>
      <c r="E1801" s="104">
        <v>11500</v>
      </c>
      <c r="F1801">
        <v>0</v>
      </c>
      <c r="G1801" s="104">
        <v>103500</v>
      </c>
    </row>
    <row r="1802" spans="2:7" x14ac:dyDescent="0.25">
      <c r="C1802" t="s">
        <v>2414</v>
      </c>
      <c r="D1802" s="104">
        <v>10000</v>
      </c>
      <c r="E1802">
        <v>0</v>
      </c>
      <c r="F1802">
        <v>0</v>
      </c>
      <c r="G1802" s="104">
        <v>10000</v>
      </c>
    </row>
    <row r="1803" spans="2:7" x14ac:dyDescent="0.25">
      <c r="C1803" t="s">
        <v>2417</v>
      </c>
      <c r="D1803" s="104">
        <v>92000</v>
      </c>
      <c r="E1803" s="104">
        <v>11500</v>
      </c>
      <c r="F1803">
        <v>0</v>
      </c>
      <c r="G1803" s="104">
        <v>103500</v>
      </c>
    </row>
    <row r="1804" spans="2:7" x14ac:dyDescent="0.25">
      <c r="C1804" t="s">
        <v>2418</v>
      </c>
      <c r="D1804" s="104">
        <v>92000</v>
      </c>
      <c r="E1804" s="104">
        <v>11500</v>
      </c>
      <c r="F1804">
        <v>0</v>
      </c>
      <c r="G1804" s="104">
        <v>103500</v>
      </c>
    </row>
    <row r="1805" spans="2:7" x14ac:dyDescent="0.25">
      <c r="C1805" t="s">
        <v>2773</v>
      </c>
      <c r="D1805" s="104">
        <v>92000</v>
      </c>
      <c r="E1805" s="104">
        <v>11500</v>
      </c>
      <c r="F1805">
        <v>0</v>
      </c>
      <c r="G1805" s="104">
        <v>103500</v>
      </c>
    </row>
    <row r="1806" spans="2:7" x14ac:dyDescent="0.25">
      <c r="C1806" t="s">
        <v>2774</v>
      </c>
      <c r="D1806" s="104">
        <v>82000</v>
      </c>
      <c r="E1806" s="104">
        <v>11500</v>
      </c>
      <c r="F1806">
        <v>0</v>
      </c>
      <c r="G1806" s="104">
        <v>93500</v>
      </c>
    </row>
    <row r="1807" spans="2:7" x14ac:dyDescent="0.25">
      <c r="B1807" t="s">
        <v>1587</v>
      </c>
      <c r="D1807" s="104">
        <v>735261.36</v>
      </c>
      <c r="E1807" s="104">
        <v>144500</v>
      </c>
      <c r="F1807">
        <v>0</v>
      </c>
      <c r="G1807" s="104">
        <v>879761.36</v>
      </c>
    </row>
    <row r="1809" spans="2:7" x14ac:dyDescent="0.25">
      <c r="B1809">
        <v>50102030</v>
      </c>
      <c r="C1809" t="s">
        <v>400</v>
      </c>
    </row>
    <row r="1810" spans="2:7" x14ac:dyDescent="0.25">
      <c r="C1810" t="s">
        <v>2269</v>
      </c>
      <c r="D1810">
        <v>0</v>
      </c>
      <c r="E1810">
        <v>0</v>
      </c>
      <c r="F1810">
        <v>0</v>
      </c>
      <c r="G1810">
        <v>0</v>
      </c>
    </row>
    <row r="1811" spans="2:7" x14ac:dyDescent="0.25">
      <c r="C1811" t="s">
        <v>2413</v>
      </c>
      <c r="D1811">
        <v>0</v>
      </c>
      <c r="E1811">
        <v>0</v>
      </c>
      <c r="F1811">
        <v>0</v>
      </c>
      <c r="G1811">
        <v>0</v>
      </c>
    </row>
    <row r="1812" spans="2:7" x14ac:dyDescent="0.25">
      <c r="C1812" t="s">
        <v>2415</v>
      </c>
      <c r="D1812" s="104">
        <v>42113.64</v>
      </c>
      <c r="E1812">
        <v>0</v>
      </c>
      <c r="F1812">
        <v>0</v>
      </c>
      <c r="G1812" s="104">
        <v>42113.64</v>
      </c>
    </row>
    <row r="1813" spans="2:7" x14ac:dyDescent="0.25">
      <c r="C1813" t="s">
        <v>2416</v>
      </c>
      <c r="D1813">
        <v>0</v>
      </c>
      <c r="E1813">
        <v>0</v>
      </c>
      <c r="F1813">
        <v>0</v>
      </c>
      <c r="G1813">
        <v>0</v>
      </c>
    </row>
    <row r="1814" spans="2:7" x14ac:dyDescent="0.25">
      <c r="C1814" t="s">
        <v>2414</v>
      </c>
      <c r="D1814" s="104">
        <v>8636.36</v>
      </c>
      <c r="E1814">
        <v>0</v>
      </c>
      <c r="F1814">
        <v>0</v>
      </c>
      <c r="G1814" s="104">
        <v>8636.36</v>
      </c>
    </row>
    <row r="1815" spans="2:7" x14ac:dyDescent="0.25">
      <c r="C1815" t="s">
        <v>2417</v>
      </c>
      <c r="D1815" s="104">
        <v>10000</v>
      </c>
      <c r="E1815">
        <v>0</v>
      </c>
      <c r="F1815">
        <v>0</v>
      </c>
      <c r="G1815" s="104">
        <v>10000</v>
      </c>
    </row>
    <row r="1816" spans="2:7" x14ac:dyDescent="0.25">
      <c r="C1816" t="s">
        <v>2773</v>
      </c>
      <c r="D1816" s="104">
        <v>91477.27</v>
      </c>
      <c r="E1816" s="104">
        <v>12022.73</v>
      </c>
      <c r="F1816">
        <v>0</v>
      </c>
      <c r="G1816" s="104">
        <v>103500</v>
      </c>
    </row>
    <row r="1817" spans="2:7" x14ac:dyDescent="0.25">
      <c r="C1817" t="s">
        <v>2774</v>
      </c>
      <c r="D1817" s="104">
        <v>65590.929999999993</v>
      </c>
      <c r="E1817" s="104">
        <v>8886.36</v>
      </c>
      <c r="F1817">
        <v>0</v>
      </c>
      <c r="G1817" s="104">
        <v>74477.289999999994</v>
      </c>
    </row>
    <row r="1818" spans="2:7" x14ac:dyDescent="0.25">
      <c r="B1818" t="s">
        <v>1587</v>
      </c>
      <c r="D1818" s="104">
        <v>217818.2</v>
      </c>
      <c r="E1818" s="104">
        <v>20909.09</v>
      </c>
      <c r="F1818">
        <v>0</v>
      </c>
      <c r="G1818" s="104">
        <v>238727.29</v>
      </c>
    </row>
    <row r="1820" spans="2:7" x14ac:dyDescent="0.25">
      <c r="B1820">
        <v>50102040</v>
      </c>
      <c r="C1820" t="s">
        <v>445</v>
      </c>
    </row>
    <row r="1821" spans="2:7" x14ac:dyDescent="0.25">
      <c r="C1821" t="s">
        <v>2269</v>
      </c>
      <c r="D1821" s="104">
        <v>21000</v>
      </c>
      <c r="E1821">
        <v>0</v>
      </c>
      <c r="F1821">
        <v>0</v>
      </c>
      <c r="G1821" s="104">
        <v>21000</v>
      </c>
    </row>
    <row r="1822" spans="2:7" x14ac:dyDescent="0.25">
      <c r="C1822" t="s">
        <v>2270</v>
      </c>
      <c r="D1822" s="104">
        <v>28000</v>
      </c>
      <c r="E1822">
        <v>0</v>
      </c>
      <c r="F1822">
        <v>0</v>
      </c>
      <c r="G1822" s="104">
        <v>28000</v>
      </c>
    </row>
    <row r="1823" spans="2:7" x14ac:dyDescent="0.25">
      <c r="C1823" t="s">
        <v>2413</v>
      </c>
      <c r="D1823" s="104">
        <v>21000</v>
      </c>
      <c r="E1823">
        <v>0</v>
      </c>
      <c r="F1823">
        <v>0</v>
      </c>
      <c r="G1823" s="104">
        <v>21000</v>
      </c>
    </row>
    <row r="1824" spans="2:7" x14ac:dyDescent="0.25">
      <c r="C1824" t="s">
        <v>2415</v>
      </c>
      <c r="D1824" s="104">
        <v>7000</v>
      </c>
      <c r="E1824">
        <v>0</v>
      </c>
      <c r="F1824">
        <v>0</v>
      </c>
      <c r="G1824" s="104">
        <v>7000</v>
      </c>
    </row>
    <row r="1825" spans="2:7" x14ac:dyDescent="0.25">
      <c r="C1825" t="s">
        <v>2416</v>
      </c>
      <c r="D1825" s="104">
        <v>21000</v>
      </c>
      <c r="E1825">
        <v>0</v>
      </c>
      <c r="F1825">
        <v>0</v>
      </c>
      <c r="G1825" s="104">
        <v>21000</v>
      </c>
    </row>
    <row r="1826" spans="2:7" x14ac:dyDescent="0.25">
      <c r="C1826" t="s">
        <v>2421</v>
      </c>
      <c r="D1826" s="104">
        <v>7000</v>
      </c>
      <c r="E1826">
        <v>0</v>
      </c>
      <c r="F1826">
        <v>0</v>
      </c>
      <c r="G1826" s="104">
        <v>7000</v>
      </c>
    </row>
    <row r="1827" spans="2:7" x14ac:dyDescent="0.25">
      <c r="C1827" t="s">
        <v>2418</v>
      </c>
      <c r="D1827" s="104">
        <v>7000</v>
      </c>
      <c r="E1827">
        <v>0</v>
      </c>
      <c r="F1827">
        <v>0</v>
      </c>
      <c r="G1827" s="104">
        <v>7000</v>
      </c>
    </row>
    <row r="1828" spans="2:7" x14ac:dyDescent="0.25">
      <c r="C1828" t="s">
        <v>2422</v>
      </c>
      <c r="D1828" s="104">
        <v>7000</v>
      </c>
      <c r="E1828">
        <v>0</v>
      </c>
      <c r="F1828">
        <v>0</v>
      </c>
      <c r="G1828" s="104">
        <v>7000</v>
      </c>
    </row>
    <row r="1829" spans="2:7" x14ac:dyDescent="0.25">
      <c r="C1829" t="s">
        <v>2773</v>
      </c>
      <c r="D1829" s="104">
        <v>63000</v>
      </c>
      <c r="E1829" s="104">
        <v>7000</v>
      </c>
      <c r="F1829">
        <v>0</v>
      </c>
      <c r="G1829" s="104">
        <v>70000</v>
      </c>
    </row>
    <row r="1830" spans="2:7" x14ac:dyDescent="0.25">
      <c r="C1830" t="s">
        <v>2774</v>
      </c>
      <c r="D1830" s="104">
        <v>56000</v>
      </c>
      <c r="E1830">
        <v>0</v>
      </c>
      <c r="F1830">
        <v>0</v>
      </c>
      <c r="G1830" s="104">
        <v>56000</v>
      </c>
    </row>
    <row r="1831" spans="2:7" x14ac:dyDescent="0.25">
      <c r="B1831" t="s">
        <v>1587</v>
      </c>
      <c r="D1831" s="104">
        <v>238000</v>
      </c>
      <c r="E1831" s="104">
        <v>7000</v>
      </c>
      <c r="F1831">
        <v>0</v>
      </c>
      <c r="G1831" s="104">
        <v>245000</v>
      </c>
    </row>
    <row r="1833" spans="2:7" x14ac:dyDescent="0.25">
      <c r="B1833">
        <v>50102080</v>
      </c>
      <c r="C1833" t="s">
        <v>430</v>
      </c>
    </row>
    <row r="1834" spans="2:7" x14ac:dyDescent="0.25">
      <c r="B1834">
        <v>50102110</v>
      </c>
      <c r="C1834" t="s">
        <v>981</v>
      </c>
    </row>
    <row r="1835" spans="2:7" x14ac:dyDescent="0.25">
      <c r="B1835">
        <v>50102120</v>
      </c>
      <c r="C1835" t="s">
        <v>439</v>
      </c>
    </row>
    <row r="1836" spans="2:7" x14ac:dyDescent="0.25">
      <c r="C1836" t="s">
        <v>2414</v>
      </c>
      <c r="D1836" s="104">
        <v>11339.29</v>
      </c>
      <c r="E1836">
        <v>0</v>
      </c>
      <c r="F1836">
        <v>0</v>
      </c>
      <c r="G1836" s="104">
        <v>11339.29</v>
      </c>
    </row>
    <row r="1837" spans="2:7" x14ac:dyDescent="0.25">
      <c r="C1837" t="s">
        <v>2073</v>
      </c>
      <c r="D1837">
        <v>0</v>
      </c>
      <c r="E1837">
        <v>0</v>
      </c>
      <c r="F1837">
        <v>0</v>
      </c>
      <c r="G1837">
        <v>0</v>
      </c>
    </row>
    <row r="1838" spans="2:7" x14ac:dyDescent="0.25">
      <c r="C1838" t="s">
        <v>2415</v>
      </c>
      <c r="D1838" s="104">
        <v>21339.29</v>
      </c>
      <c r="E1838">
        <v>0</v>
      </c>
      <c r="F1838">
        <v>0</v>
      </c>
      <c r="G1838" s="104">
        <v>21339.29</v>
      </c>
    </row>
    <row r="1839" spans="2:7" x14ac:dyDescent="0.25">
      <c r="C1839" t="s">
        <v>2416</v>
      </c>
      <c r="D1839" s="104">
        <v>11339.28</v>
      </c>
      <c r="E1839">
        <v>0</v>
      </c>
      <c r="F1839">
        <v>0</v>
      </c>
      <c r="G1839" s="104">
        <v>11339.28</v>
      </c>
    </row>
    <row r="1840" spans="2:7" x14ac:dyDescent="0.25">
      <c r="C1840" t="s">
        <v>2421</v>
      </c>
      <c r="D1840" s="104">
        <v>21339.29</v>
      </c>
      <c r="E1840">
        <v>0</v>
      </c>
      <c r="F1840">
        <v>0</v>
      </c>
      <c r="G1840" s="104">
        <v>21339.29</v>
      </c>
    </row>
    <row r="1841" spans="2:7" x14ac:dyDescent="0.25">
      <c r="B1841" t="s">
        <v>1587</v>
      </c>
      <c r="D1841" s="104">
        <v>65357.15</v>
      </c>
      <c r="E1841">
        <v>0</v>
      </c>
      <c r="F1841">
        <v>0</v>
      </c>
      <c r="G1841" s="104">
        <v>65357.15</v>
      </c>
    </row>
    <row r="1843" spans="2:7" x14ac:dyDescent="0.25">
      <c r="B1843">
        <v>50102130</v>
      </c>
      <c r="C1843" t="s">
        <v>421</v>
      </c>
    </row>
    <row r="1844" spans="2:7" x14ac:dyDescent="0.25">
      <c r="C1844" t="s">
        <v>2270</v>
      </c>
      <c r="D1844" s="104">
        <v>106706.43</v>
      </c>
      <c r="E1844" s="104">
        <v>6820.63</v>
      </c>
      <c r="F1844">
        <v>0</v>
      </c>
      <c r="G1844" s="104">
        <v>113527.06</v>
      </c>
    </row>
    <row r="1845" spans="2:7" x14ac:dyDescent="0.25">
      <c r="C1845" t="s">
        <v>2269</v>
      </c>
      <c r="D1845" s="104">
        <v>5930.36</v>
      </c>
      <c r="E1845">
        <v>663.71</v>
      </c>
      <c r="F1845">
        <v>0</v>
      </c>
      <c r="G1845" s="104">
        <v>6594.07</v>
      </c>
    </row>
    <row r="1846" spans="2:7" x14ac:dyDescent="0.25">
      <c r="C1846" t="s">
        <v>2413</v>
      </c>
      <c r="D1846">
        <v>0</v>
      </c>
      <c r="E1846">
        <v>0</v>
      </c>
      <c r="F1846">
        <v>0</v>
      </c>
      <c r="G1846">
        <v>0</v>
      </c>
    </row>
    <row r="1847" spans="2:7" x14ac:dyDescent="0.25">
      <c r="C1847" t="s">
        <v>2415</v>
      </c>
      <c r="D1847" s="104">
        <v>69900.38</v>
      </c>
      <c r="E1847" s="104">
        <v>4015.39</v>
      </c>
      <c r="F1847">
        <v>0</v>
      </c>
      <c r="G1847" s="104">
        <v>73915.77</v>
      </c>
    </row>
    <row r="1848" spans="2:7" x14ac:dyDescent="0.25">
      <c r="C1848" t="s">
        <v>2416</v>
      </c>
      <c r="D1848" s="104">
        <v>19358.599999999999</v>
      </c>
      <c r="E1848">
        <v>0</v>
      </c>
      <c r="F1848">
        <v>0</v>
      </c>
      <c r="G1848" s="104">
        <v>19358.599999999999</v>
      </c>
    </row>
    <row r="1849" spans="2:7" x14ac:dyDescent="0.25">
      <c r="C1849" t="s">
        <v>2414</v>
      </c>
      <c r="D1849">
        <v>0</v>
      </c>
      <c r="E1849">
        <v>0</v>
      </c>
      <c r="F1849">
        <v>0</v>
      </c>
      <c r="G1849">
        <v>0</v>
      </c>
    </row>
    <row r="1850" spans="2:7" x14ac:dyDescent="0.25">
      <c r="C1850" t="s">
        <v>2773</v>
      </c>
      <c r="D1850" s="104">
        <v>85774.75</v>
      </c>
      <c r="E1850" s="104">
        <v>15089.32</v>
      </c>
      <c r="F1850">
        <v>0</v>
      </c>
      <c r="G1850" s="104">
        <v>100864.07</v>
      </c>
    </row>
    <row r="1851" spans="2:7" x14ac:dyDescent="0.25">
      <c r="C1851" t="s">
        <v>2774</v>
      </c>
      <c r="D1851" s="104">
        <v>129405.04</v>
      </c>
      <c r="E1851" s="104">
        <v>51403.44</v>
      </c>
      <c r="F1851">
        <v>0</v>
      </c>
      <c r="G1851" s="104">
        <v>180808.48</v>
      </c>
    </row>
    <row r="1852" spans="2:7" x14ac:dyDescent="0.25">
      <c r="B1852" t="s">
        <v>1587</v>
      </c>
      <c r="D1852" s="104">
        <v>417075.56</v>
      </c>
      <c r="E1852" s="104">
        <v>77992.490000000005</v>
      </c>
      <c r="F1852">
        <v>0</v>
      </c>
      <c r="G1852" s="104">
        <v>495068.05</v>
      </c>
    </row>
    <row r="1854" spans="2:7" x14ac:dyDescent="0.25">
      <c r="B1854">
        <v>50102140</v>
      </c>
      <c r="C1854" t="s">
        <v>425</v>
      </c>
    </row>
    <row r="1855" spans="2:7" x14ac:dyDescent="0.25">
      <c r="C1855" t="s">
        <v>2269</v>
      </c>
      <c r="D1855" s="104">
        <v>437687.98</v>
      </c>
      <c r="E1855" s="104">
        <v>55146.17</v>
      </c>
      <c r="F1855">
        <v>0</v>
      </c>
      <c r="G1855" s="104">
        <v>492834.15</v>
      </c>
    </row>
    <row r="1856" spans="2:7" x14ac:dyDescent="0.25">
      <c r="C1856" t="s">
        <v>2270</v>
      </c>
      <c r="D1856" s="104">
        <v>400836.36</v>
      </c>
      <c r="E1856" s="104">
        <v>55945.17</v>
      </c>
      <c r="F1856">
        <v>0</v>
      </c>
      <c r="G1856" s="104">
        <v>456781.53</v>
      </c>
    </row>
    <row r="1857" spans="2:7" x14ac:dyDescent="0.25">
      <c r="C1857" t="s">
        <v>2414</v>
      </c>
      <c r="D1857" s="104">
        <v>314266.7</v>
      </c>
      <c r="E1857">
        <v>0</v>
      </c>
      <c r="F1857">
        <v>0</v>
      </c>
      <c r="G1857" s="104">
        <v>314266.7</v>
      </c>
    </row>
    <row r="1858" spans="2:7" x14ac:dyDescent="0.25">
      <c r="C1858" t="s">
        <v>2413</v>
      </c>
      <c r="D1858" s="104">
        <v>422203.81</v>
      </c>
      <c r="E1858" s="104">
        <v>56084</v>
      </c>
      <c r="F1858">
        <v>0</v>
      </c>
      <c r="G1858" s="104">
        <v>478287.81</v>
      </c>
    </row>
    <row r="1859" spans="2:7" x14ac:dyDescent="0.25">
      <c r="C1859" t="s">
        <v>2415</v>
      </c>
      <c r="D1859" s="104">
        <v>116116</v>
      </c>
      <c r="E1859" s="104">
        <v>21854</v>
      </c>
      <c r="F1859">
        <v>0</v>
      </c>
      <c r="G1859" s="104">
        <v>137970</v>
      </c>
    </row>
    <row r="1860" spans="2:7" x14ac:dyDescent="0.25">
      <c r="C1860" t="s">
        <v>2416</v>
      </c>
      <c r="D1860" s="104">
        <v>465088.14</v>
      </c>
      <c r="E1860" s="104">
        <v>64846.83</v>
      </c>
      <c r="F1860">
        <v>0</v>
      </c>
      <c r="G1860" s="104">
        <v>529934.97</v>
      </c>
    </row>
    <row r="1861" spans="2:7" x14ac:dyDescent="0.25">
      <c r="C1861" t="s">
        <v>2421</v>
      </c>
      <c r="D1861" s="104">
        <v>106670.64</v>
      </c>
      <c r="E1861" s="104">
        <v>13333.83</v>
      </c>
      <c r="F1861">
        <v>0</v>
      </c>
      <c r="G1861" s="104">
        <v>120004.47</v>
      </c>
    </row>
    <row r="1862" spans="2:7" x14ac:dyDescent="0.25">
      <c r="C1862" t="s">
        <v>2417</v>
      </c>
      <c r="D1862" s="104">
        <v>223242.64</v>
      </c>
      <c r="E1862" s="104">
        <v>27905.33</v>
      </c>
      <c r="F1862">
        <v>0</v>
      </c>
      <c r="G1862" s="104">
        <v>251147.97</v>
      </c>
    </row>
    <row r="1863" spans="2:7" x14ac:dyDescent="0.25">
      <c r="C1863" t="s">
        <v>2418</v>
      </c>
      <c r="D1863" s="104">
        <v>223242.64</v>
      </c>
      <c r="E1863" s="104">
        <v>27905.33</v>
      </c>
      <c r="F1863">
        <v>0</v>
      </c>
      <c r="G1863" s="104">
        <v>251147.97</v>
      </c>
    </row>
    <row r="1864" spans="2:7" x14ac:dyDescent="0.25">
      <c r="C1864" t="s">
        <v>2773</v>
      </c>
      <c r="D1864" s="104">
        <v>872690.53</v>
      </c>
      <c r="E1864" s="104">
        <v>121433</v>
      </c>
      <c r="F1864">
        <v>0</v>
      </c>
      <c r="G1864" s="104">
        <v>994123.53</v>
      </c>
    </row>
    <row r="1865" spans="2:7" x14ac:dyDescent="0.25">
      <c r="C1865" t="s">
        <v>2774</v>
      </c>
      <c r="D1865" s="104">
        <v>470016.69</v>
      </c>
      <c r="E1865" s="104">
        <v>117504.16</v>
      </c>
      <c r="F1865">
        <v>0</v>
      </c>
      <c r="G1865" s="104">
        <v>587520.85</v>
      </c>
    </row>
    <row r="1866" spans="2:7" x14ac:dyDescent="0.25">
      <c r="B1866" t="s">
        <v>1587</v>
      </c>
      <c r="D1866" s="104">
        <v>4052062.13</v>
      </c>
      <c r="E1866" s="104">
        <v>561957.81999999995</v>
      </c>
      <c r="F1866">
        <v>0</v>
      </c>
      <c r="G1866" s="104">
        <v>4614019.95</v>
      </c>
    </row>
    <row r="1868" spans="2:7" x14ac:dyDescent="0.25">
      <c r="B1868">
        <v>50102150</v>
      </c>
      <c r="C1868" t="s">
        <v>428</v>
      </c>
    </row>
    <row r="1869" spans="2:7" x14ac:dyDescent="0.25">
      <c r="B1869">
        <v>50102990</v>
      </c>
      <c r="C1869" t="s">
        <v>449</v>
      </c>
    </row>
    <row r="1870" spans="2:7" x14ac:dyDescent="0.25">
      <c r="C1870" t="s">
        <v>2269</v>
      </c>
      <c r="D1870" s="104">
        <v>22578.58</v>
      </c>
      <c r="E1870" s="104">
        <v>12500</v>
      </c>
      <c r="F1870">
        <v>0</v>
      </c>
      <c r="G1870" s="104">
        <v>35078.58</v>
      </c>
    </row>
    <row r="1871" spans="2:7" x14ac:dyDescent="0.25">
      <c r="C1871" t="s">
        <v>2270</v>
      </c>
      <c r="D1871" s="104">
        <v>51957.86</v>
      </c>
      <c r="E1871" s="104">
        <v>3465.79</v>
      </c>
      <c r="F1871">
        <v>0</v>
      </c>
      <c r="G1871" s="104">
        <v>55423.65</v>
      </c>
    </row>
    <row r="1872" spans="2:7" x14ac:dyDescent="0.25">
      <c r="C1872" t="s">
        <v>2413</v>
      </c>
      <c r="D1872" s="104">
        <v>14000</v>
      </c>
      <c r="E1872">
        <v>0</v>
      </c>
      <c r="F1872">
        <v>0</v>
      </c>
      <c r="G1872" s="104">
        <v>14000</v>
      </c>
    </row>
    <row r="1873" spans="2:7" x14ac:dyDescent="0.25">
      <c r="C1873" t="s">
        <v>2415</v>
      </c>
      <c r="D1873" s="104">
        <v>10000</v>
      </c>
      <c r="E1873" s="104">
        <v>2000</v>
      </c>
      <c r="F1873">
        <v>0</v>
      </c>
      <c r="G1873" s="104">
        <v>12000</v>
      </c>
    </row>
    <row r="1874" spans="2:7" x14ac:dyDescent="0.25">
      <c r="C1874" t="s">
        <v>2416</v>
      </c>
      <c r="D1874" s="104">
        <v>34125.050000000003</v>
      </c>
      <c r="E1874" s="104">
        <v>6250</v>
      </c>
      <c r="F1874">
        <v>0</v>
      </c>
      <c r="G1874" s="104">
        <v>40375.050000000003</v>
      </c>
    </row>
    <row r="1875" spans="2:7" x14ac:dyDescent="0.25">
      <c r="C1875" t="s">
        <v>2414</v>
      </c>
      <c r="D1875" s="104">
        <v>4125</v>
      </c>
      <c r="E1875">
        <v>0</v>
      </c>
      <c r="F1875">
        <v>0</v>
      </c>
      <c r="G1875" s="104">
        <v>4125</v>
      </c>
    </row>
    <row r="1876" spans="2:7" x14ac:dyDescent="0.25">
      <c r="C1876" t="s">
        <v>2073</v>
      </c>
      <c r="D1876" s="104">
        <v>93000</v>
      </c>
      <c r="E1876">
        <v>0</v>
      </c>
      <c r="F1876">
        <v>0</v>
      </c>
      <c r="G1876" s="104">
        <v>93000</v>
      </c>
    </row>
    <row r="1877" spans="2:7" x14ac:dyDescent="0.25">
      <c r="C1877" t="s">
        <v>2421</v>
      </c>
      <c r="D1877" s="104">
        <v>6796</v>
      </c>
      <c r="E1877">
        <v>0</v>
      </c>
      <c r="F1877">
        <v>0</v>
      </c>
      <c r="G1877" s="104">
        <v>6796</v>
      </c>
    </row>
    <row r="1878" spans="2:7" x14ac:dyDescent="0.25">
      <c r="C1878" t="s">
        <v>2418</v>
      </c>
      <c r="D1878" s="104">
        <v>23909.62</v>
      </c>
      <c r="E1878">
        <v>0</v>
      </c>
      <c r="F1878">
        <v>0</v>
      </c>
      <c r="G1878" s="104">
        <v>23909.62</v>
      </c>
    </row>
    <row r="1879" spans="2:7" x14ac:dyDescent="0.25">
      <c r="C1879" t="s">
        <v>2422</v>
      </c>
      <c r="D1879" s="104">
        <v>24500</v>
      </c>
      <c r="E1879" s="104">
        <v>7000</v>
      </c>
      <c r="F1879">
        <v>0</v>
      </c>
      <c r="G1879" s="104">
        <v>31500</v>
      </c>
    </row>
    <row r="1880" spans="2:7" x14ac:dyDescent="0.25">
      <c r="C1880" t="s">
        <v>2419</v>
      </c>
      <c r="D1880" s="104">
        <v>2633.04</v>
      </c>
      <c r="E1880">
        <v>0</v>
      </c>
      <c r="F1880">
        <v>0</v>
      </c>
      <c r="G1880" s="104">
        <v>2633.04</v>
      </c>
    </row>
    <row r="1881" spans="2:7" x14ac:dyDescent="0.25">
      <c r="C1881" t="s">
        <v>2773</v>
      </c>
      <c r="D1881" s="104">
        <v>61975.49</v>
      </c>
      <c r="E1881" s="104">
        <v>3125</v>
      </c>
      <c r="F1881">
        <v>0</v>
      </c>
      <c r="G1881" s="104">
        <v>65100.49</v>
      </c>
    </row>
    <row r="1882" spans="2:7" x14ac:dyDescent="0.25">
      <c r="C1882" t="s">
        <v>2774</v>
      </c>
      <c r="D1882" s="104">
        <v>45585.15</v>
      </c>
      <c r="E1882" s="104">
        <v>3125</v>
      </c>
      <c r="F1882">
        <v>0</v>
      </c>
      <c r="G1882" s="104">
        <v>48710.15</v>
      </c>
    </row>
    <row r="1883" spans="2:7" x14ac:dyDescent="0.25">
      <c r="B1883" t="s">
        <v>1587</v>
      </c>
      <c r="D1883" s="104">
        <v>395185.79</v>
      </c>
      <c r="E1883" s="104">
        <v>37465.79</v>
      </c>
      <c r="F1883">
        <v>0</v>
      </c>
      <c r="G1883" s="104">
        <v>432651.58</v>
      </c>
    </row>
    <row r="1885" spans="2:7" x14ac:dyDescent="0.25">
      <c r="B1885">
        <v>50103010</v>
      </c>
      <c r="C1885" t="s">
        <v>405</v>
      </c>
    </row>
    <row r="1886" spans="2:7" x14ac:dyDescent="0.25">
      <c r="C1886" t="s">
        <v>2269</v>
      </c>
      <c r="D1886" s="104">
        <v>147853.5</v>
      </c>
      <c r="E1886" s="104">
        <v>19533</v>
      </c>
      <c r="F1886">
        <v>0</v>
      </c>
      <c r="G1886" s="104">
        <v>167386.5</v>
      </c>
    </row>
    <row r="1887" spans="2:7" x14ac:dyDescent="0.25">
      <c r="C1887" t="s">
        <v>2424</v>
      </c>
      <c r="D1887">
        <v>0</v>
      </c>
      <c r="E1887">
        <v>0</v>
      </c>
      <c r="F1887">
        <v>0</v>
      </c>
      <c r="G1887">
        <v>0</v>
      </c>
    </row>
    <row r="1888" spans="2:7" x14ac:dyDescent="0.25">
      <c r="C1888" t="s">
        <v>2270</v>
      </c>
      <c r="D1888" s="104">
        <v>306843.46000000002</v>
      </c>
      <c r="E1888" s="104">
        <v>30680.16</v>
      </c>
      <c r="F1888">
        <v>0</v>
      </c>
      <c r="G1888" s="104">
        <v>337523.62</v>
      </c>
    </row>
    <row r="1889" spans="2:7" x14ac:dyDescent="0.25">
      <c r="C1889" t="s">
        <v>2414</v>
      </c>
      <c r="D1889" s="104">
        <v>59318.12</v>
      </c>
      <c r="E1889">
        <v>0</v>
      </c>
      <c r="F1889">
        <v>0</v>
      </c>
      <c r="G1889" s="104">
        <v>59318.12</v>
      </c>
    </row>
    <row r="1890" spans="2:7" x14ac:dyDescent="0.25">
      <c r="C1890" t="s">
        <v>2413</v>
      </c>
      <c r="D1890" s="104">
        <v>310864.68</v>
      </c>
      <c r="E1890" s="104">
        <v>51385.97</v>
      </c>
      <c r="F1890">
        <v>0</v>
      </c>
      <c r="G1890" s="104">
        <v>362250.65</v>
      </c>
    </row>
    <row r="1891" spans="2:7" x14ac:dyDescent="0.25">
      <c r="C1891" t="s">
        <v>2415</v>
      </c>
      <c r="D1891" s="104">
        <v>105574.11</v>
      </c>
      <c r="E1891" s="104">
        <v>21341.88</v>
      </c>
      <c r="F1891">
        <v>0</v>
      </c>
      <c r="G1891" s="104">
        <v>126915.99</v>
      </c>
    </row>
    <row r="1892" spans="2:7" x14ac:dyDescent="0.25">
      <c r="C1892" t="s">
        <v>2416</v>
      </c>
      <c r="D1892" s="104">
        <v>344922.07</v>
      </c>
      <c r="E1892" s="104">
        <v>46689.72</v>
      </c>
      <c r="F1892">
        <v>0</v>
      </c>
      <c r="G1892" s="104">
        <v>391611.79</v>
      </c>
    </row>
    <row r="1893" spans="2:7" x14ac:dyDescent="0.25">
      <c r="C1893" t="s">
        <v>2421</v>
      </c>
      <c r="D1893" s="104">
        <v>74635.06</v>
      </c>
      <c r="E1893" s="104">
        <v>9600.36</v>
      </c>
      <c r="F1893">
        <v>0</v>
      </c>
      <c r="G1893" s="104">
        <v>84235.42</v>
      </c>
    </row>
    <row r="1894" spans="2:7" x14ac:dyDescent="0.25">
      <c r="C1894" t="s">
        <v>2417</v>
      </c>
      <c r="D1894" s="104">
        <v>160734.72</v>
      </c>
      <c r="E1894" s="104">
        <v>20091.84</v>
      </c>
      <c r="F1894">
        <v>0</v>
      </c>
      <c r="G1894" s="104">
        <v>180826.56</v>
      </c>
    </row>
    <row r="1895" spans="2:7" x14ac:dyDescent="0.25">
      <c r="C1895" t="s">
        <v>2418</v>
      </c>
      <c r="D1895" s="104">
        <v>160734.72</v>
      </c>
      <c r="E1895" s="104">
        <v>20091.84</v>
      </c>
      <c r="F1895">
        <v>0</v>
      </c>
      <c r="G1895" s="104">
        <v>180826.56</v>
      </c>
    </row>
    <row r="1896" spans="2:7" x14ac:dyDescent="0.25">
      <c r="C1896" t="s">
        <v>2419</v>
      </c>
      <c r="D1896">
        <v>0</v>
      </c>
      <c r="E1896">
        <v>0</v>
      </c>
      <c r="F1896">
        <v>0</v>
      </c>
      <c r="G1896">
        <v>0</v>
      </c>
    </row>
    <row r="1897" spans="2:7" x14ac:dyDescent="0.25">
      <c r="C1897" t="s">
        <v>2773</v>
      </c>
      <c r="D1897" s="104">
        <v>640120.19999999995</v>
      </c>
      <c r="E1897" s="104">
        <v>91049.18</v>
      </c>
      <c r="F1897">
        <v>0</v>
      </c>
      <c r="G1897" s="104">
        <v>731169.38</v>
      </c>
    </row>
    <row r="1898" spans="2:7" x14ac:dyDescent="0.25">
      <c r="C1898" t="s">
        <v>2774</v>
      </c>
      <c r="D1898" s="104">
        <v>435191.75</v>
      </c>
      <c r="E1898" s="104">
        <v>60915</v>
      </c>
      <c r="F1898">
        <v>0</v>
      </c>
      <c r="G1898" s="104">
        <v>496106.75</v>
      </c>
    </row>
    <row r="1899" spans="2:7" x14ac:dyDescent="0.25">
      <c r="B1899" t="s">
        <v>1587</v>
      </c>
      <c r="D1899" s="104">
        <v>2746792.39</v>
      </c>
      <c r="E1899" s="104">
        <v>371378.95</v>
      </c>
      <c r="F1899">
        <v>0</v>
      </c>
      <c r="G1899" s="104">
        <v>3118171.34</v>
      </c>
    </row>
    <row r="1901" spans="2:7" x14ac:dyDescent="0.25">
      <c r="B1901">
        <v>50103020</v>
      </c>
      <c r="C1901" t="s">
        <v>417</v>
      </c>
    </row>
    <row r="1902" spans="2:7" x14ac:dyDescent="0.25">
      <c r="C1902" t="s">
        <v>2269</v>
      </c>
      <c r="D1902" s="104">
        <v>4500</v>
      </c>
      <c r="E1902">
        <v>600</v>
      </c>
      <c r="F1902">
        <v>0</v>
      </c>
      <c r="G1902" s="104">
        <v>5100</v>
      </c>
    </row>
    <row r="1903" spans="2:7" x14ac:dyDescent="0.25">
      <c r="C1903" t="s">
        <v>2270</v>
      </c>
      <c r="D1903" s="104">
        <v>5100</v>
      </c>
      <c r="E1903">
        <v>600</v>
      </c>
      <c r="F1903">
        <v>0</v>
      </c>
      <c r="G1903" s="104">
        <v>5700</v>
      </c>
    </row>
    <row r="1904" spans="2:7" x14ac:dyDescent="0.25">
      <c r="C1904" t="s">
        <v>2414</v>
      </c>
      <c r="D1904">
        <v>600</v>
      </c>
      <c r="E1904">
        <v>0</v>
      </c>
      <c r="F1904">
        <v>0</v>
      </c>
      <c r="G1904">
        <v>600</v>
      </c>
    </row>
    <row r="1905" spans="2:7" x14ac:dyDescent="0.25">
      <c r="C1905" t="s">
        <v>2413</v>
      </c>
      <c r="D1905" s="104">
        <v>4700</v>
      </c>
      <c r="E1905">
        <v>800</v>
      </c>
      <c r="F1905">
        <v>0</v>
      </c>
      <c r="G1905" s="104">
        <v>5500</v>
      </c>
    </row>
    <row r="1906" spans="2:7" x14ac:dyDescent="0.25">
      <c r="C1906" t="s">
        <v>2415</v>
      </c>
      <c r="D1906" s="104">
        <v>1700</v>
      </c>
      <c r="E1906">
        <v>400</v>
      </c>
      <c r="F1906">
        <v>0</v>
      </c>
      <c r="G1906" s="104">
        <v>2100</v>
      </c>
    </row>
    <row r="1907" spans="2:7" x14ac:dyDescent="0.25">
      <c r="C1907" t="s">
        <v>2416</v>
      </c>
      <c r="D1907" s="104">
        <v>5100</v>
      </c>
      <c r="E1907">
        <v>800</v>
      </c>
      <c r="F1907">
        <v>0</v>
      </c>
      <c r="G1907" s="104">
        <v>5900</v>
      </c>
    </row>
    <row r="1908" spans="2:7" x14ac:dyDescent="0.25">
      <c r="C1908" t="s">
        <v>2421</v>
      </c>
      <c r="D1908" s="104">
        <v>1500</v>
      </c>
      <c r="E1908">
        <v>200</v>
      </c>
      <c r="F1908">
        <v>0</v>
      </c>
      <c r="G1908" s="104">
        <v>1700</v>
      </c>
    </row>
    <row r="1909" spans="2:7" x14ac:dyDescent="0.25">
      <c r="C1909" t="s">
        <v>2417</v>
      </c>
      <c r="D1909" s="104">
        <v>1500</v>
      </c>
      <c r="E1909">
        <v>200</v>
      </c>
      <c r="F1909">
        <v>0</v>
      </c>
      <c r="G1909" s="104">
        <v>1700</v>
      </c>
    </row>
    <row r="1910" spans="2:7" x14ac:dyDescent="0.25">
      <c r="C1910" t="s">
        <v>2418</v>
      </c>
      <c r="D1910" s="104">
        <v>1500</v>
      </c>
      <c r="E1910">
        <v>200</v>
      </c>
      <c r="F1910">
        <v>0</v>
      </c>
      <c r="G1910" s="104">
        <v>1700</v>
      </c>
    </row>
    <row r="1911" spans="2:7" x14ac:dyDescent="0.25">
      <c r="C1911" t="s">
        <v>2773</v>
      </c>
      <c r="D1911" s="104">
        <v>13600</v>
      </c>
      <c r="E1911" s="104">
        <v>2200</v>
      </c>
      <c r="F1911">
        <v>0</v>
      </c>
      <c r="G1911" s="104">
        <v>15800</v>
      </c>
    </row>
    <row r="1912" spans="2:7" x14ac:dyDescent="0.25">
      <c r="C1912" t="s">
        <v>2774</v>
      </c>
      <c r="D1912" s="104">
        <v>10900</v>
      </c>
      <c r="E1912" s="104">
        <v>1400</v>
      </c>
      <c r="F1912">
        <v>0</v>
      </c>
      <c r="G1912" s="104">
        <v>12300</v>
      </c>
    </row>
    <row r="1913" spans="2:7" x14ac:dyDescent="0.25">
      <c r="B1913" t="s">
        <v>1587</v>
      </c>
      <c r="D1913" s="104">
        <v>50700</v>
      </c>
      <c r="E1913" s="104">
        <v>7400</v>
      </c>
      <c r="F1913">
        <v>0</v>
      </c>
      <c r="G1913" s="104">
        <v>58100</v>
      </c>
    </row>
    <row r="1915" spans="2:7" x14ac:dyDescent="0.25">
      <c r="B1915">
        <v>50103030</v>
      </c>
      <c r="C1915" t="s">
        <v>409</v>
      </c>
    </row>
    <row r="1916" spans="2:7" x14ac:dyDescent="0.25">
      <c r="C1916" t="s">
        <v>2269</v>
      </c>
      <c r="D1916" s="104">
        <v>32331.29</v>
      </c>
      <c r="E1916" s="104">
        <v>4069.39</v>
      </c>
      <c r="F1916">
        <v>0</v>
      </c>
      <c r="G1916" s="104">
        <v>36400.68</v>
      </c>
    </row>
    <row r="1917" spans="2:7" x14ac:dyDescent="0.25">
      <c r="C1917" t="s">
        <v>2424</v>
      </c>
      <c r="D1917">
        <v>0</v>
      </c>
      <c r="E1917">
        <v>0</v>
      </c>
      <c r="F1917">
        <v>0</v>
      </c>
      <c r="G1917">
        <v>0</v>
      </c>
    </row>
    <row r="1918" spans="2:7" x14ac:dyDescent="0.25">
      <c r="C1918" t="s">
        <v>2270</v>
      </c>
      <c r="D1918" s="104">
        <v>41453.75</v>
      </c>
      <c r="E1918" s="104">
        <v>4161.7299999999996</v>
      </c>
      <c r="F1918">
        <v>0</v>
      </c>
      <c r="G1918" s="104">
        <v>45615.48</v>
      </c>
    </row>
    <row r="1919" spans="2:7" x14ac:dyDescent="0.25">
      <c r="C1919" t="s">
        <v>2414</v>
      </c>
      <c r="D1919" s="104">
        <v>9111.98</v>
      </c>
      <c r="E1919">
        <v>0</v>
      </c>
      <c r="F1919">
        <v>0</v>
      </c>
      <c r="G1919" s="104">
        <v>9111.98</v>
      </c>
    </row>
    <row r="1920" spans="2:7" x14ac:dyDescent="0.25">
      <c r="C1920" t="s">
        <v>2413</v>
      </c>
      <c r="D1920" s="104">
        <v>51000.639999999999</v>
      </c>
      <c r="E1920" s="104">
        <v>9500.08</v>
      </c>
      <c r="F1920">
        <v>0</v>
      </c>
      <c r="G1920" s="104">
        <v>60500.72</v>
      </c>
    </row>
    <row r="1921" spans="2:7" x14ac:dyDescent="0.25">
      <c r="C1921" t="s">
        <v>2415</v>
      </c>
      <c r="D1921" s="104">
        <v>19412.07</v>
      </c>
      <c r="E1921" s="104">
        <v>3668.13</v>
      </c>
      <c r="F1921">
        <v>0</v>
      </c>
      <c r="G1921" s="104">
        <v>23080.2</v>
      </c>
    </row>
    <row r="1922" spans="2:7" x14ac:dyDescent="0.25">
      <c r="C1922" t="s">
        <v>2416</v>
      </c>
      <c r="D1922" s="104">
        <v>58041.73</v>
      </c>
      <c r="E1922" s="104">
        <v>8041.24</v>
      </c>
      <c r="F1922">
        <v>0</v>
      </c>
      <c r="G1922" s="104">
        <v>66082.97</v>
      </c>
    </row>
    <row r="1923" spans="2:7" x14ac:dyDescent="0.25">
      <c r="C1923" t="s">
        <v>2775</v>
      </c>
      <c r="D1923" s="104">
        <v>7000.08</v>
      </c>
      <c r="E1923">
        <v>0</v>
      </c>
      <c r="F1923">
        <v>0</v>
      </c>
      <c r="G1923" s="104">
        <v>7000.08</v>
      </c>
    </row>
    <row r="1924" spans="2:7" x14ac:dyDescent="0.25">
      <c r="C1924" t="s">
        <v>2421</v>
      </c>
      <c r="D1924" s="104">
        <v>16000.64</v>
      </c>
      <c r="E1924" s="104">
        <v>2000.08</v>
      </c>
      <c r="F1924">
        <v>0</v>
      </c>
      <c r="G1924" s="104">
        <v>18000.72</v>
      </c>
    </row>
    <row r="1925" spans="2:7" x14ac:dyDescent="0.25">
      <c r="C1925" t="s">
        <v>2417</v>
      </c>
      <c r="D1925" s="104">
        <v>20000</v>
      </c>
      <c r="E1925" s="104">
        <v>2500</v>
      </c>
      <c r="F1925">
        <v>0</v>
      </c>
      <c r="G1925" s="104">
        <v>22500</v>
      </c>
    </row>
    <row r="1926" spans="2:7" x14ac:dyDescent="0.25">
      <c r="C1926" t="s">
        <v>2418</v>
      </c>
      <c r="D1926" s="104">
        <v>20000</v>
      </c>
      <c r="E1926" s="104">
        <v>2500</v>
      </c>
      <c r="F1926">
        <v>0</v>
      </c>
      <c r="G1926" s="104">
        <v>22500</v>
      </c>
    </row>
    <row r="1927" spans="2:7" x14ac:dyDescent="0.25">
      <c r="C1927" t="s">
        <v>2773</v>
      </c>
      <c r="D1927" s="104">
        <v>120243.03</v>
      </c>
      <c r="E1927" s="104">
        <v>17697.310000000001</v>
      </c>
      <c r="F1927">
        <v>0</v>
      </c>
      <c r="G1927" s="104">
        <v>137940.34</v>
      </c>
    </row>
    <row r="1928" spans="2:7" x14ac:dyDescent="0.25">
      <c r="C1928" t="s">
        <v>2774</v>
      </c>
      <c r="D1928" s="104">
        <v>79178.84</v>
      </c>
      <c r="E1928" s="104">
        <v>10858.5</v>
      </c>
      <c r="F1928">
        <v>0</v>
      </c>
      <c r="G1928" s="104">
        <v>90037.34</v>
      </c>
    </row>
    <row r="1929" spans="2:7" x14ac:dyDescent="0.25">
      <c r="B1929" t="s">
        <v>1587</v>
      </c>
      <c r="D1929" s="104">
        <v>473774.05</v>
      </c>
      <c r="E1929" s="104">
        <v>64996.46</v>
      </c>
      <c r="F1929">
        <v>0</v>
      </c>
      <c r="G1929" s="104">
        <v>538770.51</v>
      </c>
    </row>
    <row r="1931" spans="2:7" x14ac:dyDescent="0.25">
      <c r="B1931">
        <v>50103040</v>
      </c>
      <c r="C1931" t="s">
        <v>413</v>
      </c>
    </row>
    <row r="1932" spans="2:7" x14ac:dyDescent="0.25">
      <c r="C1932" t="s">
        <v>2269</v>
      </c>
      <c r="D1932" s="104">
        <v>2400</v>
      </c>
      <c r="E1932">
        <v>300</v>
      </c>
      <c r="F1932">
        <v>0</v>
      </c>
      <c r="G1932" s="104">
        <v>2700</v>
      </c>
    </row>
    <row r="1933" spans="2:7" x14ac:dyDescent="0.25">
      <c r="C1933" t="s">
        <v>2270</v>
      </c>
      <c r="D1933" s="104">
        <v>3000</v>
      </c>
      <c r="E1933">
        <v>300</v>
      </c>
      <c r="F1933">
        <v>0</v>
      </c>
      <c r="G1933" s="104">
        <v>3300</v>
      </c>
    </row>
    <row r="1934" spans="2:7" x14ac:dyDescent="0.25">
      <c r="C1934" t="s">
        <v>2414</v>
      </c>
      <c r="D1934">
        <v>600</v>
      </c>
      <c r="E1934">
        <v>0</v>
      </c>
      <c r="F1934">
        <v>0</v>
      </c>
      <c r="G1934">
        <v>600</v>
      </c>
    </row>
    <row r="1935" spans="2:7" x14ac:dyDescent="0.25">
      <c r="C1935" t="s">
        <v>2413</v>
      </c>
      <c r="D1935" s="104">
        <v>2500</v>
      </c>
      <c r="E1935">
        <v>400</v>
      </c>
      <c r="F1935">
        <v>0</v>
      </c>
      <c r="G1935" s="104">
        <v>2900</v>
      </c>
    </row>
    <row r="1936" spans="2:7" x14ac:dyDescent="0.25">
      <c r="C1936" t="s">
        <v>2415</v>
      </c>
      <c r="D1936">
        <v>900</v>
      </c>
      <c r="E1936">
        <v>200</v>
      </c>
      <c r="F1936">
        <v>0</v>
      </c>
      <c r="G1936" s="104">
        <v>1100</v>
      </c>
    </row>
    <row r="1937" spans="2:7" x14ac:dyDescent="0.25">
      <c r="C1937" t="s">
        <v>2416</v>
      </c>
      <c r="D1937" s="104">
        <v>2700</v>
      </c>
      <c r="E1937">
        <v>400</v>
      </c>
      <c r="F1937">
        <v>0</v>
      </c>
      <c r="G1937" s="104">
        <v>3100</v>
      </c>
    </row>
    <row r="1938" spans="2:7" x14ac:dyDescent="0.25">
      <c r="C1938" t="s">
        <v>2421</v>
      </c>
      <c r="D1938">
        <v>800</v>
      </c>
      <c r="E1938">
        <v>100</v>
      </c>
      <c r="F1938">
        <v>0</v>
      </c>
      <c r="G1938">
        <v>900</v>
      </c>
    </row>
    <row r="1939" spans="2:7" x14ac:dyDescent="0.25">
      <c r="C1939" t="s">
        <v>2417</v>
      </c>
      <c r="D1939">
        <v>800</v>
      </c>
      <c r="E1939">
        <v>100</v>
      </c>
      <c r="F1939">
        <v>0</v>
      </c>
      <c r="G1939">
        <v>900</v>
      </c>
    </row>
    <row r="1940" spans="2:7" x14ac:dyDescent="0.25">
      <c r="C1940" t="s">
        <v>2418</v>
      </c>
      <c r="D1940">
        <v>800</v>
      </c>
      <c r="E1940">
        <v>100</v>
      </c>
      <c r="F1940">
        <v>0</v>
      </c>
      <c r="G1940">
        <v>900</v>
      </c>
    </row>
    <row r="1941" spans="2:7" x14ac:dyDescent="0.25">
      <c r="C1941" t="s">
        <v>2773</v>
      </c>
      <c r="D1941" s="104">
        <v>7300</v>
      </c>
      <c r="E1941" s="104">
        <v>1100</v>
      </c>
      <c r="F1941">
        <v>0</v>
      </c>
      <c r="G1941" s="104">
        <v>8400</v>
      </c>
    </row>
    <row r="1942" spans="2:7" x14ac:dyDescent="0.25">
      <c r="C1942" t="s">
        <v>2774</v>
      </c>
      <c r="D1942" s="104">
        <v>5500</v>
      </c>
      <c r="E1942">
        <v>700</v>
      </c>
      <c r="F1942">
        <v>0</v>
      </c>
      <c r="G1942" s="104">
        <v>6200</v>
      </c>
    </row>
    <row r="1943" spans="2:7" x14ac:dyDescent="0.25">
      <c r="B1943" t="s">
        <v>1587</v>
      </c>
      <c r="D1943" s="104">
        <v>27300</v>
      </c>
      <c r="E1943" s="104">
        <v>3700</v>
      </c>
      <c r="F1943">
        <v>0</v>
      </c>
      <c r="G1943" s="104">
        <v>31000</v>
      </c>
    </row>
    <row r="1945" spans="2:7" x14ac:dyDescent="0.25">
      <c r="B1945">
        <v>50104030</v>
      </c>
      <c r="C1945" t="s">
        <v>2425</v>
      </c>
    </row>
    <row r="1946" spans="2:7" x14ac:dyDescent="0.25">
      <c r="C1946" t="s">
        <v>2269</v>
      </c>
      <c r="D1946" s="104">
        <v>296147.26</v>
      </c>
      <c r="E1946" s="104">
        <v>19611.419999999998</v>
      </c>
      <c r="F1946">
        <v>0</v>
      </c>
      <c r="G1946" s="104">
        <v>315758.68</v>
      </c>
    </row>
    <row r="1947" spans="2:7" x14ac:dyDescent="0.25">
      <c r="C1947" t="s">
        <v>2424</v>
      </c>
      <c r="D1947">
        <v>0</v>
      </c>
      <c r="E1947">
        <v>0</v>
      </c>
      <c r="F1947">
        <v>0</v>
      </c>
      <c r="G1947">
        <v>0</v>
      </c>
    </row>
    <row r="1948" spans="2:7" x14ac:dyDescent="0.25">
      <c r="C1948" t="s">
        <v>2270</v>
      </c>
      <c r="D1948" s="104">
        <v>301019.8</v>
      </c>
      <c r="E1948" s="104">
        <v>40442.230000000003</v>
      </c>
      <c r="F1948">
        <v>0</v>
      </c>
      <c r="G1948" s="104">
        <v>341462.03</v>
      </c>
    </row>
    <row r="1949" spans="2:7" x14ac:dyDescent="0.25">
      <c r="C1949" t="s">
        <v>2413</v>
      </c>
      <c r="D1949" s="104">
        <v>305207.13</v>
      </c>
      <c r="E1949" s="104">
        <v>40542.589999999997</v>
      </c>
      <c r="F1949">
        <v>0</v>
      </c>
      <c r="G1949" s="104">
        <v>345749.72</v>
      </c>
    </row>
    <row r="1950" spans="2:7" x14ac:dyDescent="0.25">
      <c r="C1950" t="s">
        <v>2415</v>
      </c>
      <c r="D1950" s="104">
        <v>102129.96</v>
      </c>
      <c r="E1950" s="104">
        <v>15798.05</v>
      </c>
      <c r="F1950">
        <v>0</v>
      </c>
      <c r="G1950" s="104">
        <v>117928.01</v>
      </c>
    </row>
    <row r="1951" spans="2:7" x14ac:dyDescent="0.25">
      <c r="C1951" t="s">
        <v>2416</v>
      </c>
      <c r="D1951" s="104">
        <v>330578.34000000003</v>
      </c>
      <c r="E1951" s="104">
        <v>46877.16</v>
      </c>
      <c r="F1951">
        <v>0</v>
      </c>
      <c r="G1951" s="104">
        <v>377455.5</v>
      </c>
    </row>
    <row r="1952" spans="2:7" x14ac:dyDescent="0.25">
      <c r="C1952" t="s">
        <v>2414</v>
      </c>
      <c r="D1952" s="104">
        <v>227180.4</v>
      </c>
      <c r="E1952">
        <v>0</v>
      </c>
      <c r="F1952">
        <v>0</v>
      </c>
      <c r="G1952" s="104">
        <v>227180.4</v>
      </c>
    </row>
    <row r="1953" spans="2:7" x14ac:dyDescent="0.25">
      <c r="C1953" t="s">
        <v>2421</v>
      </c>
      <c r="D1953" s="104">
        <v>77111.199999999997</v>
      </c>
      <c r="E1953" s="104">
        <v>9638.9</v>
      </c>
      <c r="F1953">
        <v>0</v>
      </c>
      <c r="G1953" s="104">
        <v>86750.1</v>
      </c>
    </row>
    <row r="1954" spans="2:7" x14ac:dyDescent="0.25">
      <c r="C1954" t="s">
        <v>2417</v>
      </c>
      <c r="D1954" s="104">
        <v>161380</v>
      </c>
      <c r="E1954" s="104">
        <v>20172.5</v>
      </c>
      <c r="F1954">
        <v>0</v>
      </c>
      <c r="G1954" s="104">
        <v>181552.5</v>
      </c>
    </row>
    <row r="1955" spans="2:7" x14ac:dyDescent="0.25">
      <c r="C1955" t="s">
        <v>2418</v>
      </c>
      <c r="D1955" s="104">
        <v>161380</v>
      </c>
      <c r="E1955" s="104">
        <v>20172.5</v>
      </c>
      <c r="F1955">
        <v>0</v>
      </c>
      <c r="G1955" s="104">
        <v>181552.5</v>
      </c>
    </row>
    <row r="1956" spans="2:7" x14ac:dyDescent="0.25">
      <c r="C1956" t="s">
        <v>2773</v>
      </c>
      <c r="D1956" s="104">
        <v>692318.51</v>
      </c>
      <c r="E1956" s="104">
        <v>137213.41</v>
      </c>
      <c r="F1956">
        <v>0</v>
      </c>
      <c r="G1956" s="104">
        <v>829531.92</v>
      </c>
    </row>
    <row r="1957" spans="2:7" x14ac:dyDescent="0.25">
      <c r="C1957" t="s">
        <v>2774</v>
      </c>
      <c r="D1957" s="104">
        <v>249698.42</v>
      </c>
      <c r="E1957" s="104">
        <v>62424.61</v>
      </c>
      <c r="F1957">
        <v>0</v>
      </c>
      <c r="G1957" s="104">
        <v>312123.03000000003</v>
      </c>
    </row>
    <row r="1958" spans="2:7" x14ac:dyDescent="0.25">
      <c r="B1958" t="s">
        <v>1587</v>
      </c>
      <c r="D1958" s="104">
        <v>2904151.02</v>
      </c>
      <c r="E1958" s="104">
        <v>412893.37</v>
      </c>
      <c r="F1958">
        <v>0</v>
      </c>
      <c r="G1958" s="104">
        <v>3317044.39</v>
      </c>
    </row>
    <row r="1960" spans="2:7" x14ac:dyDescent="0.25">
      <c r="B1960">
        <v>50104990</v>
      </c>
      <c r="C1960" t="s">
        <v>454</v>
      </c>
    </row>
    <row r="1961" spans="2:7" x14ac:dyDescent="0.25">
      <c r="C1961" t="s">
        <v>2414</v>
      </c>
      <c r="D1961" s="104">
        <v>349728.11</v>
      </c>
      <c r="E1961">
        <v>0</v>
      </c>
      <c r="F1961">
        <v>0</v>
      </c>
      <c r="G1961" s="104">
        <v>349728.11</v>
      </c>
    </row>
    <row r="1962" spans="2:7" x14ac:dyDescent="0.25">
      <c r="C1962" t="s">
        <v>2269</v>
      </c>
      <c r="D1962" s="104">
        <v>310066.7</v>
      </c>
      <c r="E1962" s="104">
        <v>94205.35</v>
      </c>
      <c r="F1962">
        <v>0</v>
      </c>
      <c r="G1962" s="104">
        <v>404272.05</v>
      </c>
    </row>
    <row r="1963" spans="2:7" x14ac:dyDescent="0.25">
      <c r="C1963" t="s">
        <v>2424</v>
      </c>
      <c r="D1963" s="104">
        <v>25000</v>
      </c>
      <c r="E1963">
        <v>0</v>
      </c>
      <c r="F1963">
        <v>0</v>
      </c>
      <c r="G1963" s="104">
        <v>25000</v>
      </c>
    </row>
    <row r="1964" spans="2:7" x14ac:dyDescent="0.25">
      <c r="C1964" t="s">
        <v>2270</v>
      </c>
      <c r="D1964" s="104">
        <v>276156.5</v>
      </c>
      <c r="E1964" s="104">
        <v>20894.3</v>
      </c>
      <c r="F1964">
        <v>0</v>
      </c>
      <c r="G1964" s="104">
        <v>297050.8</v>
      </c>
    </row>
    <row r="1965" spans="2:7" x14ac:dyDescent="0.25">
      <c r="C1965" t="s">
        <v>2413</v>
      </c>
      <c r="D1965" s="104">
        <v>240901</v>
      </c>
      <c r="E1965" s="104">
        <v>63650.400000000001</v>
      </c>
      <c r="F1965">
        <v>0</v>
      </c>
      <c r="G1965" s="104">
        <v>304551.40000000002</v>
      </c>
    </row>
    <row r="1966" spans="2:7" x14ac:dyDescent="0.25">
      <c r="C1966" t="s">
        <v>2415</v>
      </c>
      <c r="D1966" s="104">
        <v>97264.47</v>
      </c>
      <c r="E1966" s="104">
        <v>17784.900000000001</v>
      </c>
      <c r="F1966">
        <v>0</v>
      </c>
      <c r="G1966" s="104">
        <v>115049.37</v>
      </c>
    </row>
    <row r="1967" spans="2:7" x14ac:dyDescent="0.25">
      <c r="C1967" t="s">
        <v>2416</v>
      </c>
      <c r="D1967" s="104">
        <v>334968.13</v>
      </c>
      <c r="E1967" s="104">
        <v>34235.599999999999</v>
      </c>
      <c r="F1967">
        <v>0</v>
      </c>
      <c r="G1967" s="104">
        <v>369203.73</v>
      </c>
    </row>
    <row r="1968" spans="2:7" x14ac:dyDescent="0.25">
      <c r="C1968" t="s">
        <v>2421</v>
      </c>
      <c r="D1968" s="104">
        <v>89002.4</v>
      </c>
      <c r="E1968" s="104">
        <v>8000.3</v>
      </c>
      <c r="F1968">
        <v>0</v>
      </c>
      <c r="G1968" s="104">
        <v>97002.7</v>
      </c>
    </row>
    <row r="1969" spans="2:7" x14ac:dyDescent="0.25">
      <c r="C1969" t="s">
        <v>2417</v>
      </c>
      <c r="D1969" s="104">
        <v>133945.60000000001</v>
      </c>
      <c r="E1969" s="104">
        <v>16743.2</v>
      </c>
      <c r="F1969">
        <v>0</v>
      </c>
      <c r="G1969" s="104">
        <v>150688.79999999999</v>
      </c>
    </row>
    <row r="1970" spans="2:7" x14ac:dyDescent="0.25">
      <c r="C1970" t="s">
        <v>2418</v>
      </c>
      <c r="D1970" s="104">
        <v>133945.60000000001</v>
      </c>
      <c r="E1970" s="104">
        <v>16743.2</v>
      </c>
      <c r="F1970">
        <v>0</v>
      </c>
      <c r="G1970" s="104">
        <v>150688.79999999999</v>
      </c>
    </row>
    <row r="1971" spans="2:7" x14ac:dyDescent="0.25">
      <c r="C1971" t="s">
        <v>2773</v>
      </c>
      <c r="D1971" s="104">
        <v>577332.9</v>
      </c>
      <c r="E1971" s="104">
        <v>77532.3</v>
      </c>
      <c r="F1971">
        <v>0</v>
      </c>
      <c r="G1971" s="104">
        <v>654865.19999999995</v>
      </c>
    </row>
    <row r="1972" spans="2:7" x14ac:dyDescent="0.25">
      <c r="C1972" t="s">
        <v>2774</v>
      </c>
      <c r="D1972" s="104">
        <v>404552</v>
      </c>
      <c r="E1972" s="104">
        <v>50762.5</v>
      </c>
      <c r="F1972">
        <v>0</v>
      </c>
      <c r="G1972" s="104">
        <v>455314.5</v>
      </c>
    </row>
    <row r="1973" spans="2:7" x14ac:dyDescent="0.25">
      <c r="B1973" t="s">
        <v>1587</v>
      </c>
      <c r="D1973" s="104">
        <v>2972863.41</v>
      </c>
      <c r="E1973" s="104">
        <v>400552.05</v>
      </c>
      <c r="F1973">
        <v>0</v>
      </c>
      <c r="G1973" s="104">
        <v>3373415.46</v>
      </c>
    </row>
    <row r="1975" spans="2:7" x14ac:dyDescent="0.25">
      <c r="B1975">
        <v>50201010</v>
      </c>
      <c r="C1975" t="s">
        <v>639</v>
      </c>
    </row>
    <row r="1976" spans="2:7" x14ac:dyDescent="0.25">
      <c r="C1976" t="s">
        <v>2269</v>
      </c>
      <c r="D1976" s="104">
        <v>13871</v>
      </c>
      <c r="E1976" s="104">
        <v>3646</v>
      </c>
      <c r="F1976">
        <v>0</v>
      </c>
      <c r="G1976" s="104">
        <v>17517</v>
      </c>
    </row>
    <row r="1977" spans="2:7" x14ac:dyDescent="0.25">
      <c r="C1977" t="s">
        <v>2270</v>
      </c>
      <c r="D1977" s="104">
        <v>148737.16</v>
      </c>
      <c r="E1977" s="104">
        <v>6067.72</v>
      </c>
      <c r="F1977">
        <v>0</v>
      </c>
      <c r="G1977" s="104">
        <v>154804.88</v>
      </c>
    </row>
    <row r="1978" spans="2:7" x14ac:dyDescent="0.25">
      <c r="C1978" t="s">
        <v>2414</v>
      </c>
      <c r="D1978">
        <v>0</v>
      </c>
      <c r="E1978">
        <v>0</v>
      </c>
      <c r="F1978">
        <v>0</v>
      </c>
      <c r="G1978">
        <v>0</v>
      </c>
    </row>
    <row r="1979" spans="2:7" x14ac:dyDescent="0.25">
      <c r="C1979" t="s">
        <v>2073</v>
      </c>
      <c r="D1979" s="104">
        <v>482794.99</v>
      </c>
      <c r="E1979" s="104">
        <v>12977.99</v>
      </c>
      <c r="F1979">
        <v>0</v>
      </c>
      <c r="G1979" s="104">
        <v>495772.98</v>
      </c>
    </row>
    <row r="1980" spans="2:7" x14ac:dyDescent="0.25">
      <c r="C1980" t="s">
        <v>2413</v>
      </c>
      <c r="D1980" s="104">
        <v>105894.16</v>
      </c>
      <c r="E1980" s="104">
        <v>53017.78</v>
      </c>
      <c r="F1980">
        <v>0</v>
      </c>
      <c r="G1980" s="104">
        <v>158911.94</v>
      </c>
    </row>
    <row r="1981" spans="2:7" x14ac:dyDescent="0.25">
      <c r="C1981" t="s">
        <v>2415</v>
      </c>
      <c r="D1981" s="104">
        <v>16188.37</v>
      </c>
      <c r="E1981" s="104">
        <v>21678.73</v>
      </c>
      <c r="F1981">
        <v>0</v>
      </c>
      <c r="G1981" s="104">
        <v>37867.1</v>
      </c>
    </row>
    <row r="1982" spans="2:7" x14ac:dyDescent="0.25">
      <c r="C1982" t="s">
        <v>2416</v>
      </c>
      <c r="D1982" s="104">
        <v>148563.29999999999</v>
      </c>
      <c r="E1982" s="104">
        <v>2548.4299999999998</v>
      </c>
      <c r="F1982">
        <v>0</v>
      </c>
      <c r="G1982" s="104">
        <v>151111.73000000001</v>
      </c>
    </row>
    <row r="1983" spans="2:7" x14ac:dyDescent="0.25">
      <c r="C1983" t="s">
        <v>2418</v>
      </c>
      <c r="D1983" s="104">
        <v>15066</v>
      </c>
      <c r="E1983" s="104">
        <v>2170</v>
      </c>
      <c r="F1983">
        <v>0</v>
      </c>
      <c r="G1983" s="104">
        <v>17236</v>
      </c>
    </row>
    <row r="1984" spans="2:7" x14ac:dyDescent="0.25">
      <c r="C1984" t="s">
        <v>2422</v>
      </c>
      <c r="D1984" s="104">
        <v>59204.65</v>
      </c>
      <c r="E1984">
        <v>658</v>
      </c>
      <c r="F1984">
        <v>0</v>
      </c>
      <c r="G1984" s="104">
        <v>59862.65</v>
      </c>
    </row>
    <row r="1985" spans="2:7" x14ac:dyDescent="0.25">
      <c r="C1985" t="s">
        <v>2773</v>
      </c>
      <c r="D1985" s="104">
        <v>6492</v>
      </c>
      <c r="E1985" s="104">
        <v>40315.47</v>
      </c>
      <c r="F1985">
        <v>0</v>
      </c>
      <c r="G1985" s="104">
        <v>46807.47</v>
      </c>
    </row>
    <row r="1986" spans="2:7" x14ac:dyDescent="0.25">
      <c r="C1986" t="s">
        <v>2774</v>
      </c>
      <c r="D1986" s="104">
        <v>2561.71</v>
      </c>
      <c r="E1986" s="104">
        <v>25897.43</v>
      </c>
      <c r="F1986">
        <v>0</v>
      </c>
      <c r="G1986" s="104">
        <v>28459.14</v>
      </c>
    </row>
    <row r="1987" spans="2:7" x14ac:dyDescent="0.25">
      <c r="B1987" t="s">
        <v>1587</v>
      </c>
      <c r="D1987" s="104">
        <v>999373.34</v>
      </c>
      <c r="E1987" s="104">
        <v>168977.55</v>
      </c>
      <c r="F1987">
        <v>0</v>
      </c>
      <c r="G1987" s="104">
        <v>1168350.8899999999</v>
      </c>
    </row>
    <row r="1989" spans="2:7" x14ac:dyDescent="0.25">
      <c r="B1989">
        <v>50201020</v>
      </c>
      <c r="C1989" t="s">
        <v>641</v>
      </c>
    </row>
    <row r="1990" spans="2:7" x14ac:dyDescent="0.25">
      <c r="C1990" t="s">
        <v>2270</v>
      </c>
      <c r="D1990" s="104">
        <v>771392.06</v>
      </c>
      <c r="E1990" s="104">
        <v>3500</v>
      </c>
      <c r="F1990">
        <v>0</v>
      </c>
      <c r="G1990" s="104">
        <v>774892.06</v>
      </c>
    </row>
    <row r="1991" spans="2:7" x14ac:dyDescent="0.25">
      <c r="C1991" t="s">
        <v>2415</v>
      </c>
      <c r="D1991" s="104">
        <v>7000</v>
      </c>
      <c r="E1991" s="104">
        <v>3500</v>
      </c>
      <c r="F1991">
        <v>0</v>
      </c>
      <c r="G1991" s="104">
        <v>10500</v>
      </c>
    </row>
    <row r="1992" spans="2:7" x14ac:dyDescent="0.25">
      <c r="C1992" t="s">
        <v>2422</v>
      </c>
      <c r="D1992" s="104">
        <v>65054.37</v>
      </c>
      <c r="E1992">
        <v>0</v>
      </c>
      <c r="F1992">
        <v>0</v>
      </c>
      <c r="G1992" s="104">
        <v>65054.37</v>
      </c>
    </row>
    <row r="1993" spans="2:7" x14ac:dyDescent="0.25">
      <c r="B1993" t="s">
        <v>1587</v>
      </c>
      <c r="D1993" s="104">
        <v>843446.43</v>
      </c>
      <c r="E1993" s="104">
        <v>7000</v>
      </c>
      <c r="F1993">
        <v>0</v>
      </c>
      <c r="G1993" s="104">
        <v>850446.43</v>
      </c>
    </row>
    <row r="1995" spans="2:7" x14ac:dyDescent="0.25">
      <c r="B1995">
        <v>50202010</v>
      </c>
      <c r="C1995" t="s">
        <v>549</v>
      </c>
    </row>
    <row r="1996" spans="2:7" x14ac:dyDescent="0.25">
      <c r="C1996" t="s">
        <v>2269</v>
      </c>
      <c r="D1996" s="104">
        <v>30006.07</v>
      </c>
      <c r="E1996">
        <v>0</v>
      </c>
      <c r="F1996">
        <v>0</v>
      </c>
      <c r="G1996" s="104">
        <v>30006.07</v>
      </c>
    </row>
    <row r="1997" spans="2:7" x14ac:dyDescent="0.25">
      <c r="C1997" t="s">
        <v>2270</v>
      </c>
      <c r="D1997" s="104">
        <v>30169.11</v>
      </c>
      <c r="E1997">
        <v>0</v>
      </c>
      <c r="F1997">
        <v>0</v>
      </c>
      <c r="G1997" s="104">
        <v>30169.11</v>
      </c>
    </row>
    <row r="1998" spans="2:7" x14ac:dyDescent="0.25">
      <c r="C1998" t="s">
        <v>2414</v>
      </c>
      <c r="D1998" s="104">
        <v>17352.84</v>
      </c>
      <c r="E1998">
        <v>0</v>
      </c>
      <c r="F1998">
        <v>0</v>
      </c>
      <c r="G1998" s="104">
        <v>17352.84</v>
      </c>
    </row>
    <row r="1999" spans="2:7" x14ac:dyDescent="0.25">
      <c r="C1999" t="s">
        <v>2073</v>
      </c>
      <c r="D1999" s="104">
        <v>87195.09</v>
      </c>
      <c r="E1999" s="104">
        <v>52942.31</v>
      </c>
      <c r="F1999">
        <v>0</v>
      </c>
      <c r="G1999" s="104">
        <v>140137.4</v>
      </c>
    </row>
    <row r="2000" spans="2:7" x14ac:dyDescent="0.25">
      <c r="C2000" t="s">
        <v>2413</v>
      </c>
      <c r="D2000" s="104">
        <v>17539.37</v>
      </c>
      <c r="E2000">
        <v>0</v>
      </c>
      <c r="F2000">
        <v>0</v>
      </c>
      <c r="G2000" s="104">
        <v>17539.37</v>
      </c>
    </row>
    <row r="2001" spans="2:7" x14ac:dyDescent="0.25">
      <c r="C2001" t="s">
        <v>2415</v>
      </c>
      <c r="D2001" s="104">
        <v>9584.5499999999993</v>
      </c>
      <c r="E2001">
        <v>0</v>
      </c>
      <c r="F2001">
        <v>0</v>
      </c>
      <c r="G2001" s="104">
        <v>9584.5499999999993</v>
      </c>
    </row>
    <row r="2002" spans="2:7" x14ac:dyDescent="0.25">
      <c r="C2002" t="s">
        <v>2416</v>
      </c>
      <c r="D2002" s="104">
        <v>4338.21</v>
      </c>
      <c r="E2002">
        <v>0</v>
      </c>
      <c r="F2002">
        <v>0</v>
      </c>
      <c r="G2002" s="104">
        <v>4338.21</v>
      </c>
    </row>
    <row r="2003" spans="2:7" x14ac:dyDescent="0.25">
      <c r="C2003" t="s">
        <v>2428</v>
      </c>
      <c r="D2003">
        <v>0</v>
      </c>
      <c r="E2003">
        <v>0</v>
      </c>
      <c r="F2003">
        <v>0</v>
      </c>
      <c r="G2003">
        <v>0</v>
      </c>
    </row>
    <row r="2004" spans="2:7" x14ac:dyDescent="0.25">
      <c r="C2004" t="s">
        <v>2145</v>
      </c>
      <c r="D2004" s="104">
        <v>160735.49</v>
      </c>
      <c r="E2004">
        <v>0</v>
      </c>
      <c r="F2004">
        <v>0</v>
      </c>
      <c r="G2004" s="104">
        <v>160735.49</v>
      </c>
    </row>
    <row r="2005" spans="2:7" x14ac:dyDescent="0.25">
      <c r="C2005" t="s">
        <v>2421</v>
      </c>
      <c r="D2005" s="104">
        <v>4500</v>
      </c>
      <c r="E2005">
        <v>0</v>
      </c>
      <c r="F2005">
        <v>0</v>
      </c>
      <c r="G2005" s="104">
        <v>4500</v>
      </c>
    </row>
    <row r="2006" spans="2:7" x14ac:dyDescent="0.25">
      <c r="C2006" t="s">
        <v>2418</v>
      </c>
      <c r="D2006" s="104">
        <v>1084.55</v>
      </c>
      <c r="E2006">
        <v>0</v>
      </c>
      <c r="F2006">
        <v>0</v>
      </c>
      <c r="G2006" s="104">
        <v>1084.55</v>
      </c>
    </row>
    <row r="2007" spans="2:7" x14ac:dyDescent="0.25">
      <c r="C2007" t="s">
        <v>2422</v>
      </c>
      <c r="D2007" s="104">
        <v>1084.55</v>
      </c>
      <c r="E2007">
        <v>0</v>
      </c>
      <c r="F2007">
        <v>0</v>
      </c>
      <c r="G2007" s="104">
        <v>1084.55</v>
      </c>
    </row>
    <row r="2008" spans="2:7" x14ac:dyDescent="0.25">
      <c r="C2008" t="s">
        <v>2773</v>
      </c>
      <c r="D2008" s="104">
        <v>108240</v>
      </c>
      <c r="E2008" s="104">
        <v>16000</v>
      </c>
      <c r="F2008">
        <v>0</v>
      </c>
      <c r="G2008" s="104">
        <v>124240</v>
      </c>
    </row>
    <row r="2009" spans="2:7" x14ac:dyDescent="0.25">
      <c r="C2009" t="s">
        <v>2774</v>
      </c>
      <c r="D2009" s="104">
        <v>82976.429999999993</v>
      </c>
      <c r="E2009" s="104">
        <v>13178.57</v>
      </c>
      <c r="F2009">
        <v>0</v>
      </c>
      <c r="G2009" s="104">
        <v>96155</v>
      </c>
    </row>
    <row r="2010" spans="2:7" x14ac:dyDescent="0.25">
      <c r="B2010" t="s">
        <v>1587</v>
      </c>
      <c r="D2010" s="104">
        <v>554806.26</v>
      </c>
      <c r="E2010" s="104">
        <v>82120.88</v>
      </c>
      <c r="F2010">
        <v>0</v>
      </c>
      <c r="G2010" s="104">
        <v>636927.14</v>
      </c>
    </row>
    <row r="2012" spans="2:7" x14ac:dyDescent="0.25">
      <c r="B2012">
        <v>50203010</v>
      </c>
      <c r="C2012" t="s">
        <v>630</v>
      </c>
    </row>
    <row r="2013" spans="2:7" x14ac:dyDescent="0.25">
      <c r="C2013" t="s">
        <v>2269</v>
      </c>
      <c r="D2013" s="104">
        <v>106369.89</v>
      </c>
      <c r="E2013" s="104">
        <v>14879.48</v>
      </c>
      <c r="F2013">
        <v>0</v>
      </c>
      <c r="G2013" s="104">
        <v>121249.37</v>
      </c>
    </row>
    <row r="2014" spans="2:7" x14ac:dyDescent="0.25">
      <c r="C2014" t="s">
        <v>2270</v>
      </c>
      <c r="D2014" s="104">
        <v>80549.429999999993</v>
      </c>
      <c r="E2014" s="104">
        <v>5368.56</v>
      </c>
      <c r="F2014">
        <v>0</v>
      </c>
      <c r="G2014" s="104">
        <v>85917.99</v>
      </c>
    </row>
    <row r="2015" spans="2:7" x14ac:dyDescent="0.25">
      <c r="C2015" t="s">
        <v>2413</v>
      </c>
      <c r="D2015" s="104">
        <v>1281.25</v>
      </c>
      <c r="E2015">
        <v>0</v>
      </c>
      <c r="F2015">
        <v>0</v>
      </c>
      <c r="G2015" s="104">
        <v>1281.25</v>
      </c>
    </row>
    <row r="2016" spans="2:7" x14ac:dyDescent="0.25">
      <c r="C2016" t="s">
        <v>2414</v>
      </c>
      <c r="D2016" s="104">
        <v>177584.42</v>
      </c>
      <c r="E2016">
        <v>0</v>
      </c>
      <c r="F2016">
        <v>0</v>
      </c>
      <c r="G2016" s="104">
        <v>177584.42</v>
      </c>
    </row>
    <row r="2017" spans="2:7" x14ac:dyDescent="0.25">
      <c r="C2017" t="s">
        <v>2073</v>
      </c>
      <c r="D2017" s="104">
        <v>79403.19</v>
      </c>
      <c r="E2017" s="104">
        <v>6822.93</v>
      </c>
      <c r="F2017">
        <v>0</v>
      </c>
      <c r="G2017" s="104">
        <v>86226.12</v>
      </c>
    </row>
    <row r="2018" spans="2:7" x14ac:dyDescent="0.25">
      <c r="C2018" t="s">
        <v>2415</v>
      </c>
      <c r="D2018" s="104">
        <v>2476.5300000000002</v>
      </c>
      <c r="E2018" s="104">
        <v>1412.18</v>
      </c>
      <c r="F2018">
        <v>0</v>
      </c>
      <c r="G2018" s="104">
        <v>3888.71</v>
      </c>
    </row>
    <row r="2019" spans="2:7" x14ac:dyDescent="0.25">
      <c r="C2019" t="s">
        <v>2416</v>
      </c>
      <c r="D2019" s="104">
        <v>119269.85</v>
      </c>
      <c r="E2019" s="104">
        <v>3073.97</v>
      </c>
      <c r="F2019">
        <v>0</v>
      </c>
      <c r="G2019" s="104">
        <v>122343.82</v>
      </c>
    </row>
    <row r="2020" spans="2:7" x14ac:dyDescent="0.25">
      <c r="C2020" t="s">
        <v>2250</v>
      </c>
      <c r="D2020">
        <v>0</v>
      </c>
      <c r="E2020" s="104">
        <v>7419.24</v>
      </c>
      <c r="F2020">
        <v>0</v>
      </c>
      <c r="G2020" s="104">
        <v>7419.24</v>
      </c>
    </row>
    <row r="2021" spans="2:7" x14ac:dyDescent="0.25">
      <c r="C2021" t="s">
        <v>1814</v>
      </c>
      <c r="D2021">
        <v>0</v>
      </c>
      <c r="E2021">
        <v>0</v>
      </c>
      <c r="F2021">
        <v>0</v>
      </c>
      <c r="G2021">
        <v>0</v>
      </c>
    </row>
    <row r="2022" spans="2:7" x14ac:dyDescent="0.25">
      <c r="C2022" t="s">
        <v>2421</v>
      </c>
      <c r="D2022" s="104">
        <v>2431.0700000000002</v>
      </c>
      <c r="E2022">
        <v>889.29</v>
      </c>
      <c r="F2022">
        <v>0</v>
      </c>
      <c r="G2022" s="104">
        <v>3320.36</v>
      </c>
    </row>
    <row r="2023" spans="2:7" x14ac:dyDescent="0.25">
      <c r="C2023" t="s">
        <v>2429</v>
      </c>
      <c r="D2023" s="104">
        <v>77410.75</v>
      </c>
      <c r="E2023">
        <v>0</v>
      </c>
      <c r="F2023">
        <v>0</v>
      </c>
      <c r="G2023" s="104">
        <v>77410.75</v>
      </c>
    </row>
    <row r="2024" spans="2:7" x14ac:dyDescent="0.25">
      <c r="C2024" t="s">
        <v>2418</v>
      </c>
      <c r="D2024" s="104">
        <v>2752.28</v>
      </c>
      <c r="E2024">
        <v>305.5</v>
      </c>
      <c r="F2024">
        <v>0</v>
      </c>
      <c r="G2024" s="104">
        <v>3057.78</v>
      </c>
    </row>
    <row r="2025" spans="2:7" x14ac:dyDescent="0.25">
      <c r="C2025" t="s">
        <v>2422</v>
      </c>
      <c r="D2025" s="104">
        <v>6351.9</v>
      </c>
      <c r="E2025">
        <v>274.5</v>
      </c>
      <c r="F2025">
        <v>0</v>
      </c>
      <c r="G2025" s="104">
        <v>6626.4</v>
      </c>
    </row>
    <row r="2026" spans="2:7" x14ac:dyDescent="0.25">
      <c r="C2026" t="s">
        <v>2423</v>
      </c>
      <c r="D2026" s="104">
        <v>3085.97</v>
      </c>
      <c r="E2026">
        <v>0</v>
      </c>
      <c r="F2026">
        <v>0</v>
      </c>
      <c r="G2026" s="104">
        <v>3085.97</v>
      </c>
    </row>
    <row r="2027" spans="2:7" x14ac:dyDescent="0.25">
      <c r="C2027" t="s">
        <v>2773</v>
      </c>
      <c r="D2027" s="104">
        <v>115997.27</v>
      </c>
      <c r="E2027" s="104">
        <v>14483.91</v>
      </c>
      <c r="F2027">
        <v>0</v>
      </c>
      <c r="G2027" s="104">
        <v>130481.18</v>
      </c>
    </row>
    <row r="2028" spans="2:7" x14ac:dyDescent="0.25">
      <c r="C2028" t="s">
        <v>2774</v>
      </c>
      <c r="D2028" s="104">
        <v>125195.99</v>
      </c>
      <c r="E2028" s="104">
        <v>24573</v>
      </c>
      <c r="F2028">
        <v>0</v>
      </c>
      <c r="G2028" s="104">
        <v>149768.99</v>
      </c>
    </row>
    <row r="2029" spans="2:7" x14ac:dyDescent="0.25">
      <c r="B2029" t="s">
        <v>1587</v>
      </c>
      <c r="D2029" s="104">
        <v>900159.79</v>
      </c>
      <c r="E2029" s="104">
        <v>79502.559999999998</v>
      </c>
      <c r="F2029">
        <v>0</v>
      </c>
      <c r="G2029" s="104">
        <v>979662.35</v>
      </c>
    </row>
    <row r="2031" spans="2:7" x14ac:dyDescent="0.25">
      <c r="B2031">
        <v>50203020</v>
      </c>
      <c r="C2031" t="s">
        <v>1025</v>
      </c>
    </row>
    <row r="2032" spans="2:7" x14ac:dyDescent="0.25">
      <c r="B2032">
        <v>50203090</v>
      </c>
      <c r="C2032" t="s">
        <v>540</v>
      </c>
    </row>
    <row r="2033" spans="2:7" x14ac:dyDescent="0.25">
      <c r="C2033" t="s">
        <v>2269</v>
      </c>
      <c r="D2033" s="104">
        <v>102601.59</v>
      </c>
      <c r="E2033" s="104">
        <v>18035.54</v>
      </c>
      <c r="F2033">
        <v>0</v>
      </c>
      <c r="G2033" s="104">
        <v>120637.13</v>
      </c>
    </row>
    <row r="2034" spans="2:7" x14ac:dyDescent="0.25">
      <c r="C2034" t="s">
        <v>2270</v>
      </c>
      <c r="D2034" s="104">
        <v>98667.96</v>
      </c>
      <c r="E2034" s="104">
        <v>7892.87</v>
      </c>
      <c r="F2034">
        <v>0</v>
      </c>
      <c r="G2034" s="104">
        <v>106560.83</v>
      </c>
    </row>
    <row r="2035" spans="2:7" x14ac:dyDescent="0.25">
      <c r="C2035" t="s">
        <v>2413</v>
      </c>
      <c r="D2035" s="104">
        <v>73565.34</v>
      </c>
      <c r="E2035" s="104">
        <v>12079.52</v>
      </c>
      <c r="F2035">
        <v>0</v>
      </c>
      <c r="G2035" s="104">
        <v>85644.86</v>
      </c>
    </row>
    <row r="2036" spans="2:7" x14ac:dyDescent="0.25">
      <c r="C2036" t="s">
        <v>2415</v>
      </c>
      <c r="D2036" s="104">
        <v>10920.11</v>
      </c>
      <c r="E2036" s="104">
        <v>7455.77</v>
      </c>
      <c r="F2036">
        <v>0</v>
      </c>
      <c r="G2036" s="104">
        <v>18375.88</v>
      </c>
    </row>
    <row r="2037" spans="2:7" x14ac:dyDescent="0.25">
      <c r="C2037" t="s">
        <v>2416</v>
      </c>
      <c r="D2037" s="104">
        <v>60030.5</v>
      </c>
      <c r="E2037" s="104">
        <v>4370.75</v>
      </c>
      <c r="F2037">
        <v>0</v>
      </c>
      <c r="G2037" s="104">
        <v>64401.25</v>
      </c>
    </row>
    <row r="2038" spans="2:7" x14ac:dyDescent="0.25">
      <c r="C2038" t="s">
        <v>2414</v>
      </c>
      <c r="D2038" s="104">
        <v>1785.71</v>
      </c>
      <c r="E2038">
        <v>0</v>
      </c>
      <c r="F2038">
        <v>0</v>
      </c>
      <c r="G2038" s="104">
        <v>1785.71</v>
      </c>
    </row>
    <row r="2039" spans="2:7" x14ac:dyDescent="0.25">
      <c r="C2039" t="s">
        <v>2073</v>
      </c>
      <c r="D2039" s="104">
        <v>376706</v>
      </c>
      <c r="E2039" s="104">
        <v>34660.81</v>
      </c>
      <c r="F2039">
        <v>0</v>
      </c>
      <c r="G2039" s="104">
        <v>411366.81</v>
      </c>
    </row>
    <row r="2040" spans="2:7" x14ac:dyDescent="0.25">
      <c r="C2040" t="s">
        <v>2418</v>
      </c>
      <c r="D2040" s="104">
        <v>72658.2</v>
      </c>
      <c r="E2040" s="104">
        <v>8714.0499999999993</v>
      </c>
      <c r="F2040">
        <v>0</v>
      </c>
      <c r="G2040" s="104">
        <v>81372.25</v>
      </c>
    </row>
    <row r="2041" spans="2:7" x14ac:dyDescent="0.25">
      <c r="C2041" t="s">
        <v>2422</v>
      </c>
      <c r="D2041" s="104">
        <v>57560.88</v>
      </c>
      <c r="E2041" s="104">
        <v>11756.51</v>
      </c>
      <c r="F2041">
        <v>0</v>
      </c>
      <c r="G2041" s="104">
        <v>69317.39</v>
      </c>
    </row>
    <row r="2042" spans="2:7" x14ac:dyDescent="0.25">
      <c r="C2042" t="s">
        <v>2773</v>
      </c>
      <c r="D2042" s="104">
        <v>1418.52</v>
      </c>
      <c r="E2042">
        <v>0</v>
      </c>
      <c r="F2042">
        <v>0</v>
      </c>
      <c r="G2042" s="104">
        <v>1418.52</v>
      </c>
    </row>
    <row r="2043" spans="2:7" x14ac:dyDescent="0.25">
      <c r="C2043" t="s">
        <v>2774</v>
      </c>
      <c r="D2043" s="104">
        <v>21773.14</v>
      </c>
      <c r="E2043" s="104">
        <v>4381.07</v>
      </c>
      <c r="F2043">
        <v>0</v>
      </c>
      <c r="G2043" s="104">
        <v>26154.21</v>
      </c>
    </row>
    <row r="2044" spans="2:7" x14ac:dyDescent="0.25">
      <c r="B2044" t="s">
        <v>1587</v>
      </c>
      <c r="D2044" s="104">
        <v>877687.95</v>
      </c>
      <c r="E2044" s="104">
        <v>109346.89</v>
      </c>
      <c r="F2044">
        <v>0</v>
      </c>
      <c r="G2044" s="104">
        <v>987034.84</v>
      </c>
    </row>
    <row r="2046" spans="2:7" x14ac:dyDescent="0.25">
      <c r="B2046">
        <v>50203990</v>
      </c>
      <c r="C2046" t="s">
        <v>634</v>
      </c>
    </row>
    <row r="2047" spans="2:7" x14ac:dyDescent="0.25">
      <c r="C2047" t="s">
        <v>2269</v>
      </c>
      <c r="D2047" s="104">
        <v>30624.76</v>
      </c>
      <c r="E2047">
        <v>0</v>
      </c>
      <c r="F2047">
        <v>0</v>
      </c>
      <c r="G2047" s="104">
        <v>30624.76</v>
      </c>
    </row>
    <row r="2048" spans="2:7" x14ac:dyDescent="0.25">
      <c r="C2048" t="s">
        <v>2270</v>
      </c>
      <c r="D2048" s="104">
        <v>18305.36</v>
      </c>
      <c r="E2048">
        <v>0</v>
      </c>
      <c r="F2048">
        <v>0</v>
      </c>
      <c r="G2048" s="104">
        <v>18305.36</v>
      </c>
    </row>
    <row r="2049" spans="2:7" x14ac:dyDescent="0.25">
      <c r="C2049" t="s">
        <v>2073</v>
      </c>
      <c r="D2049" s="104">
        <v>715608.58</v>
      </c>
      <c r="E2049" s="104">
        <v>59280.59</v>
      </c>
      <c r="F2049">
        <v>0</v>
      </c>
      <c r="G2049" s="104">
        <v>774889.17</v>
      </c>
    </row>
    <row r="2050" spans="2:7" x14ac:dyDescent="0.25">
      <c r="C2050" t="s">
        <v>2413</v>
      </c>
      <c r="D2050">
        <v>533.92999999999995</v>
      </c>
      <c r="E2050">
        <v>0</v>
      </c>
      <c r="F2050">
        <v>0</v>
      </c>
      <c r="G2050">
        <v>533.92999999999995</v>
      </c>
    </row>
    <row r="2051" spans="2:7" x14ac:dyDescent="0.25">
      <c r="C2051" t="s">
        <v>2415</v>
      </c>
      <c r="D2051" s="104">
        <v>48723.21</v>
      </c>
      <c r="E2051">
        <v>0</v>
      </c>
      <c r="F2051">
        <v>0</v>
      </c>
      <c r="G2051" s="104">
        <v>48723.21</v>
      </c>
    </row>
    <row r="2052" spans="2:7" x14ac:dyDescent="0.25">
      <c r="C2052" t="s">
        <v>2416</v>
      </c>
      <c r="D2052" s="104">
        <v>4482.1499999999996</v>
      </c>
      <c r="E2052">
        <v>125</v>
      </c>
      <c r="F2052">
        <v>0</v>
      </c>
      <c r="G2052" s="104">
        <v>4607.1499999999996</v>
      </c>
    </row>
    <row r="2053" spans="2:7" x14ac:dyDescent="0.25">
      <c r="C2053" t="s">
        <v>2414</v>
      </c>
      <c r="D2053" s="104">
        <v>14060.74</v>
      </c>
      <c r="E2053">
        <v>0</v>
      </c>
      <c r="F2053">
        <v>0</v>
      </c>
      <c r="G2053" s="104">
        <v>14060.74</v>
      </c>
    </row>
    <row r="2054" spans="2:7" x14ac:dyDescent="0.25">
      <c r="C2054" t="s">
        <v>2145</v>
      </c>
      <c r="D2054">
        <v>0</v>
      </c>
      <c r="E2054">
        <v>0</v>
      </c>
      <c r="F2054">
        <v>0</v>
      </c>
      <c r="G2054">
        <v>0</v>
      </c>
    </row>
    <row r="2055" spans="2:7" x14ac:dyDescent="0.25">
      <c r="C2055" t="s">
        <v>2418</v>
      </c>
      <c r="D2055" s="104">
        <v>35696.67</v>
      </c>
      <c r="E2055" s="104">
        <v>7646.83</v>
      </c>
      <c r="F2055">
        <v>0</v>
      </c>
      <c r="G2055" s="104">
        <v>43343.5</v>
      </c>
    </row>
    <row r="2056" spans="2:7" x14ac:dyDescent="0.25">
      <c r="C2056" t="s">
        <v>2422</v>
      </c>
      <c r="D2056" s="104">
        <v>18283.04</v>
      </c>
      <c r="E2056">
        <v>0</v>
      </c>
      <c r="F2056">
        <v>0</v>
      </c>
      <c r="G2056" s="104">
        <v>18283.04</v>
      </c>
    </row>
    <row r="2057" spans="2:7" x14ac:dyDescent="0.25">
      <c r="C2057" t="s">
        <v>2773</v>
      </c>
      <c r="D2057" s="104">
        <v>51346.42</v>
      </c>
      <c r="E2057">
        <v>0</v>
      </c>
      <c r="F2057">
        <v>0</v>
      </c>
      <c r="G2057" s="104">
        <v>51346.42</v>
      </c>
    </row>
    <row r="2058" spans="2:7" x14ac:dyDescent="0.25">
      <c r="C2058" t="s">
        <v>2774</v>
      </c>
      <c r="D2058" s="104">
        <v>62384.37</v>
      </c>
      <c r="E2058" s="104">
        <v>1710</v>
      </c>
      <c r="F2058">
        <v>0</v>
      </c>
      <c r="G2058" s="104">
        <v>64094.37</v>
      </c>
    </row>
    <row r="2059" spans="2:7" x14ac:dyDescent="0.25">
      <c r="B2059" t="s">
        <v>1587</v>
      </c>
      <c r="D2059" s="104">
        <v>1000049.23</v>
      </c>
      <c r="E2059" s="104">
        <v>68762.42</v>
      </c>
      <c r="F2059">
        <v>0</v>
      </c>
      <c r="G2059" s="104">
        <v>1068811.6499999999</v>
      </c>
    </row>
    <row r="2061" spans="2:7" x14ac:dyDescent="0.25">
      <c r="B2061">
        <v>50204010</v>
      </c>
      <c r="C2061" t="s">
        <v>508</v>
      </c>
    </row>
    <row r="2062" spans="2:7" x14ac:dyDescent="0.25">
      <c r="C2062" t="s">
        <v>2073</v>
      </c>
      <c r="D2062" s="104">
        <v>164983.26999999999</v>
      </c>
      <c r="E2062" s="104">
        <v>55634.68</v>
      </c>
      <c r="F2062">
        <v>0</v>
      </c>
      <c r="G2062" s="104">
        <v>220617.95</v>
      </c>
    </row>
    <row r="2063" spans="2:7" x14ac:dyDescent="0.25">
      <c r="B2063" t="s">
        <v>1587</v>
      </c>
      <c r="D2063" s="104">
        <v>164983.26999999999</v>
      </c>
      <c r="E2063" s="104">
        <v>55634.68</v>
      </c>
      <c r="F2063">
        <v>0</v>
      </c>
      <c r="G2063" s="104">
        <v>220617.95</v>
      </c>
    </row>
    <row r="2065" spans="2:7" x14ac:dyDescent="0.25">
      <c r="B2065">
        <v>50204020</v>
      </c>
      <c r="C2065" t="s">
        <v>511</v>
      </c>
    </row>
    <row r="2066" spans="2:7" x14ac:dyDescent="0.25">
      <c r="C2066" t="s">
        <v>2073</v>
      </c>
      <c r="D2066" s="104">
        <v>1962034.79</v>
      </c>
      <c r="E2066" s="104">
        <v>498730.21</v>
      </c>
      <c r="F2066">
        <v>0</v>
      </c>
      <c r="G2066" s="104">
        <v>2460765</v>
      </c>
    </row>
    <row r="2067" spans="2:7" x14ac:dyDescent="0.25">
      <c r="C2067" t="s">
        <v>2178</v>
      </c>
      <c r="D2067">
        <v>0</v>
      </c>
      <c r="E2067">
        <v>0</v>
      </c>
      <c r="F2067">
        <v>0</v>
      </c>
      <c r="G2067">
        <v>0</v>
      </c>
    </row>
    <row r="2068" spans="2:7" x14ac:dyDescent="0.25">
      <c r="B2068" t="s">
        <v>1587</v>
      </c>
      <c r="D2068" s="104">
        <v>1962034.79</v>
      </c>
      <c r="E2068" s="104">
        <v>498730.21</v>
      </c>
      <c r="F2068">
        <v>0</v>
      </c>
      <c r="G2068" s="104">
        <v>2460765</v>
      </c>
    </row>
    <row r="2070" spans="2:7" x14ac:dyDescent="0.25">
      <c r="B2070">
        <v>50205010</v>
      </c>
      <c r="C2070" t="s">
        <v>621</v>
      </c>
    </row>
    <row r="2071" spans="2:7" x14ac:dyDescent="0.25">
      <c r="C2071" t="s">
        <v>2269</v>
      </c>
      <c r="D2071">
        <v>794.65</v>
      </c>
      <c r="E2071">
        <v>0</v>
      </c>
      <c r="F2071">
        <v>0</v>
      </c>
      <c r="G2071">
        <v>794.65</v>
      </c>
    </row>
    <row r="2072" spans="2:7" x14ac:dyDescent="0.25">
      <c r="C2072" t="s">
        <v>2270</v>
      </c>
      <c r="D2072" s="104">
        <v>1897.32</v>
      </c>
      <c r="E2072">
        <v>0</v>
      </c>
      <c r="F2072">
        <v>0</v>
      </c>
      <c r="G2072" s="104">
        <v>1897.32</v>
      </c>
    </row>
    <row r="2073" spans="2:7" x14ac:dyDescent="0.25">
      <c r="C2073" t="s">
        <v>2414</v>
      </c>
      <c r="D2073" s="104">
        <v>2372.3200000000002</v>
      </c>
      <c r="E2073">
        <v>0</v>
      </c>
      <c r="F2073">
        <v>0</v>
      </c>
      <c r="G2073" s="104">
        <v>2372.3200000000002</v>
      </c>
    </row>
    <row r="2074" spans="2:7" x14ac:dyDescent="0.25">
      <c r="C2074" t="s">
        <v>2073</v>
      </c>
      <c r="D2074" s="104">
        <v>3731.16</v>
      </c>
      <c r="E2074">
        <v>0</v>
      </c>
      <c r="F2074">
        <v>0</v>
      </c>
      <c r="G2074" s="104">
        <v>3731.16</v>
      </c>
    </row>
    <row r="2075" spans="2:7" x14ac:dyDescent="0.25">
      <c r="C2075" t="s">
        <v>2413</v>
      </c>
      <c r="D2075" s="104">
        <v>2790.62</v>
      </c>
      <c r="E2075">
        <v>0</v>
      </c>
      <c r="F2075">
        <v>0</v>
      </c>
      <c r="G2075" s="104">
        <v>2790.62</v>
      </c>
    </row>
    <row r="2076" spans="2:7" x14ac:dyDescent="0.25">
      <c r="C2076" t="s">
        <v>2416</v>
      </c>
      <c r="D2076" s="104">
        <v>4429.1499999999996</v>
      </c>
      <c r="E2076">
        <v>632.15</v>
      </c>
      <c r="F2076">
        <v>0</v>
      </c>
      <c r="G2076" s="104">
        <v>5061.3</v>
      </c>
    </row>
    <row r="2077" spans="2:7" x14ac:dyDescent="0.25">
      <c r="C2077" t="s">
        <v>2422</v>
      </c>
      <c r="D2077">
        <v>491.96</v>
      </c>
      <c r="E2077">
        <v>0</v>
      </c>
      <c r="F2077">
        <v>0</v>
      </c>
      <c r="G2077">
        <v>491.96</v>
      </c>
    </row>
    <row r="2078" spans="2:7" x14ac:dyDescent="0.25">
      <c r="C2078" t="s">
        <v>2773</v>
      </c>
      <c r="D2078" s="104">
        <v>8027.64</v>
      </c>
      <c r="E2078">
        <v>0</v>
      </c>
      <c r="F2078">
        <v>0</v>
      </c>
      <c r="G2078" s="104">
        <v>8027.64</v>
      </c>
    </row>
    <row r="2079" spans="2:7" x14ac:dyDescent="0.25">
      <c r="C2079" t="s">
        <v>2774</v>
      </c>
      <c r="D2079" s="104">
        <v>1613</v>
      </c>
      <c r="E2079">
        <v>0</v>
      </c>
      <c r="F2079">
        <v>0</v>
      </c>
      <c r="G2079" s="104">
        <v>1613</v>
      </c>
    </row>
    <row r="2080" spans="2:7" x14ac:dyDescent="0.25">
      <c r="B2080" t="s">
        <v>1587</v>
      </c>
      <c r="D2080" s="104">
        <v>26147.82</v>
      </c>
      <c r="E2080">
        <v>632.15</v>
      </c>
      <c r="F2080">
        <v>0</v>
      </c>
      <c r="G2080" s="104">
        <v>26779.97</v>
      </c>
    </row>
    <row r="2082" spans="2:7" x14ac:dyDescent="0.25">
      <c r="B2082">
        <v>50205020</v>
      </c>
      <c r="C2082" t="s">
        <v>617</v>
      </c>
    </row>
    <row r="2083" spans="2:7" x14ac:dyDescent="0.25">
      <c r="C2083" t="s">
        <v>2269</v>
      </c>
      <c r="D2083" s="104">
        <v>27434.66</v>
      </c>
      <c r="E2083">
        <v>263.70999999999998</v>
      </c>
      <c r="F2083" s="104">
        <v>9375</v>
      </c>
      <c r="G2083" s="104">
        <v>18323.37</v>
      </c>
    </row>
    <row r="2084" spans="2:7" x14ac:dyDescent="0.25">
      <c r="C2084" t="s">
        <v>2270</v>
      </c>
      <c r="D2084" s="104">
        <v>46783.45</v>
      </c>
      <c r="E2084" s="104">
        <v>6849.94</v>
      </c>
      <c r="F2084">
        <v>0</v>
      </c>
      <c r="G2084" s="104">
        <v>53633.39</v>
      </c>
    </row>
    <row r="2085" spans="2:7" x14ac:dyDescent="0.25">
      <c r="C2085" t="s">
        <v>2414</v>
      </c>
      <c r="D2085" s="104">
        <v>7436.02</v>
      </c>
      <c r="E2085">
        <v>0</v>
      </c>
      <c r="F2085">
        <v>0</v>
      </c>
      <c r="G2085" s="104">
        <v>7436.02</v>
      </c>
    </row>
    <row r="2086" spans="2:7" x14ac:dyDescent="0.25">
      <c r="C2086" t="s">
        <v>2073</v>
      </c>
      <c r="D2086" s="104">
        <v>251257.71</v>
      </c>
      <c r="E2086" s="104">
        <v>16023.14</v>
      </c>
      <c r="F2086">
        <v>0</v>
      </c>
      <c r="G2086" s="104">
        <v>267280.84999999998</v>
      </c>
    </row>
    <row r="2087" spans="2:7" x14ac:dyDescent="0.25">
      <c r="C2087" t="s">
        <v>2413</v>
      </c>
      <c r="D2087" s="104">
        <v>13389.96</v>
      </c>
      <c r="E2087" s="104">
        <v>2234.11</v>
      </c>
      <c r="F2087">
        <v>0</v>
      </c>
      <c r="G2087" s="104">
        <v>15624.07</v>
      </c>
    </row>
    <row r="2088" spans="2:7" x14ac:dyDescent="0.25">
      <c r="C2088" t="s">
        <v>2415</v>
      </c>
      <c r="D2088" s="104">
        <v>22743.88</v>
      </c>
      <c r="E2088" s="104">
        <v>2907.93</v>
      </c>
      <c r="F2088">
        <v>0</v>
      </c>
      <c r="G2088" s="104">
        <v>25651.81</v>
      </c>
    </row>
    <row r="2089" spans="2:7" x14ac:dyDescent="0.25">
      <c r="C2089" t="s">
        <v>2416</v>
      </c>
      <c r="D2089" s="104">
        <v>13542.78</v>
      </c>
      <c r="E2089" s="104">
        <v>1384.04</v>
      </c>
      <c r="F2089">
        <v>0</v>
      </c>
      <c r="G2089" s="104">
        <v>14926.82</v>
      </c>
    </row>
    <row r="2090" spans="2:7" x14ac:dyDescent="0.25">
      <c r="C2090" t="s">
        <v>2421</v>
      </c>
      <c r="D2090">
        <v>0</v>
      </c>
      <c r="E2090">
        <v>0</v>
      </c>
      <c r="F2090">
        <v>0</v>
      </c>
      <c r="G2090">
        <v>0</v>
      </c>
    </row>
    <row r="2091" spans="2:7" x14ac:dyDescent="0.25">
      <c r="C2091" t="s">
        <v>2418</v>
      </c>
      <c r="D2091">
        <v>430.36</v>
      </c>
      <c r="E2091">
        <v>99.98</v>
      </c>
      <c r="F2091">
        <v>0</v>
      </c>
      <c r="G2091">
        <v>530.34</v>
      </c>
    </row>
    <row r="2092" spans="2:7" x14ac:dyDescent="0.25">
      <c r="C2092" t="s">
        <v>2422</v>
      </c>
      <c r="D2092">
        <v>887.49</v>
      </c>
      <c r="E2092">
        <v>0</v>
      </c>
      <c r="F2092">
        <v>0</v>
      </c>
      <c r="G2092">
        <v>887.49</v>
      </c>
    </row>
    <row r="2093" spans="2:7" x14ac:dyDescent="0.25">
      <c r="C2093" t="s">
        <v>2773</v>
      </c>
      <c r="D2093" s="104">
        <v>4350.25</v>
      </c>
      <c r="E2093">
        <v>911.5</v>
      </c>
      <c r="F2093">
        <v>0</v>
      </c>
      <c r="G2093" s="104">
        <v>5261.75</v>
      </c>
    </row>
    <row r="2094" spans="2:7" x14ac:dyDescent="0.25">
      <c r="C2094" t="s">
        <v>2774</v>
      </c>
      <c r="D2094" s="104">
        <v>76031.12</v>
      </c>
      <c r="E2094" s="104">
        <v>10752.85</v>
      </c>
      <c r="F2094">
        <v>0</v>
      </c>
      <c r="G2094" s="104">
        <v>86783.97</v>
      </c>
    </row>
    <row r="2095" spans="2:7" x14ac:dyDescent="0.25">
      <c r="B2095" t="s">
        <v>1587</v>
      </c>
      <c r="D2095" s="104">
        <v>464287.68</v>
      </c>
      <c r="E2095" s="104">
        <v>41427.199999999997</v>
      </c>
      <c r="F2095" s="104">
        <v>9375</v>
      </c>
      <c r="G2095" s="104">
        <v>496339.88</v>
      </c>
    </row>
    <row r="2097" spans="2:7" x14ac:dyDescent="0.25">
      <c r="B2097">
        <v>50205030</v>
      </c>
      <c r="C2097" t="s">
        <v>625</v>
      </c>
    </row>
    <row r="2098" spans="2:7" x14ac:dyDescent="0.25">
      <c r="C2098" t="s">
        <v>2269</v>
      </c>
      <c r="D2098">
        <v>0</v>
      </c>
      <c r="E2098">
        <v>0</v>
      </c>
      <c r="F2098">
        <v>0</v>
      </c>
      <c r="G2098">
        <v>0</v>
      </c>
    </row>
    <row r="2099" spans="2:7" x14ac:dyDescent="0.25">
      <c r="C2099" t="s">
        <v>2270</v>
      </c>
      <c r="D2099">
        <v>0</v>
      </c>
      <c r="E2099">
        <v>0</v>
      </c>
      <c r="F2099">
        <v>0</v>
      </c>
      <c r="G2099">
        <v>0</v>
      </c>
    </row>
    <row r="2100" spans="2:7" x14ac:dyDescent="0.25">
      <c r="C2100" t="s">
        <v>2073</v>
      </c>
      <c r="D2100" s="104">
        <v>150000</v>
      </c>
      <c r="E2100">
        <v>0</v>
      </c>
      <c r="F2100">
        <v>0</v>
      </c>
      <c r="G2100" s="104">
        <v>150000</v>
      </c>
    </row>
    <row r="2101" spans="2:7" x14ac:dyDescent="0.25">
      <c r="C2101" t="s">
        <v>2415</v>
      </c>
      <c r="D2101" s="104">
        <v>103288.13</v>
      </c>
      <c r="E2101" s="104">
        <v>14695.54</v>
      </c>
      <c r="F2101">
        <v>0</v>
      </c>
      <c r="G2101" s="104">
        <v>117983.67</v>
      </c>
    </row>
    <row r="2102" spans="2:7" x14ac:dyDescent="0.25">
      <c r="C2102" t="s">
        <v>2414</v>
      </c>
      <c r="D2102">
        <v>0</v>
      </c>
      <c r="E2102">
        <v>0</v>
      </c>
      <c r="F2102">
        <v>0</v>
      </c>
      <c r="G2102">
        <v>0</v>
      </c>
    </row>
    <row r="2103" spans="2:7" x14ac:dyDescent="0.25">
      <c r="B2103" t="s">
        <v>1587</v>
      </c>
      <c r="D2103" s="104">
        <v>253288.13</v>
      </c>
      <c r="E2103" s="104">
        <v>14695.54</v>
      </c>
      <c r="F2103">
        <v>0</v>
      </c>
      <c r="G2103" s="104">
        <v>267983.67</v>
      </c>
    </row>
    <row r="2105" spans="2:7" x14ac:dyDescent="0.25">
      <c r="B2105">
        <v>50205040</v>
      </c>
      <c r="C2105" t="s">
        <v>2430</v>
      </c>
    </row>
    <row r="2106" spans="2:7" x14ac:dyDescent="0.25">
      <c r="C2106" t="s">
        <v>2073</v>
      </c>
      <c r="D2106" s="104">
        <v>330452.21999999997</v>
      </c>
      <c r="E2106" s="104">
        <v>116083.65</v>
      </c>
      <c r="F2106">
        <v>0</v>
      </c>
      <c r="G2106" s="104">
        <v>446535.87</v>
      </c>
    </row>
    <row r="2107" spans="2:7" x14ac:dyDescent="0.25">
      <c r="B2107" t="s">
        <v>1587</v>
      </c>
      <c r="D2107" s="104">
        <v>330452.21999999997</v>
      </c>
      <c r="E2107" s="104">
        <v>116083.65</v>
      </c>
      <c r="F2107">
        <v>0</v>
      </c>
      <c r="G2107" s="104">
        <v>446535.87</v>
      </c>
    </row>
    <row r="2109" spans="2:7" x14ac:dyDescent="0.25">
      <c r="B2109">
        <v>50210030</v>
      </c>
      <c r="C2109" t="s">
        <v>2431</v>
      </c>
      <c r="D2109" s="104">
        <v>5141000.08</v>
      </c>
      <c r="E2109" s="104">
        <v>187761.48</v>
      </c>
      <c r="F2109">
        <v>0</v>
      </c>
      <c r="G2109" s="104">
        <v>5328761.5599999996</v>
      </c>
    </row>
    <row r="2110" spans="2:7" x14ac:dyDescent="0.25">
      <c r="B2110" t="s">
        <v>2432</v>
      </c>
      <c r="C2110" t="s">
        <v>589</v>
      </c>
    </row>
    <row r="2111" spans="2:7" x14ac:dyDescent="0.25">
      <c r="C2111" t="s">
        <v>2073</v>
      </c>
      <c r="D2111" s="104">
        <v>88155.45</v>
      </c>
      <c r="E2111">
        <v>0</v>
      </c>
      <c r="F2111">
        <v>0</v>
      </c>
      <c r="G2111" s="104">
        <v>88155.45</v>
      </c>
    </row>
    <row r="2112" spans="2:7" x14ac:dyDescent="0.25">
      <c r="B2112" t="s">
        <v>1587</v>
      </c>
      <c r="D2112" s="104">
        <v>88155.45</v>
      </c>
      <c r="E2112">
        <v>0</v>
      </c>
      <c r="F2112">
        <v>0</v>
      </c>
      <c r="G2112" s="104">
        <v>88155.45</v>
      </c>
    </row>
    <row r="2114" spans="2:7" x14ac:dyDescent="0.25">
      <c r="B2114" t="s">
        <v>2433</v>
      </c>
      <c r="C2114" t="s">
        <v>646</v>
      </c>
    </row>
    <row r="2115" spans="2:7" x14ac:dyDescent="0.25">
      <c r="C2115" t="s">
        <v>2269</v>
      </c>
      <c r="D2115" s="104">
        <v>37524.75</v>
      </c>
      <c r="E2115">
        <v>0</v>
      </c>
      <c r="F2115">
        <v>0</v>
      </c>
      <c r="G2115" s="104">
        <v>37524.75</v>
      </c>
    </row>
    <row r="2116" spans="2:7" x14ac:dyDescent="0.25">
      <c r="C2116" t="s">
        <v>2270</v>
      </c>
      <c r="D2116" s="104">
        <v>228833.66</v>
      </c>
      <c r="E2116" s="104">
        <v>5600</v>
      </c>
      <c r="F2116">
        <v>0</v>
      </c>
      <c r="G2116" s="104">
        <v>234433.66</v>
      </c>
    </row>
    <row r="2117" spans="2:7" x14ac:dyDescent="0.25">
      <c r="C2117" t="s">
        <v>2414</v>
      </c>
      <c r="D2117">
        <v>0</v>
      </c>
      <c r="E2117">
        <v>0</v>
      </c>
      <c r="F2117">
        <v>0</v>
      </c>
      <c r="G2117">
        <v>0</v>
      </c>
    </row>
    <row r="2118" spans="2:7" x14ac:dyDescent="0.25">
      <c r="C2118" t="s">
        <v>2073</v>
      </c>
      <c r="D2118" s="104">
        <v>1807662.97</v>
      </c>
      <c r="E2118" s="104">
        <v>51717.2</v>
      </c>
      <c r="F2118">
        <v>0</v>
      </c>
      <c r="G2118" s="104">
        <v>1859380.17</v>
      </c>
    </row>
    <row r="2119" spans="2:7" x14ac:dyDescent="0.25">
      <c r="C2119" t="s">
        <v>2145</v>
      </c>
      <c r="D2119" s="104">
        <v>5040.1899999999996</v>
      </c>
      <c r="E2119">
        <v>0</v>
      </c>
      <c r="F2119">
        <v>0</v>
      </c>
      <c r="G2119" s="104">
        <v>5040.1899999999996</v>
      </c>
    </row>
    <row r="2120" spans="2:7" x14ac:dyDescent="0.25">
      <c r="C2120" t="s">
        <v>2413</v>
      </c>
      <c r="D2120" s="104">
        <v>19635.990000000002</v>
      </c>
      <c r="E2120" s="104">
        <v>7724.18</v>
      </c>
      <c r="F2120">
        <v>0</v>
      </c>
      <c r="G2120" s="104">
        <v>27360.17</v>
      </c>
    </row>
    <row r="2121" spans="2:7" x14ac:dyDescent="0.25">
      <c r="C2121" t="s">
        <v>2415</v>
      </c>
      <c r="D2121" s="104">
        <v>20961.919999999998</v>
      </c>
      <c r="E2121" s="104">
        <v>21523.31</v>
      </c>
      <c r="F2121">
        <v>0</v>
      </c>
      <c r="G2121" s="104">
        <v>42485.23</v>
      </c>
    </row>
    <row r="2122" spans="2:7" x14ac:dyDescent="0.25">
      <c r="C2122" t="s">
        <v>2416</v>
      </c>
      <c r="D2122" s="104">
        <v>57523.83</v>
      </c>
      <c r="E2122" s="104">
        <v>3852.85</v>
      </c>
      <c r="F2122">
        <v>0</v>
      </c>
      <c r="G2122" s="104">
        <v>61376.68</v>
      </c>
    </row>
    <row r="2123" spans="2:7" x14ac:dyDescent="0.25">
      <c r="C2123" t="s">
        <v>2428</v>
      </c>
      <c r="D2123" s="104">
        <v>144876.28</v>
      </c>
      <c r="E2123">
        <v>0</v>
      </c>
      <c r="F2123">
        <v>0</v>
      </c>
      <c r="G2123" s="104">
        <v>144876.28</v>
      </c>
    </row>
    <row r="2124" spans="2:7" x14ac:dyDescent="0.25">
      <c r="C2124" t="s">
        <v>2421</v>
      </c>
      <c r="D2124">
        <v>987.5</v>
      </c>
      <c r="E2124" s="104">
        <v>1679.47</v>
      </c>
      <c r="F2124">
        <v>0</v>
      </c>
      <c r="G2124" s="104">
        <v>2666.97</v>
      </c>
    </row>
    <row r="2125" spans="2:7" x14ac:dyDescent="0.25">
      <c r="C2125" t="s">
        <v>2221</v>
      </c>
      <c r="D2125">
        <v>0</v>
      </c>
      <c r="E2125">
        <v>0</v>
      </c>
      <c r="F2125">
        <v>0</v>
      </c>
      <c r="G2125">
        <v>0</v>
      </c>
    </row>
    <row r="2126" spans="2:7" x14ac:dyDescent="0.25">
      <c r="C2126" t="s">
        <v>1738</v>
      </c>
      <c r="D2126" s="104">
        <v>72500</v>
      </c>
      <c r="E2126">
        <v>0</v>
      </c>
      <c r="F2126">
        <v>0</v>
      </c>
      <c r="G2126" s="104">
        <v>72500</v>
      </c>
    </row>
    <row r="2127" spans="2:7" x14ac:dyDescent="0.25">
      <c r="C2127" t="s">
        <v>2138</v>
      </c>
      <c r="D2127" s="104">
        <v>1733.48</v>
      </c>
      <c r="E2127">
        <v>0</v>
      </c>
      <c r="F2127">
        <v>0</v>
      </c>
      <c r="G2127" s="104">
        <v>1733.48</v>
      </c>
    </row>
    <row r="2128" spans="2:7" x14ac:dyDescent="0.25">
      <c r="C2128" t="s">
        <v>2418</v>
      </c>
      <c r="D2128" s="104">
        <v>16012.79</v>
      </c>
      <c r="E2128" s="104">
        <v>10745.32</v>
      </c>
      <c r="F2128">
        <v>0</v>
      </c>
      <c r="G2128" s="104">
        <v>26758.11</v>
      </c>
    </row>
    <row r="2129" spans="2:7" x14ac:dyDescent="0.25">
      <c r="C2129" t="s">
        <v>2422</v>
      </c>
      <c r="D2129" s="104">
        <v>78398.64</v>
      </c>
      <c r="E2129" s="104">
        <v>18696.2</v>
      </c>
      <c r="F2129">
        <v>0</v>
      </c>
      <c r="G2129" s="104">
        <v>97094.84</v>
      </c>
    </row>
    <row r="2130" spans="2:7" x14ac:dyDescent="0.25">
      <c r="C2130" t="s">
        <v>2383</v>
      </c>
      <c r="D2130" s="104">
        <v>42857.14</v>
      </c>
      <c r="E2130">
        <v>0</v>
      </c>
      <c r="F2130">
        <v>0</v>
      </c>
      <c r="G2130" s="104">
        <v>42857.14</v>
      </c>
    </row>
    <row r="2131" spans="2:7" x14ac:dyDescent="0.25">
      <c r="C2131" t="s">
        <v>2773</v>
      </c>
      <c r="D2131" s="104">
        <v>7689.96</v>
      </c>
      <c r="E2131" s="104">
        <v>1823.57</v>
      </c>
      <c r="F2131">
        <v>0</v>
      </c>
      <c r="G2131" s="104">
        <v>9513.5300000000007</v>
      </c>
    </row>
    <row r="2132" spans="2:7" x14ac:dyDescent="0.25">
      <c r="C2132" t="s">
        <v>2776</v>
      </c>
      <c r="D2132" s="104">
        <v>8390.7800000000007</v>
      </c>
      <c r="E2132">
        <v>0</v>
      </c>
      <c r="F2132">
        <v>0</v>
      </c>
      <c r="G2132" s="104">
        <v>8390.7800000000007</v>
      </c>
    </row>
    <row r="2133" spans="2:7" x14ac:dyDescent="0.25">
      <c r="C2133" t="s">
        <v>2777</v>
      </c>
      <c r="D2133" s="104">
        <v>1741.67</v>
      </c>
      <c r="E2133">
        <v>0</v>
      </c>
      <c r="F2133">
        <v>0</v>
      </c>
      <c r="G2133" s="104">
        <v>1741.67</v>
      </c>
    </row>
    <row r="2134" spans="2:7" x14ac:dyDescent="0.25">
      <c r="C2134" t="s">
        <v>2778</v>
      </c>
      <c r="D2134" s="104">
        <v>1741.67</v>
      </c>
      <c r="E2134">
        <v>0</v>
      </c>
      <c r="F2134">
        <v>0</v>
      </c>
      <c r="G2134" s="104">
        <v>1741.67</v>
      </c>
    </row>
    <row r="2135" spans="2:7" x14ac:dyDescent="0.25">
      <c r="C2135" t="s">
        <v>2779</v>
      </c>
      <c r="D2135" s="104">
        <v>1741.67</v>
      </c>
      <c r="E2135">
        <v>0</v>
      </c>
      <c r="F2135">
        <v>0</v>
      </c>
      <c r="G2135" s="104">
        <v>1741.67</v>
      </c>
    </row>
    <row r="2136" spans="2:7" x14ac:dyDescent="0.25">
      <c r="C2136" t="s">
        <v>2774</v>
      </c>
      <c r="D2136" s="104">
        <v>41274.46</v>
      </c>
      <c r="E2136">
        <v>0</v>
      </c>
      <c r="F2136">
        <v>0</v>
      </c>
      <c r="G2136" s="104">
        <v>41274.46</v>
      </c>
    </row>
    <row r="2137" spans="2:7" x14ac:dyDescent="0.25">
      <c r="B2137" t="s">
        <v>1587</v>
      </c>
      <c r="D2137" s="104">
        <v>2597129.35</v>
      </c>
      <c r="E2137" s="104">
        <v>123362.1</v>
      </c>
      <c r="F2137">
        <v>0</v>
      </c>
      <c r="G2137" s="104">
        <v>2720491.45</v>
      </c>
    </row>
    <row r="2139" spans="2:7" x14ac:dyDescent="0.25">
      <c r="B2139" t="s">
        <v>2435</v>
      </c>
      <c r="C2139" t="s">
        <v>593</v>
      </c>
    </row>
    <row r="2140" spans="2:7" x14ac:dyDescent="0.25">
      <c r="C2140" t="s">
        <v>2269</v>
      </c>
      <c r="D2140" s="104">
        <v>15799.29</v>
      </c>
      <c r="E2140">
        <v>0</v>
      </c>
      <c r="F2140">
        <v>0</v>
      </c>
      <c r="G2140" s="104">
        <v>15799.29</v>
      </c>
    </row>
    <row r="2141" spans="2:7" x14ac:dyDescent="0.25">
      <c r="C2141" t="s">
        <v>2424</v>
      </c>
      <c r="D2141">
        <v>0</v>
      </c>
      <c r="E2141">
        <v>0</v>
      </c>
      <c r="F2141">
        <v>0</v>
      </c>
      <c r="G2141">
        <v>0</v>
      </c>
    </row>
    <row r="2142" spans="2:7" x14ac:dyDescent="0.25">
      <c r="C2142" t="s">
        <v>2270</v>
      </c>
      <c r="D2142" s="104">
        <v>12661.71</v>
      </c>
      <c r="E2142">
        <v>0</v>
      </c>
      <c r="F2142">
        <v>0</v>
      </c>
      <c r="G2142" s="104">
        <v>12661.71</v>
      </c>
    </row>
    <row r="2143" spans="2:7" x14ac:dyDescent="0.25">
      <c r="C2143" t="s">
        <v>2414</v>
      </c>
      <c r="D2143" s="104">
        <v>2750</v>
      </c>
      <c r="E2143">
        <v>0</v>
      </c>
      <c r="F2143">
        <v>0</v>
      </c>
      <c r="G2143" s="104">
        <v>2750</v>
      </c>
    </row>
    <row r="2144" spans="2:7" x14ac:dyDescent="0.25">
      <c r="C2144" t="s">
        <v>2073</v>
      </c>
      <c r="D2144" s="104">
        <v>1135471.2</v>
      </c>
      <c r="E2144">
        <v>600</v>
      </c>
      <c r="F2144">
        <v>0</v>
      </c>
      <c r="G2144" s="104">
        <v>1136071.2</v>
      </c>
    </row>
    <row r="2145" spans="2:7" x14ac:dyDescent="0.25">
      <c r="C2145" t="s">
        <v>2428</v>
      </c>
      <c r="D2145" s="104">
        <v>53250</v>
      </c>
      <c r="E2145">
        <v>0</v>
      </c>
      <c r="F2145">
        <v>0</v>
      </c>
      <c r="G2145" s="104">
        <v>53250</v>
      </c>
    </row>
    <row r="2146" spans="2:7" x14ac:dyDescent="0.25">
      <c r="C2146" t="s">
        <v>2145</v>
      </c>
      <c r="D2146" s="104">
        <v>404195.3</v>
      </c>
      <c r="E2146">
        <v>0</v>
      </c>
      <c r="F2146">
        <v>0</v>
      </c>
      <c r="G2146" s="104">
        <v>404195.3</v>
      </c>
    </row>
    <row r="2147" spans="2:7" x14ac:dyDescent="0.25">
      <c r="C2147" t="s">
        <v>2413</v>
      </c>
      <c r="D2147" s="104">
        <v>8958.2199999999993</v>
      </c>
      <c r="E2147">
        <v>0</v>
      </c>
      <c r="F2147">
        <v>0</v>
      </c>
      <c r="G2147" s="104">
        <v>8958.2199999999993</v>
      </c>
    </row>
    <row r="2148" spans="2:7" x14ac:dyDescent="0.25">
      <c r="C2148" t="s">
        <v>2415</v>
      </c>
      <c r="D2148" s="104">
        <v>1437.26</v>
      </c>
      <c r="E2148">
        <v>0</v>
      </c>
      <c r="F2148">
        <v>0</v>
      </c>
      <c r="G2148" s="104">
        <v>1437.26</v>
      </c>
    </row>
    <row r="2149" spans="2:7" x14ac:dyDescent="0.25">
      <c r="C2149" t="s">
        <v>2416</v>
      </c>
      <c r="D2149" s="104">
        <v>45817.34</v>
      </c>
      <c r="E2149" s="104">
        <v>2175.6999999999998</v>
      </c>
      <c r="F2149">
        <v>0</v>
      </c>
      <c r="G2149" s="104">
        <v>47993.04</v>
      </c>
    </row>
    <row r="2150" spans="2:7" x14ac:dyDescent="0.25">
      <c r="C2150" t="s">
        <v>2418</v>
      </c>
      <c r="D2150" s="104">
        <v>58060.59</v>
      </c>
      <c r="E2150" s="104">
        <v>5731.2</v>
      </c>
      <c r="F2150">
        <v>0</v>
      </c>
      <c r="G2150" s="104">
        <v>63791.79</v>
      </c>
    </row>
    <row r="2151" spans="2:7" x14ac:dyDescent="0.25">
      <c r="C2151" t="s">
        <v>2422</v>
      </c>
      <c r="D2151" s="104">
        <v>4151.13</v>
      </c>
      <c r="E2151">
        <v>600</v>
      </c>
      <c r="F2151">
        <v>0</v>
      </c>
      <c r="G2151" s="104">
        <v>4751.13</v>
      </c>
    </row>
    <row r="2152" spans="2:7" x14ac:dyDescent="0.25">
      <c r="C2152" t="s">
        <v>2773</v>
      </c>
      <c r="D2152" s="104">
        <v>16926.89</v>
      </c>
      <c r="E2152">
        <v>0</v>
      </c>
      <c r="F2152">
        <v>0</v>
      </c>
      <c r="G2152" s="104">
        <v>16926.89</v>
      </c>
    </row>
    <row r="2153" spans="2:7" x14ac:dyDescent="0.25">
      <c r="C2153" t="s">
        <v>2774</v>
      </c>
      <c r="D2153" s="104">
        <v>22069.33</v>
      </c>
      <c r="E2153" s="104">
        <v>1650</v>
      </c>
      <c r="F2153">
        <v>0</v>
      </c>
      <c r="G2153" s="104">
        <v>23719.33</v>
      </c>
    </row>
    <row r="2154" spans="2:7" x14ac:dyDescent="0.25">
      <c r="B2154" t="s">
        <v>1587</v>
      </c>
      <c r="D2154" s="104">
        <v>1781548.26</v>
      </c>
      <c r="E2154" s="104">
        <v>10756.9</v>
      </c>
      <c r="F2154">
        <v>0</v>
      </c>
      <c r="G2154" s="104">
        <v>1792305.16</v>
      </c>
    </row>
    <row r="2156" spans="2:7" x14ac:dyDescent="0.25">
      <c r="B2156" t="s">
        <v>2437</v>
      </c>
      <c r="C2156" t="s">
        <v>654</v>
      </c>
    </row>
    <row r="2157" spans="2:7" x14ac:dyDescent="0.25">
      <c r="C2157" t="s">
        <v>2269</v>
      </c>
      <c r="D2157" s="104">
        <v>112474.14</v>
      </c>
      <c r="E2157" s="104">
        <v>25391.26</v>
      </c>
      <c r="F2157">
        <v>0</v>
      </c>
      <c r="G2157" s="104">
        <v>137865.4</v>
      </c>
    </row>
    <row r="2158" spans="2:7" x14ac:dyDescent="0.25">
      <c r="C2158" t="s">
        <v>2270</v>
      </c>
      <c r="D2158" s="104">
        <v>93766.52</v>
      </c>
      <c r="E2158">
        <v>0</v>
      </c>
      <c r="F2158">
        <v>0</v>
      </c>
      <c r="G2158" s="104">
        <v>93766.52</v>
      </c>
    </row>
    <row r="2159" spans="2:7" x14ac:dyDescent="0.25">
      <c r="C2159" t="s">
        <v>2416</v>
      </c>
      <c r="D2159" s="104">
        <v>87460.75</v>
      </c>
      <c r="E2159" s="104">
        <v>5327.67</v>
      </c>
      <c r="F2159">
        <v>0</v>
      </c>
      <c r="G2159" s="104">
        <v>92788.42</v>
      </c>
    </row>
    <row r="2160" spans="2:7" x14ac:dyDescent="0.25">
      <c r="C2160" t="s">
        <v>2414</v>
      </c>
      <c r="D2160" s="104">
        <v>11647.15</v>
      </c>
      <c r="E2160">
        <v>0</v>
      </c>
      <c r="F2160">
        <v>0</v>
      </c>
      <c r="G2160" s="104">
        <v>11647.15</v>
      </c>
    </row>
    <row r="2161" spans="2:7" x14ac:dyDescent="0.25">
      <c r="C2161" t="s">
        <v>2418</v>
      </c>
      <c r="D2161" s="104">
        <v>92940.27</v>
      </c>
      <c r="E2161">
        <v>0</v>
      </c>
      <c r="F2161">
        <v>0</v>
      </c>
      <c r="G2161" s="104">
        <v>92940.27</v>
      </c>
    </row>
    <row r="2162" spans="2:7" x14ac:dyDescent="0.25">
      <c r="C2162" t="s">
        <v>2422</v>
      </c>
      <c r="D2162" s="104">
        <v>130236.72</v>
      </c>
      <c r="E2162">
        <v>0</v>
      </c>
      <c r="F2162">
        <v>0</v>
      </c>
      <c r="G2162" s="104">
        <v>130236.72</v>
      </c>
    </row>
    <row r="2163" spans="2:7" x14ac:dyDescent="0.25">
      <c r="C2163" t="s">
        <v>2423</v>
      </c>
      <c r="D2163">
        <v>0</v>
      </c>
      <c r="E2163">
        <v>0</v>
      </c>
      <c r="F2163">
        <v>0</v>
      </c>
      <c r="G2163">
        <v>0</v>
      </c>
    </row>
    <row r="2164" spans="2:7" x14ac:dyDescent="0.25">
      <c r="C2164" t="s">
        <v>2773</v>
      </c>
      <c r="D2164" s="104">
        <v>86580.29</v>
      </c>
      <c r="E2164" s="104">
        <v>3244.25</v>
      </c>
      <c r="F2164">
        <v>0</v>
      </c>
      <c r="G2164" s="104">
        <v>89824.54</v>
      </c>
    </row>
    <row r="2165" spans="2:7" x14ac:dyDescent="0.25">
      <c r="C2165" t="s">
        <v>2774</v>
      </c>
      <c r="D2165" s="104">
        <v>59061.18</v>
      </c>
      <c r="E2165" s="104">
        <v>19679.3</v>
      </c>
      <c r="F2165">
        <v>0</v>
      </c>
      <c r="G2165" s="104">
        <v>78740.479999999996</v>
      </c>
    </row>
    <row r="2166" spans="2:7" x14ac:dyDescent="0.25">
      <c r="B2166" t="s">
        <v>1587</v>
      </c>
      <c r="D2166" s="104">
        <v>674167.02</v>
      </c>
      <c r="E2166" s="104">
        <v>53642.48</v>
      </c>
      <c r="F2166">
        <v>0</v>
      </c>
      <c r="G2166" s="104">
        <v>727809.5</v>
      </c>
    </row>
    <row r="2168" spans="2:7" x14ac:dyDescent="0.25">
      <c r="B2168">
        <v>50211010</v>
      </c>
      <c r="C2168" t="s">
        <v>458</v>
      </c>
    </row>
    <row r="2169" spans="2:7" x14ac:dyDescent="0.25">
      <c r="C2169" t="s">
        <v>2414</v>
      </c>
      <c r="D2169" s="104">
        <v>360000</v>
      </c>
      <c r="E2169" s="104">
        <v>45000</v>
      </c>
      <c r="F2169">
        <v>0</v>
      </c>
      <c r="G2169" s="104">
        <v>405000</v>
      </c>
    </row>
    <row r="2170" spans="2:7" x14ac:dyDescent="0.25">
      <c r="B2170" t="s">
        <v>1587</v>
      </c>
      <c r="D2170" s="104">
        <v>360000</v>
      </c>
      <c r="E2170" s="104">
        <v>45000</v>
      </c>
      <c r="F2170">
        <v>0</v>
      </c>
      <c r="G2170" s="104">
        <v>405000</v>
      </c>
    </row>
    <row r="2172" spans="2:7" x14ac:dyDescent="0.25">
      <c r="B2172">
        <v>50211020</v>
      </c>
      <c r="C2172" t="s">
        <v>466</v>
      </c>
    </row>
    <row r="2173" spans="2:7" x14ac:dyDescent="0.25">
      <c r="C2173" t="s">
        <v>2250</v>
      </c>
      <c r="D2173" s="104">
        <v>5687982.1100000003</v>
      </c>
      <c r="E2173" s="104">
        <v>689963.8</v>
      </c>
      <c r="F2173">
        <v>0</v>
      </c>
      <c r="G2173" s="104">
        <v>6377945.9100000001</v>
      </c>
    </row>
    <row r="2174" spans="2:7" x14ac:dyDescent="0.25">
      <c r="B2174" t="s">
        <v>1587</v>
      </c>
      <c r="D2174" s="104">
        <v>5687982.1100000003</v>
      </c>
      <c r="E2174" s="104">
        <v>689963.8</v>
      </c>
      <c r="F2174">
        <v>0</v>
      </c>
      <c r="G2174" s="104">
        <v>6377945.9100000001</v>
      </c>
    </row>
    <row r="2176" spans="2:7" x14ac:dyDescent="0.25">
      <c r="B2176">
        <v>50211030</v>
      </c>
      <c r="C2176" t="s">
        <v>462</v>
      </c>
    </row>
    <row r="2177" spans="2:7" x14ac:dyDescent="0.25">
      <c r="C2177" t="s">
        <v>2270</v>
      </c>
      <c r="D2177" s="104">
        <v>1308620.55</v>
      </c>
      <c r="E2177" s="104">
        <v>254482.74</v>
      </c>
      <c r="F2177">
        <v>0</v>
      </c>
      <c r="G2177" s="104">
        <v>1563103.29</v>
      </c>
    </row>
    <row r="2178" spans="2:7" x14ac:dyDescent="0.25">
      <c r="C2178" t="s">
        <v>2073</v>
      </c>
      <c r="D2178" s="104">
        <v>765580.65</v>
      </c>
      <c r="E2178">
        <v>0</v>
      </c>
      <c r="F2178">
        <v>0</v>
      </c>
      <c r="G2178" s="104">
        <v>765580.65</v>
      </c>
    </row>
    <row r="2179" spans="2:7" x14ac:dyDescent="0.25">
      <c r="C2179" t="s">
        <v>2269</v>
      </c>
      <c r="D2179" s="104">
        <v>136797.75</v>
      </c>
      <c r="E2179">
        <v>0</v>
      </c>
      <c r="F2179">
        <v>0</v>
      </c>
      <c r="G2179" s="104">
        <v>136797.75</v>
      </c>
    </row>
    <row r="2180" spans="2:7" x14ac:dyDescent="0.25">
      <c r="C2180" t="s">
        <v>2415</v>
      </c>
      <c r="D2180" s="104">
        <v>366000</v>
      </c>
      <c r="E2180" s="104">
        <v>66000</v>
      </c>
      <c r="F2180">
        <v>0</v>
      </c>
      <c r="G2180" s="104">
        <v>432000</v>
      </c>
    </row>
    <row r="2181" spans="2:7" x14ac:dyDescent="0.25">
      <c r="C2181" t="s">
        <v>2416</v>
      </c>
      <c r="D2181" s="104">
        <v>1068652.98</v>
      </c>
      <c r="E2181" s="104">
        <v>153764.37</v>
      </c>
      <c r="F2181">
        <v>0</v>
      </c>
      <c r="G2181" s="104">
        <v>1222417.3500000001</v>
      </c>
    </row>
    <row r="2182" spans="2:7" x14ac:dyDescent="0.25">
      <c r="C2182" t="s">
        <v>2428</v>
      </c>
      <c r="D2182" s="104">
        <v>210687.5</v>
      </c>
      <c r="E2182">
        <v>0</v>
      </c>
      <c r="F2182">
        <v>0</v>
      </c>
      <c r="G2182" s="104">
        <v>210687.5</v>
      </c>
    </row>
    <row r="2183" spans="2:7" x14ac:dyDescent="0.25">
      <c r="C2183" t="s">
        <v>2429</v>
      </c>
      <c r="D2183">
        <v>0</v>
      </c>
      <c r="E2183">
        <v>0</v>
      </c>
      <c r="F2183">
        <v>0</v>
      </c>
      <c r="G2183">
        <v>0</v>
      </c>
    </row>
    <row r="2184" spans="2:7" x14ac:dyDescent="0.25">
      <c r="B2184" t="s">
        <v>1587</v>
      </c>
      <c r="D2184" s="104">
        <v>3856339.43</v>
      </c>
      <c r="E2184" s="104">
        <v>474247.11</v>
      </c>
      <c r="F2184">
        <v>0</v>
      </c>
      <c r="G2184" s="104">
        <v>4330586.54</v>
      </c>
    </row>
    <row r="2186" spans="2:7" x14ac:dyDescent="0.25">
      <c r="B2186">
        <v>50211990</v>
      </c>
      <c r="C2186" t="s">
        <v>2438</v>
      </c>
    </row>
    <row r="2187" spans="2:7" x14ac:dyDescent="0.25">
      <c r="B2187">
        <v>50212010</v>
      </c>
      <c r="C2187" t="s">
        <v>472</v>
      </c>
    </row>
    <row r="2188" spans="2:7" x14ac:dyDescent="0.25">
      <c r="C2188" t="s">
        <v>2073</v>
      </c>
      <c r="D2188" s="104">
        <v>100086.15</v>
      </c>
      <c r="E2188" s="104">
        <v>21739.4</v>
      </c>
      <c r="F2188">
        <v>0</v>
      </c>
      <c r="G2188" s="104">
        <v>121825.55</v>
      </c>
    </row>
    <row r="2189" spans="2:7" x14ac:dyDescent="0.25">
      <c r="B2189" t="s">
        <v>1587</v>
      </c>
      <c r="D2189" s="104">
        <v>100086.15</v>
      </c>
      <c r="E2189" s="104">
        <v>21739.4</v>
      </c>
      <c r="F2189">
        <v>0</v>
      </c>
      <c r="G2189" s="104">
        <v>121825.55</v>
      </c>
    </row>
    <row r="2191" spans="2:7" x14ac:dyDescent="0.25">
      <c r="B2191">
        <v>50212020</v>
      </c>
      <c r="C2191" t="s">
        <v>561</v>
      </c>
    </row>
    <row r="2192" spans="2:7" x14ac:dyDescent="0.25">
      <c r="C2192" t="s">
        <v>2073</v>
      </c>
      <c r="D2192" s="104">
        <v>1963982.19</v>
      </c>
      <c r="E2192" s="104">
        <v>139990</v>
      </c>
      <c r="F2192">
        <v>0</v>
      </c>
      <c r="G2192" s="104">
        <v>2103972.19</v>
      </c>
    </row>
    <row r="2193" spans="2:7" x14ac:dyDescent="0.25">
      <c r="B2193" t="s">
        <v>1587</v>
      </c>
      <c r="D2193" s="104">
        <v>1963982.19</v>
      </c>
      <c r="E2193" s="104">
        <v>139990</v>
      </c>
      <c r="F2193">
        <v>0</v>
      </c>
      <c r="G2193" s="104">
        <v>2103972.19</v>
      </c>
    </row>
    <row r="2195" spans="2:7" x14ac:dyDescent="0.25">
      <c r="B2195">
        <v>50212030</v>
      </c>
      <c r="C2195" t="s">
        <v>555</v>
      </c>
    </row>
    <row r="2196" spans="2:7" x14ac:dyDescent="0.25">
      <c r="C2196" t="s">
        <v>2073</v>
      </c>
      <c r="D2196" s="104">
        <v>7743096.7199999997</v>
      </c>
      <c r="E2196" s="104">
        <v>1858643.49</v>
      </c>
      <c r="F2196">
        <v>0</v>
      </c>
      <c r="G2196" s="104">
        <v>9601740.2100000009</v>
      </c>
    </row>
    <row r="2197" spans="2:7" x14ac:dyDescent="0.25">
      <c r="C2197" t="s">
        <v>2414</v>
      </c>
      <c r="D2197">
        <v>0</v>
      </c>
      <c r="E2197">
        <v>0</v>
      </c>
      <c r="F2197">
        <v>0</v>
      </c>
      <c r="G2197">
        <v>0</v>
      </c>
    </row>
    <row r="2198" spans="2:7" x14ac:dyDescent="0.25">
      <c r="B2198" t="s">
        <v>1587</v>
      </c>
      <c r="D2198" s="104">
        <v>7743096.7199999997</v>
      </c>
      <c r="E2198" s="104">
        <v>1858643.49</v>
      </c>
      <c r="F2198">
        <v>0</v>
      </c>
      <c r="G2198" s="104">
        <v>9601740.2100000009</v>
      </c>
    </row>
    <row r="2200" spans="2:7" x14ac:dyDescent="0.25">
      <c r="B2200">
        <v>50212990</v>
      </c>
      <c r="C2200" t="s">
        <v>2439</v>
      </c>
      <c r="D2200" s="104">
        <v>9787514.3100000005</v>
      </c>
      <c r="E2200" s="104">
        <v>1591051.78</v>
      </c>
      <c r="F2200">
        <v>0</v>
      </c>
      <c r="G2200" s="104">
        <v>11378566.09</v>
      </c>
    </row>
    <row r="2201" spans="2:7" x14ac:dyDescent="0.25">
      <c r="B2201" t="s">
        <v>2440</v>
      </c>
      <c r="C2201" t="s">
        <v>558</v>
      </c>
    </row>
    <row r="2202" spans="2:7" x14ac:dyDescent="0.25">
      <c r="C2202" t="s">
        <v>2073</v>
      </c>
      <c r="D2202" s="104">
        <v>527215.56999999995</v>
      </c>
      <c r="E2202" s="104">
        <v>30167.26</v>
      </c>
      <c r="F2202">
        <v>0</v>
      </c>
      <c r="G2202" s="104">
        <v>557382.82999999996</v>
      </c>
    </row>
    <row r="2203" spans="2:7" x14ac:dyDescent="0.25">
      <c r="C2203" t="s">
        <v>2414</v>
      </c>
      <c r="D2203">
        <v>0</v>
      </c>
      <c r="E2203">
        <v>0</v>
      </c>
      <c r="F2203">
        <v>0</v>
      </c>
      <c r="G2203">
        <v>0</v>
      </c>
    </row>
    <row r="2204" spans="2:7" x14ac:dyDescent="0.25">
      <c r="B2204" t="s">
        <v>1587</v>
      </c>
      <c r="D2204" s="104">
        <v>527215.56999999995</v>
      </c>
      <c r="E2204" s="104">
        <v>30167.26</v>
      </c>
      <c r="F2204">
        <v>0</v>
      </c>
      <c r="G2204" s="104">
        <v>557382.82999999996</v>
      </c>
    </row>
    <row r="2206" spans="2:7" x14ac:dyDescent="0.25">
      <c r="B2206" t="s">
        <v>2442</v>
      </c>
      <c r="C2206" t="s">
        <v>582</v>
      </c>
    </row>
    <row r="2207" spans="2:7" x14ac:dyDescent="0.25">
      <c r="C2207" t="s">
        <v>2269</v>
      </c>
      <c r="D2207" s="104">
        <v>524381.6</v>
      </c>
      <c r="E2207" s="104">
        <v>107773.67</v>
      </c>
      <c r="F2207">
        <v>0</v>
      </c>
      <c r="G2207" s="104">
        <v>632155.27</v>
      </c>
    </row>
    <row r="2208" spans="2:7" x14ac:dyDescent="0.25">
      <c r="C2208" t="s">
        <v>2270</v>
      </c>
      <c r="D2208" s="104">
        <v>819364.96</v>
      </c>
      <c r="E2208" s="104">
        <v>66741.84</v>
      </c>
      <c r="F2208">
        <v>0</v>
      </c>
      <c r="G2208" s="104">
        <v>886106.8</v>
      </c>
    </row>
    <row r="2209" spans="2:7" x14ac:dyDescent="0.25">
      <c r="C2209" t="s">
        <v>2414</v>
      </c>
      <c r="D2209" s="104">
        <v>154475.85</v>
      </c>
      <c r="E2209">
        <v>0</v>
      </c>
      <c r="F2209">
        <v>0</v>
      </c>
      <c r="G2209" s="104">
        <v>154475.85</v>
      </c>
    </row>
    <row r="2210" spans="2:7" x14ac:dyDescent="0.25">
      <c r="C2210" t="s">
        <v>2073</v>
      </c>
      <c r="D2210" s="104">
        <v>2664373.2599999998</v>
      </c>
      <c r="E2210" s="104">
        <v>396436.2</v>
      </c>
      <c r="F2210">
        <v>0</v>
      </c>
      <c r="G2210" s="104">
        <v>3060809.46</v>
      </c>
    </row>
    <row r="2211" spans="2:7" x14ac:dyDescent="0.25">
      <c r="C2211" t="s">
        <v>2413</v>
      </c>
      <c r="D2211" s="104">
        <v>51309.57</v>
      </c>
      <c r="E2211" s="104">
        <v>32119.85</v>
      </c>
      <c r="F2211">
        <v>0</v>
      </c>
      <c r="G2211" s="104">
        <v>83429.42</v>
      </c>
    </row>
    <row r="2212" spans="2:7" x14ac:dyDescent="0.25">
      <c r="C2212" t="s">
        <v>2415</v>
      </c>
      <c r="D2212" s="104">
        <v>927962.52</v>
      </c>
      <c r="E2212" s="104">
        <v>207630.75</v>
      </c>
      <c r="F2212">
        <v>0</v>
      </c>
      <c r="G2212" s="104">
        <v>1135593.27</v>
      </c>
    </row>
    <row r="2213" spans="2:7" x14ac:dyDescent="0.25">
      <c r="C2213" t="s">
        <v>2416</v>
      </c>
      <c r="D2213" s="104">
        <v>646086.46</v>
      </c>
      <c r="E2213" s="104">
        <v>81105.179999999993</v>
      </c>
      <c r="F2213">
        <v>0</v>
      </c>
      <c r="G2213" s="104">
        <v>727191.64</v>
      </c>
    </row>
    <row r="2214" spans="2:7" x14ac:dyDescent="0.25">
      <c r="C2214" t="s">
        <v>1979</v>
      </c>
      <c r="D2214">
        <v>0</v>
      </c>
      <c r="E2214">
        <v>0</v>
      </c>
      <c r="F2214">
        <v>0</v>
      </c>
      <c r="G2214">
        <v>0</v>
      </c>
    </row>
    <row r="2215" spans="2:7" x14ac:dyDescent="0.25">
      <c r="C2215" t="s">
        <v>1848</v>
      </c>
      <c r="D2215">
        <v>0</v>
      </c>
      <c r="E2215" s="104">
        <v>16580.240000000002</v>
      </c>
      <c r="F2215">
        <v>0</v>
      </c>
      <c r="G2215" s="104">
        <v>16580.240000000002</v>
      </c>
    </row>
    <row r="2216" spans="2:7" x14ac:dyDescent="0.25">
      <c r="C2216" t="s">
        <v>2421</v>
      </c>
      <c r="D2216">
        <v>0</v>
      </c>
      <c r="E2216" s="104">
        <v>8379</v>
      </c>
      <c r="F2216">
        <v>0</v>
      </c>
      <c r="G2216" s="104">
        <v>8379</v>
      </c>
    </row>
    <row r="2217" spans="2:7" x14ac:dyDescent="0.25">
      <c r="C2217" t="s">
        <v>2418</v>
      </c>
      <c r="D2217" s="104">
        <v>561349.76</v>
      </c>
      <c r="E2217" s="104">
        <v>36924.559999999998</v>
      </c>
      <c r="F2217">
        <v>0</v>
      </c>
      <c r="G2217" s="104">
        <v>598274.31999999995</v>
      </c>
    </row>
    <row r="2218" spans="2:7" x14ac:dyDescent="0.25">
      <c r="C2218" t="s">
        <v>2422</v>
      </c>
      <c r="D2218" s="104">
        <v>905509.25</v>
      </c>
      <c r="E2218" s="104">
        <v>150746.26999999999</v>
      </c>
      <c r="F2218">
        <v>0</v>
      </c>
      <c r="G2218" s="104">
        <v>1056255.52</v>
      </c>
    </row>
    <row r="2219" spans="2:7" x14ac:dyDescent="0.25">
      <c r="C2219" t="s">
        <v>2773</v>
      </c>
      <c r="D2219" s="104">
        <v>668265.93000000005</v>
      </c>
      <c r="E2219" s="104">
        <v>134329.53</v>
      </c>
      <c r="F2219">
        <v>0</v>
      </c>
      <c r="G2219" s="104">
        <v>802595.46</v>
      </c>
    </row>
    <row r="2220" spans="2:7" x14ac:dyDescent="0.25">
      <c r="C2220" t="s">
        <v>2774</v>
      </c>
      <c r="D2220" s="104">
        <v>1337219.58</v>
      </c>
      <c r="E2220" s="104">
        <v>322117.43</v>
      </c>
      <c r="F2220">
        <v>0</v>
      </c>
      <c r="G2220" s="104">
        <v>1659337.01</v>
      </c>
    </row>
    <row r="2221" spans="2:7" x14ac:dyDescent="0.25">
      <c r="B2221" t="s">
        <v>1587</v>
      </c>
      <c r="D2221" s="104">
        <v>9260298.7400000002</v>
      </c>
      <c r="E2221" s="104">
        <v>1560884.52</v>
      </c>
      <c r="F2221">
        <v>0</v>
      </c>
      <c r="G2221" s="104">
        <v>10821183.26</v>
      </c>
    </row>
    <row r="2223" spans="2:7" x14ac:dyDescent="0.25">
      <c r="B2223">
        <v>50213010</v>
      </c>
      <c r="C2223" t="s">
        <v>525</v>
      </c>
    </row>
    <row r="2224" spans="2:7" x14ac:dyDescent="0.25">
      <c r="C2224" t="s">
        <v>2073</v>
      </c>
      <c r="D2224" s="104">
        <v>1555482.46</v>
      </c>
      <c r="E2224" s="104">
        <v>311903.57</v>
      </c>
      <c r="F2224">
        <v>0</v>
      </c>
      <c r="G2224" s="104">
        <v>1867386.03</v>
      </c>
    </row>
    <row r="2225" spans="2:7" x14ac:dyDescent="0.25">
      <c r="B2225" t="s">
        <v>1587</v>
      </c>
      <c r="D2225" s="104">
        <v>1555482.46</v>
      </c>
      <c r="E2225" s="104">
        <v>311903.57</v>
      </c>
      <c r="F2225">
        <v>0</v>
      </c>
      <c r="G2225" s="104">
        <v>1867386.03</v>
      </c>
    </row>
    <row r="2227" spans="2:7" x14ac:dyDescent="0.25">
      <c r="B2227">
        <v>50213040</v>
      </c>
      <c r="C2227" t="s">
        <v>516</v>
      </c>
    </row>
    <row r="2228" spans="2:7" x14ac:dyDescent="0.25">
      <c r="C2228" t="s">
        <v>2073</v>
      </c>
      <c r="D2228" s="104">
        <v>85251.35</v>
      </c>
      <c r="E2228">
        <v>0</v>
      </c>
      <c r="F2228">
        <v>0</v>
      </c>
      <c r="G2228" s="104">
        <v>85251.35</v>
      </c>
    </row>
    <row r="2229" spans="2:7" x14ac:dyDescent="0.25">
      <c r="C2229" t="s">
        <v>2270</v>
      </c>
      <c r="D2229" s="104">
        <v>15308.03</v>
      </c>
      <c r="E2229">
        <v>0</v>
      </c>
      <c r="F2229">
        <v>0</v>
      </c>
      <c r="G2229" s="104">
        <v>15308.03</v>
      </c>
    </row>
    <row r="2230" spans="2:7" x14ac:dyDescent="0.25">
      <c r="B2230" t="s">
        <v>1587</v>
      </c>
      <c r="D2230" s="104">
        <v>100559.38</v>
      </c>
      <c r="E2230">
        <v>0</v>
      </c>
      <c r="F2230">
        <v>0</v>
      </c>
      <c r="G2230" s="104">
        <v>100559.38</v>
      </c>
    </row>
    <row r="2232" spans="2:7" x14ac:dyDescent="0.25">
      <c r="B2232">
        <v>50213050</v>
      </c>
      <c r="C2232" t="s">
        <v>2443</v>
      </c>
    </row>
    <row r="2233" spans="2:7" x14ac:dyDescent="0.25">
      <c r="C2233" t="s">
        <v>2416</v>
      </c>
      <c r="D2233">
        <v>0</v>
      </c>
      <c r="E2233" s="104">
        <v>12946.43</v>
      </c>
      <c r="F2233">
        <v>0</v>
      </c>
      <c r="G2233" s="104">
        <v>12946.43</v>
      </c>
    </row>
    <row r="2234" spans="2:7" x14ac:dyDescent="0.25">
      <c r="C2234" t="s">
        <v>2073</v>
      </c>
      <c r="D2234" s="104">
        <v>181071.95</v>
      </c>
      <c r="E2234" s="104">
        <v>59535.72</v>
      </c>
      <c r="F2234">
        <v>0</v>
      </c>
      <c r="G2234" s="104">
        <v>240607.67</v>
      </c>
    </row>
    <row r="2235" spans="2:7" x14ac:dyDescent="0.25">
      <c r="B2235" t="s">
        <v>1587</v>
      </c>
      <c r="D2235" s="104">
        <v>181071.95</v>
      </c>
      <c r="E2235" s="104">
        <v>72482.149999999994</v>
      </c>
      <c r="F2235">
        <v>0</v>
      </c>
      <c r="G2235" s="104">
        <v>253554.1</v>
      </c>
    </row>
    <row r="2237" spans="2:7" x14ac:dyDescent="0.25">
      <c r="B2237">
        <v>50213060</v>
      </c>
      <c r="C2237" t="s">
        <v>2444</v>
      </c>
      <c r="D2237" s="104">
        <v>328641.43</v>
      </c>
      <c r="E2237" s="104">
        <v>68684.649999999994</v>
      </c>
      <c r="F2237">
        <v>0</v>
      </c>
      <c r="G2237" s="104">
        <v>397326.08000000002</v>
      </c>
    </row>
    <row r="2238" spans="2:7" x14ac:dyDescent="0.25">
      <c r="B2238" t="s">
        <v>2445</v>
      </c>
      <c r="C2238" t="s">
        <v>527</v>
      </c>
    </row>
    <row r="2239" spans="2:7" x14ac:dyDescent="0.25">
      <c r="C2239" t="s">
        <v>2073</v>
      </c>
      <c r="D2239" s="104">
        <v>75757.11</v>
      </c>
      <c r="E2239" s="104">
        <v>8467.86</v>
      </c>
      <c r="F2239">
        <v>0</v>
      </c>
      <c r="G2239" s="104">
        <v>84224.97</v>
      </c>
    </row>
    <row r="2240" spans="2:7" x14ac:dyDescent="0.25">
      <c r="C2240" t="s">
        <v>2270</v>
      </c>
      <c r="D2240">
        <v>0</v>
      </c>
      <c r="E2240">
        <v>0</v>
      </c>
      <c r="F2240">
        <v>0</v>
      </c>
      <c r="G2240">
        <v>0</v>
      </c>
    </row>
    <row r="2241" spans="2:7" x14ac:dyDescent="0.25">
      <c r="C2241" t="s">
        <v>2414</v>
      </c>
      <c r="D2241">
        <v>0</v>
      </c>
      <c r="E2241">
        <v>0</v>
      </c>
      <c r="F2241">
        <v>0</v>
      </c>
      <c r="G2241">
        <v>0</v>
      </c>
    </row>
    <row r="2242" spans="2:7" x14ac:dyDescent="0.25">
      <c r="B2242" t="s">
        <v>1587</v>
      </c>
      <c r="D2242" s="104">
        <v>75757.11</v>
      </c>
      <c r="E2242" s="104">
        <v>8467.86</v>
      </c>
      <c r="F2242">
        <v>0</v>
      </c>
      <c r="G2242" s="104">
        <v>84224.97</v>
      </c>
    </row>
    <row r="2244" spans="2:7" x14ac:dyDescent="0.25">
      <c r="B2244" t="s">
        <v>2446</v>
      </c>
      <c r="C2244" t="s">
        <v>530</v>
      </c>
    </row>
    <row r="2245" spans="2:7" x14ac:dyDescent="0.25">
      <c r="C2245" t="s">
        <v>2073</v>
      </c>
      <c r="D2245" s="104">
        <v>252884.32</v>
      </c>
      <c r="E2245" s="104">
        <v>60216.79</v>
      </c>
      <c r="F2245">
        <v>0</v>
      </c>
      <c r="G2245" s="104">
        <v>313101.11</v>
      </c>
    </row>
    <row r="2246" spans="2:7" x14ac:dyDescent="0.25">
      <c r="C2246" t="s">
        <v>2269</v>
      </c>
      <c r="D2246">
        <v>0</v>
      </c>
      <c r="E2246">
        <v>0</v>
      </c>
      <c r="F2246">
        <v>0</v>
      </c>
      <c r="G2246">
        <v>0</v>
      </c>
    </row>
    <row r="2247" spans="2:7" x14ac:dyDescent="0.25">
      <c r="C2247" t="s">
        <v>2270</v>
      </c>
      <c r="D2247">
        <v>0</v>
      </c>
      <c r="E2247">
        <v>0</v>
      </c>
      <c r="F2247">
        <v>0</v>
      </c>
      <c r="G2247">
        <v>0</v>
      </c>
    </row>
    <row r="2248" spans="2:7" x14ac:dyDescent="0.25">
      <c r="C2248" t="s">
        <v>2414</v>
      </c>
      <c r="D2248">
        <v>0</v>
      </c>
      <c r="E2248">
        <v>0</v>
      </c>
      <c r="F2248">
        <v>0</v>
      </c>
      <c r="G2248">
        <v>0</v>
      </c>
    </row>
    <row r="2249" spans="2:7" x14ac:dyDescent="0.25">
      <c r="B2249" t="s">
        <v>1587</v>
      </c>
      <c r="D2249" s="104">
        <v>252884.32</v>
      </c>
      <c r="E2249" s="104">
        <v>60216.79</v>
      </c>
      <c r="F2249">
        <v>0</v>
      </c>
      <c r="G2249" s="104">
        <v>313101.11</v>
      </c>
    </row>
    <row r="2251" spans="2:7" x14ac:dyDescent="0.25">
      <c r="B2251" t="s">
        <v>2447</v>
      </c>
      <c r="C2251" t="s">
        <v>2448</v>
      </c>
    </row>
    <row r="2252" spans="2:7" x14ac:dyDescent="0.25">
      <c r="C2252" t="s">
        <v>2269</v>
      </c>
      <c r="D2252">
        <v>0</v>
      </c>
      <c r="E2252">
        <v>0</v>
      </c>
      <c r="F2252">
        <v>0</v>
      </c>
      <c r="G2252">
        <v>0</v>
      </c>
    </row>
    <row r="2253" spans="2:7" x14ac:dyDescent="0.25">
      <c r="C2253" t="s">
        <v>2073</v>
      </c>
      <c r="D2253">
        <v>0</v>
      </c>
      <c r="E2253">
        <v>0</v>
      </c>
      <c r="F2253">
        <v>0</v>
      </c>
      <c r="G2253">
        <v>0</v>
      </c>
    </row>
    <row r="2254" spans="2:7" x14ac:dyDescent="0.25">
      <c r="B2254">
        <v>50213070</v>
      </c>
      <c r="C2254" t="s">
        <v>520</v>
      </c>
    </row>
    <row r="2255" spans="2:7" x14ac:dyDescent="0.25">
      <c r="C2255" t="s">
        <v>2073</v>
      </c>
      <c r="D2255" s="104">
        <v>56217.2</v>
      </c>
      <c r="E2255">
        <v>0</v>
      </c>
      <c r="F2255">
        <v>0</v>
      </c>
      <c r="G2255" s="104">
        <v>56217.2</v>
      </c>
    </row>
    <row r="2256" spans="2:7" x14ac:dyDescent="0.25">
      <c r="B2256" t="s">
        <v>1587</v>
      </c>
      <c r="D2256" s="104">
        <v>56217.2</v>
      </c>
      <c r="E2256">
        <v>0</v>
      </c>
      <c r="F2256">
        <v>0</v>
      </c>
      <c r="G2256" s="104">
        <v>56217.2</v>
      </c>
    </row>
    <row r="2258" spans="2:7" x14ac:dyDescent="0.25">
      <c r="B2258">
        <v>50213990</v>
      </c>
      <c r="C2258" t="s">
        <v>524</v>
      </c>
    </row>
    <row r="2259" spans="2:7" x14ac:dyDescent="0.25">
      <c r="C2259" t="s">
        <v>2269</v>
      </c>
      <c r="D2259">
        <v>0</v>
      </c>
      <c r="E2259">
        <v>0</v>
      </c>
      <c r="F2259">
        <v>0</v>
      </c>
      <c r="G2259">
        <v>0</v>
      </c>
    </row>
    <row r="2260" spans="2:7" x14ac:dyDescent="0.25">
      <c r="C2260" t="s">
        <v>2073</v>
      </c>
      <c r="D2260" s="104">
        <v>770161.83</v>
      </c>
      <c r="E2260" s="104">
        <v>65367.55</v>
      </c>
      <c r="F2260">
        <v>0</v>
      </c>
      <c r="G2260" s="104">
        <v>835529.38</v>
      </c>
    </row>
    <row r="2261" spans="2:7" x14ac:dyDescent="0.25">
      <c r="B2261" t="s">
        <v>1587</v>
      </c>
      <c r="D2261" s="104">
        <v>770161.83</v>
      </c>
      <c r="E2261" s="104">
        <v>65367.55</v>
      </c>
      <c r="F2261">
        <v>0</v>
      </c>
      <c r="G2261" s="104">
        <v>835529.38</v>
      </c>
    </row>
    <row r="2263" spans="2:7" x14ac:dyDescent="0.25">
      <c r="B2263">
        <v>50215010</v>
      </c>
      <c r="C2263" t="s">
        <v>2449</v>
      </c>
      <c r="D2263" s="104">
        <v>50790201.600000001</v>
      </c>
      <c r="E2263" s="104">
        <v>4898402.68</v>
      </c>
      <c r="F2263">
        <v>0</v>
      </c>
      <c r="G2263" s="104">
        <v>55688604.280000001</v>
      </c>
    </row>
    <row r="2264" spans="2:7" x14ac:dyDescent="0.25">
      <c r="B2264" t="s">
        <v>2450</v>
      </c>
      <c r="C2264" t="s">
        <v>599</v>
      </c>
    </row>
    <row r="2265" spans="2:7" x14ac:dyDescent="0.25">
      <c r="C2265" t="s">
        <v>2073</v>
      </c>
      <c r="D2265" s="104">
        <v>29763599.82</v>
      </c>
      <c r="E2265" s="104">
        <v>2387489.1800000002</v>
      </c>
      <c r="F2265">
        <v>0</v>
      </c>
      <c r="G2265" s="104">
        <v>32151089</v>
      </c>
    </row>
    <row r="2266" spans="2:7" x14ac:dyDescent="0.25">
      <c r="B2266" t="s">
        <v>1587</v>
      </c>
      <c r="D2266" s="104">
        <v>29763599.82</v>
      </c>
      <c r="E2266" s="104">
        <v>2387489.1800000002</v>
      </c>
      <c r="F2266">
        <v>0</v>
      </c>
      <c r="G2266" s="104">
        <v>32151089</v>
      </c>
    </row>
    <row r="2268" spans="2:7" x14ac:dyDescent="0.25">
      <c r="B2268" t="s">
        <v>2451</v>
      </c>
      <c r="C2268" t="s">
        <v>602</v>
      </c>
    </row>
    <row r="2269" spans="2:7" x14ac:dyDescent="0.25">
      <c r="C2269" t="s">
        <v>2073</v>
      </c>
      <c r="D2269" s="104">
        <v>23814.77</v>
      </c>
      <c r="E2269">
        <v>0</v>
      </c>
      <c r="F2269">
        <v>0</v>
      </c>
      <c r="G2269" s="104">
        <v>23814.77</v>
      </c>
    </row>
    <row r="2270" spans="2:7" x14ac:dyDescent="0.25">
      <c r="B2270" t="s">
        <v>1587</v>
      </c>
      <c r="D2270" s="104">
        <v>23814.77</v>
      </c>
      <c r="E2270">
        <v>0</v>
      </c>
      <c r="F2270">
        <v>0</v>
      </c>
      <c r="G2270" s="104">
        <v>23814.77</v>
      </c>
    </row>
    <row r="2272" spans="2:7" x14ac:dyDescent="0.25">
      <c r="B2272" t="s">
        <v>2452</v>
      </c>
      <c r="C2272" t="s">
        <v>608</v>
      </c>
    </row>
    <row r="2273" spans="2:7" x14ac:dyDescent="0.25">
      <c r="C2273" t="s">
        <v>2269</v>
      </c>
      <c r="D2273">
        <v>0</v>
      </c>
      <c r="E2273">
        <v>0</v>
      </c>
      <c r="F2273">
        <v>0</v>
      </c>
      <c r="G2273">
        <v>0</v>
      </c>
    </row>
    <row r="2274" spans="2:7" x14ac:dyDescent="0.25">
      <c r="C2274" t="s">
        <v>2073</v>
      </c>
      <c r="D2274" s="104">
        <v>1455381.15</v>
      </c>
      <c r="E2274">
        <v>0</v>
      </c>
      <c r="F2274">
        <v>0</v>
      </c>
      <c r="G2274" s="104">
        <v>1455381.15</v>
      </c>
    </row>
    <row r="2275" spans="2:7" x14ac:dyDescent="0.25">
      <c r="C2275" t="s">
        <v>2413</v>
      </c>
      <c r="D2275">
        <v>600</v>
      </c>
      <c r="E2275">
        <v>0</v>
      </c>
      <c r="F2275">
        <v>0</v>
      </c>
      <c r="G2275">
        <v>600</v>
      </c>
    </row>
    <row r="2276" spans="2:7" x14ac:dyDescent="0.25">
      <c r="C2276" t="s">
        <v>2416</v>
      </c>
      <c r="D2276">
        <v>500</v>
      </c>
      <c r="E2276">
        <v>0</v>
      </c>
      <c r="F2276">
        <v>0</v>
      </c>
      <c r="G2276">
        <v>500</v>
      </c>
    </row>
    <row r="2277" spans="2:7" x14ac:dyDescent="0.25">
      <c r="C2277" t="s">
        <v>2774</v>
      </c>
      <c r="D2277" s="104">
        <v>2008</v>
      </c>
      <c r="E2277">
        <v>0</v>
      </c>
      <c r="F2277">
        <v>0</v>
      </c>
      <c r="G2277" s="104">
        <v>2008</v>
      </c>
    </row>
    <row r="2278" spans="2:7" x14ac:dyDescent="0.25">
      <c r="B2278" t="s">
        <v>1587</v>
      </c>
      <c r="D2278" s="104">
        <v>1458489.15</v>
      </c>
      <c r="E2278">
        <v>0</v>
      </c>
      <c r="F2278">
        <v>0</v>
      </c>
      <c r="G2278" s="104">
        <v>1458489.15</v>
      </c>
    </row>
    <row r="2280" spans="2:7" x14ac:dyDescent="0.25">
      <c r="B2280" t="s">
        <v>2453</v>
      </c>
      <c r="C2280" t="s">
        <v>610</v>
      </c>
    </row>
    <row r="2281" spans="2:7" x14ac:dyDescent="0.25">
      <c r="B2281" t="s">
        <v>2454</v>
      </c>
      <c r="C2281" t="s">
        <v>664</v>
      </c>
    </row>
    <row r="2282" spans="2:7" x14ac:dyDescent="0.25">
      <c r="C2282" t="s">
        <v>1724</v>
      </c>
      <c r="D2282">
        <v>120.63</v>
      </c>
      <c r="E2282">
        <v>67.64</v>
      </c>
      <c r="F2282">
        <v>0</v>
      </c>
      <c r="G2282">
        <v>188.27</v>
      </c>
    </row>
    <row r="2283" spans="2:7" x14ac:dyDescent="0.25">
      <c r="C2283" t="s">
        <v>1735</v>
      </c>
      <c r="D2283">
        <v>10.17</v>
      </c>
      <c r="E2283">
        <v>6.52</v>
      </c>
      <c r="F2283">
        <v>0</v>
      </c>
      <c r="G2283">
        <v>16.690000000000001</v>
      </c>
    </row>
    <row r="2284" spans="2:7" x14ac:dyDescent="0.25">
      <c r="C2284" t="s">
        <v>1736</v>
      </c>
      <c r="D2284">
        <v>73.64</v>
      </c>
      <c r="E2284">
        <v>96.73</v>
      </c>
      <c r="F2284">
        <v>0</v>
      </c>
      <c r="G2284">
        <v>170.37</v>
      </c>
    </row>
    <row r="2285" spans="2:7" x14ac:dyDescent="0.25">
      <c r="C2285" t="s">
        <v>1740</v>
      </c>
      <c r="D2285">
        <v>3.43</v>
      </c>
      <c r="E2285">
        <v>0.56000000000000005</v>
      </c>
      <c r="F2285">
        <v>0</v>
      </c>
      <c r="G2285">
        <v>3.99</v>
      </c>
    </row>
    <row r="2286" spans="2:7" x14ac:dyDescent="0.25">
      <c r="C2286" t="s">
        <v>1737</v>
      </c>
      <c r="D2286">
        <v>0</v>
      </c>
      <c r="E2286">
        <v>0</v>
      </c>
      <c r="F2286">
        <v>0</v>
      </c>
      <c r="G2286">
        <v>0</v>
      </c>
    </row>
    <row r="2287" spans="2:7" x14ac:dyDescent="0.25">
      <c r="C2287" t="s">
        <v>1738</v>
      </c>
      <c r="D2287">
        <v>18.53</v>
      </c>
      <c r="E2287">
        <v>0</v>
      </c>
      <c r="F2287">
        <v>0</v>
      </c>
      <c r="G2287">
        <v>18.53</v>
      </c>
    </row>
    <row r="2288" spans="2:7" x14ac:dyDescent="0.25">
      <c r="C2288" t="s">
        <v>1726</v>
      </c>
      <c r="D2288" s="104">
        <v>1041.19</v>
      </c>
      <c r="E2288">
        <v>192.78</v>
      </c>
      <c r="F2288">
        <v>0</v>
      </c>
      <c r="G2288" s="104">
        <v>1233.97</v>
      </c>
    </row>
    <row r="2289" spans="2:7" x14ac:dyDescent="0.25">
      <c r="C2289" t="s">
        <v>2760</v>
      </c>
      <c r="D2289">
        <v>0</v>
      </c>
      <c r="E2289">
        <v>9.3699999999999992</v>
      </c>
      <c r="F2289">
        <v>0</v>
      </c>
      <c r="G2289">
        <v>9.3699999999999992</v>
      </c>
    </row>
    <row r="2290" spans="2:7" x14ac:dyDescent="0.25">
      <c r="B2290" t="s">
        <v>1587</v>
      </c>
      <c r="D2290" s="104">
        <v>1267.5899999999999</v>
      </c>
      <c r="E2290">
        <v>373.6</v>
      </c>
      <c r="F2290">
        <v>0</v>
      </c>
      <c r="G2290" s="104">
        <v>1641.19</v>
      </c>
    </row>
    <row r="2292" spans="2:7" x14ac:dyDescent="0.25">
      <c r="B2292" t="s">
        <v>2455</v>
      </c>
      <c r="C2292" t="s">
        <v>667</v>
      </c>
    </row>
    <row r="2293" spans="2:7" x14ac:dyDescent="0.25">
      <c r="C2293" t="s">
        <v>2004</v>
      </c>
      <c r="D2293" s="104">
        <v>13975175.619999999</v>
      </c>
      <c r="E2293" s="104">
        <v>1810251.84</v>
      </c>
      <c r="F2293">
        <v>0</v>
      </c>
      <c r="G2293" s="104">
        <v>15785427.460000001</v>
      </c>
    </row>
    <row r="2294" spans="2:7" x14ac:dyDescent="0.25">
      <c r="C2294" t="s">
        <v>1745</v>
      </c>
      <c r="D2294">
        <v>0</v>
      </c>
      <c r="E2294">
        <v>0</v>
      </c>
      <c r="F2294">
        <v>0</v>
      </c>
      <c r="G2294">
        <v>0</v>
      </c>
    </row>
    <row r="2295" spans="2:7" x14ac:dyDescent="0.25">
      <c r="C2295" t="s">
        <v>1742</v>
      </c>
      <c r="D2295">
        <v>0</v>
      </c>
      <c r="E2295">
        <v>0</v>
      </c>
      <c r="F2295">
        <v>0</v>
      </c>
      <c r="G2295">
        <v>0</v>
      </c>
    </row>
    <row r="2296" spans="2:7" x14ac:dyDescent="0.25">
      <c r="C2296" t="s">
        <v>2180</v>
      </c>
      <c r="D2296">
        <v>0</v>
      </c>
      <c r="E2296">
        <v>0</v>
      </c>
      <c r="F2296">
        <v>0</v>
      </c>
      <c r="G2296">
        <v>0</v>
      </c>
    </row>
    <row r="2297" spans="2:7" x14ac:dyDescent="0.25">
      <c r="C2297" t="s">
        <v>1796</v>
      </c>
      <c r="D2297" s="104">
        <v>763378.93</v>
      </c>
      <c r="E2297" s="104">
        <v>94244.31</v>
      </c>
      <c r="F2297">
        <v>0</v>
      </c>
      <c r="G2297" s="104">
        <v>857623.24</v>
      </c>
    </row>
    <row r="2298" spans="2:7" x14ac:dyDescent="0.25">
      <c r="C2298" t="s">
        <v>1797</v>
      </c>
      <c r="D2298" s="104">
        <v>913429.55</v>
      </c>
      <c r="E2298" s="104">
        <v>112769.08</v>
      </c>
      <c r="F2298">
        <v>0</v>
      </c>
      <c r="G2298" s="104">
        <v>1026198.63</v>
      </c>
    </row>
    <row r="2299" spans="2:7" x14ac:dyDescent="0.25">
      <c r="C2299" t="s">
        <v>1798</v>
      </c>
      <c r="D2299" s="104">
        <v>2819.28</v>
      </c>
      <c r="E2299">
        <v>348.06</v>
      </c>
      <c r="F2299">
        <v>0</v>
      </c>
      <c r="G2299" s="104">
        <v>3167.34</v>
      </c>
    </row>
    <row r="2300" spans="2:7" x14ac:dyDescent="0.25">
      <c r="C2300" t="s">
        <v>2748</v>
      </c>
      <c r="D2300" s="104">
        <v>22929.51</v>
      </c>
      <c r="E2300" s="104">
        <v>4501.49</v>
      </c>
      <c r="F2300">
        <v>0</v>
      </c>
      <c r="G2300" s="104">
        <v>27431</v>
      </c>
    </row>
    <row r="2301" spans="2:7" x14ac:dyDescent="0.25">
      <c r="C2301" t="s">
        <v>1741</v>
      </c>
      <c r="D2301">
        <v>0</v>
      </c>
      <c r="E2301">
        <v>0</v>
      </c>
      <c r="F2301">
        <v>0</v>
      </c>
      <c r="G2301">
        <v>0</v>
      </c>
    </row>
    <row r="2302" spans="2:7" x14ac:dyDescent="0.25">
      <c r="C2302" t="s">
        <v>1724</v>
      </c>
      <c r="D2302">
        <v>0</v>
      </c>
      <c r="E2302">
        <v>0</v>
      </c>
      <c r="F2302">
        <v>0</v>
      </c>
      <c r="G2302">
        <v>0</v>
      </c>
    </row>
    <row r="2303" spans="2:7" x14ac:dyDescent="0.25">
      <c r="C2303" t="s">
        <v>1738</v>
      </c>
      <c r="D2303" s="104">
        <v>3865297.38</v>
      </c>
      <c r="E2303" s="104">
        <v>488425.12</v>
      </c>
      <c r="F2303">
        <v>0</v>
      </c>
      <c r="G2303" s="104">
        <v>4353722.5</v>
      </c>
    </row>
    <row r="2304" spans="2:7" x14ac:dyDescent="0.25">
      <c r="B2304" t="s">
        <v>1587</v>
      </c>
      <c r="D2304" s="104">
        <v>19543030.27</v>
      </c>
      <c r="E2304" s="104">
        <v>2510539.9</v>
      </c>
      <c r="F2304">
        <v>0</v>
      </c>
      <c r="G2304" s="104">
        <v>22053570.170000002</v>
      </c>
    </row>
    <row r="2306" spans="2:7" x14ac:dyDescent="0.25">
      <c r="B2306">
        <v>50215020</v>
      </c>
      <c r="C2306" t="s">
        <v>581</v>
      </c>
    </row>
    <row r="2307" spans="2:7" x14ac:dyDescent="0.25">
      <c r="C2307" t="s">
        <v>2073</v>
      </c>
      <c r="D2307" s="104">
        <v>334737.5</v>
      </c>
      <c r="E2307">
        <v>0</v>
      </c>
      <c r="F2307">
        <v>0</v>
      </c>
      <c r="G2307" s="104">
        <v>334737.5</v>
      </c>
    </row>
    <row r="2308" spans="2:7" x14ac:dyDescent="0.25">
      <c r="B2308" t="s">
        <v>1587</v>
      </c>
      <c r="D2308" s="104">
        <v>334737.5</v>
      </c>
      <c r="E2308">
        <v>0</v>
      </c>
      <c r="F2308">
        <v>0</v>
      </c>
      <c r="G2308" s="104">
        <v>334737.5</v>
      </c>
    </row>
    <row r="2310" spans="2:7" x14ac:dyDescent="0.25">
      <c r="B2310">
        <v>50215030</v>
      </c>
      <c r="C2310" t="s">
        <v>1017</v>
      </c>
      <c r="D2310" s="104">
        <v>1189052.83</v>
      </c>
      <c r="E2310">
        <v>0</v>
      </c>
      <c r="F2310">
        <v>0</v>
      </c>
      <c r="G2310" s="104">
        <v>1189052.83</v>
      </c>
    </row>
    <row r="2311" spans="2:7" x14ac:dyDescent="0.25">
      <c r="B2311" t="s">
        <v>2456</v>
      </c>
      <c r="C2311" t="s">
        <v>564</v>
      </c>
    </row>
    <row r="2312" spans="2:7" x14ac:dyDescent="0.25">
      <c r="C2312" t="s">
        <v>2073</v>
      </c>
      <c r="D2312" s="104">
        <v>1189052.83</v>
      </c>
      <c r="E2312">
        <v>0</v>
      </c>
      <c r="F2312">
        <v>0</v>
      </c>
      <c r="G2312" s="104">
        <v>1189052.83</v>
      </c>
    </row>
    <row r="2313" spans="2:7" x14ac:dyDescent="0.25">
      <c r="B2313" t="s">
        <v>1587</v>
      </c>
      <c r="D2313" s="104">
        <v>1189052.83</v>
      </c>
      <c r="E2313">
        <v>0</v>
      </c>
      <c r="F2313">
        <v>0</v>
      </c>
      <c r="G2313" s="104">
        <v>1189052.83</v>
      </c>
    </row>
    <row r="2315" spans="2:7" x14ac:dyDescent="0.25">
      <c r="B2315" t="s">
        <v>2457</v>
      </c>
      <c r="C2315" t="s">
        <v>567</v>
      </c>
    </row>
    <row r="2316" spans="2:7" x14ac:dyDescent="0.25">
      <c r="C2316" t="s">
        <v>2269</v>
      </c>
      <c r="D2316">
        <v>0</v>
      </c>
      <c r="E2316">
        <v>0</v>
      </c>
      <c r="F2316">
        <v>0</v>
      </c>
      <c r="G2316">
        <v>0</v>
      </c>
    </row>
    <row r="2317" spans="2:7" x14ac:dyDescent="0.25">
      <c r="C2317" t="s">
        <v>2270</v>
      </c>
      <c r="D2317">
        <v>0</v>
      </c>
      <c r="E2317">
        <v>0</v>
      </c>
      <c r="F2317">
        <v>0</v>
      </c>
      <c r="G2317">
        <v>0</v>
      </c>
    </row>
    <row r="2318" spans="2:7" x14ac:dyDescent="0.25">
      <c r="B2318">
        <v>50215040</v>
      </c>
      <c r="C2318" t="s">
        <v>663</v>
      </c>
    </row>
    <row r="2319" spans="2:7" x14ac:dyDescent="0.25">
      <c r="C2319" t="s">
        <v>1955</v>
      </c>
      <c r="D2319" s="104">
        <v>33549956.02</v>
      </c>
      <c r="E2319">
        <v>0</v>
      </c>
      <c r="F2319">
        <v>0</v>
      </c>
      <c r="G2319" s="104">
        <v>33549956.02</v>
      </c>
    </row>
    <row r="2320" spans="2:7" x14ac:dyDescent="0.25">
      <c r="C2320" t="s">
        <v>2073</v>
      </c>
      <c r="D2320">
        <v>0</v>
      </c>
      <c r="E2320">
        <v>0</v>
      </c>
      <c r="F2320">
        <v>0</v>
      </c>
      <c r="G2320">
        <v>0</v>
      </c>
    </row>
    <row r="2321" spans="2:7" x14ac:dyDescent="0.25">
      <c r="C2321" t="s">
        <v>2258</v>
      </c>
      <c r="D2321">
        <v>0</v>
      </c>
      <c r="E2321">
        <v>0</v>
      </c>
      <c r="F2321">
        <v>0</v>
      </c>
      <c r="G2321">
        <v>0</v>
      </c>
    </row>
    <row r="2322" spans="2:7" x14ac:dyDescent="0.25">
      <c r="B2322" t="s">
        <v>1587</v>
      </c>
      <c r="D2322" s="104">
        <v>33549956.02</v>
      </c>
      <c r="E2322">
        <v>0</v>
      </c>
      <c r="F2322">
        <v>0</v>
      </c>
      <c r="G2322" s="104">
        <v>33549956.02</v>
      </c>
    </row>
    <row r="2324" spans="2:7" x14ac:dyDescent="0.25">
      <c r="B2324">
        <v>50299010</v>
      </c>
      <c r="C2324" t="s">
        <v>572</v>
      </c>
    </row>
    <row r="2325" spans="2:7" x14ac:dyDescent="0.25">
      <c r="C2325" t="s">
        <v>2418</v>
      </c>
      <c r="D2325" s="104">
        <v>12744.6</v>
      </c>
      <c r="E2325" s="104">
        <v>7142.86</v>
      </c>
      <c r="F2325">
        <v>0</v>
      </c>
      <c r="G2325" s="104">
        <v>19887.46</v>
      </c>
    </row>
    <row r="2326" spans="2:7" x14ac:dyDescent="0.25">
      <c r="B2326" t="s">
        <v>1587</v>
      </c>
      <c r="D2326" s="104">
        <v>12744.6</v>
      </c>
      <c r="E2326" s="104">
        <v>7142.86</v>
      </c>
      <c r="F2326">
        <v>0</v>
      </c>
      <c r="G2326" s="104">
        <v>19887.46</v>
      </c>
    </row>
    <row r="2328" spans="2:7" x14ac:dyDescent="0.25">
      <c r="B2328">
        <v>50299020</v>
      </c>
      <c r="C2328" t="s">
        <v>573</v>
      </c>
    </row>
    <row r="2329" spans="2:7" x14ac:dyDescent="0.25">
      <c r="C2329" t="s">
        <v>2269</v>
      </c>
      <c r="D2329">
        <v>0</v>
      </c>
      <c r="E2329">
        <v>0</v>
      </c>
      <c r="F2329">
        <v>0</v>
      </c>
      <c r="G2329">
        <v>0</v>
      </c>
    </row>
    <row r="2330" spans="2:7" x14ac:dyDescent="0.25">
      <c r="B2330" t="s">
        <v>1587</v>
      </c>
      <c r="D2330">
        <v>0</v>
      </c>
      <c r="E2330">
        <v>0</v>
      </c>
      <c r="F2330">
        <v>0</v>
      </c>
      <c r="G2330">
        <v>0</v>
      </c>
    </row>
    <row r="2332" spans="2:7" x14ac:dyDescent="0.25">
      <c r="B2332">
        <v>50299030</v>
      </c>
      <c r="C2332" t="s">
        <v>2458</v>
      </c>
    </row>
    <row r="2333" spans="2:7" x14ac:dyDescent="0.25">
      <c r="C2333" t="s">
        <v>2270</v>
      </c>
      <c r="D2333">
        <v>0</v>
      </c>
      <c r="E2333">
        <v>0</v>
      </c>
      <c r="F2333">
        <v>0</v>
      </c>
      <c r="G2333">
        <v>0</v>
      </c>
    </row>
    <row r="2334" spans="2:7" x14ac:dyDescent="0.25">
      <c r="B2334" t="s">
        <v>1587</v>
      </c>
      <c r="D2334">
        <v>0</v>
      </c>
      <c r="E2334">
        <v>0</v>
      </c>
      <c r="F2334">
        <v>0</v>
      </c>
      <c r="G2334">
        <v>0</v>
      </c>
    </row>
    <row r="2336" spans="2:7" x14ac:dyDescent="0.25">
      <c r="B2336">
        <v>50299040</v>
      </c>
      <c r="C2336" t="s">
        <v>596</v>
      </c>
    </row>
    <row r="2337" spans="2:7" x14ac:dyDescent="0.25">
      <c r="C2337" t="s">
        <v>2414</v>
      </c>
      <c r="D2337">
        <v>75.709999999999994</v>
      </c>
      <c r="E2337">
        <v>0</v>
      </c>
      <c r="F2337">
        <v>0</v>
      </c>
      <c r="G2337">
        <v>75.709999999999994</v>
      </c>
    </row>
    <row r="2338" spans="2:7" x14ac:dyDescent="0.25">
      <c r="C2338" t="s">
        <v>2269</v>
      </c>
      <c r="D2338">
        <v>785.7</v>
      </c>
      <c r="E2338">
        <v>0</v>
      </c>
      <c r="F2338">
        <v>0</v>
      </c>
      <c r="G2338">
        <v>785.7</v>
      </c>
    </row>
    <row r="2339" spans="2:7" x14ac:dyDescent="0.25">
      <c r="C2339" t="s">
        <v>2270</v>
      </c>
      <c r="D2339" s="104">
        <v>1755.61</v>
      </c>
      <c r="E2339">
        <v>0</v>
      </c>
      <c r="F2339">
        <v>0</v>
      </c>
      <c r="G2339" s="104">
        <v>1755.61</v>
      </c>
    </row>
    <row r="2340" spans="2:7" x14ac:dyDescent="0.25">
      <c r="C2340" t="s">
        <v>2413</v>
      </c>
      <c r="D2340">
        <v>26.79</v>
      </c>
      <c r="E2340">
        <v>0</v>
      </c>
      <c r="F2340">
        <v>0</v>
      </c>
      <c r="G2340">
        <v>26.79</v>
      </c>
    </row>
    <row r="2341" spans="2:7" x14ac:dyDescent="0.25">
      <c r="C2341" t="s">
        <v>2416</v>
      </c>
      <c r="D2341" s="104">
        <v>1998.81</v>
      </c>
      <c r="E2341">
        <v>384.64</v>
      </c>
      <c r="F2341">
        <v>0</v>
      </c>
      <c r="G2341" s="104">
        <v>2383.4499999999998</v>
      </c>
    </row>
    <row r="2342" spans="2:7" x14ac:dyDescent="0.25">
      <c r="C2342" t="s">
        <v>2073</v>
      </c>
      <c r="D2342">
        <v>30</v>
      </c>
      <c r="E2342">
        <v>0</v>
      </c>
      <c r="F2342">
        <v>0</v>
      </c>
      <c r="G2342">
        <v>30</v>
      </c>
    </row>
    <row r="2343" spans="2:7" x14ac:dyDescent="0.25">
      <c r="C2343" t="s">
        <v>2418</v>
      </c>
      <c r="D2343">
        <v>233.03</v>
      </c>
      <c r="E2343">
        <v>162.5</v>
      </c>
      <c r="F2343">
        <v>0</v>
      </c>
      <c r="G2343">
        <v>395.53</v>
      </c>
    </row>
    <row r="2344" spans="2:7" x14ac:dyDescent="0.25">
      <c r="C2344" t="s">
        <v>2422</v>
      </c>
      <c r="D2344" s="104">
        <v>2439.2399999999998</v>
      </c>
      <c r="E2344">
        <v>334.83</v>
      </c>
      <c r="F2344">
        <v>0</v>
      </c>
      <c r="G2344" s="104">
        <v>2774.07</v>
      </c>
    </row>
    <row r="2345" spans="2:7" x14ac:dyDescent="0.25">
      <c r="C2345" t="s">
        <v>2773</v>
      </c>
      <c r="D2345">
        <v>596.41</v>
      </c>
      <c r="E2345">
        <v>0</v>
      </c>
      <c r="F2345">
        <v>0</v>
      </c>
      <c r="G2345">
        <v>596.41</v>
      </c>
    </row>
    <row r="2346" spans="2:7" x14ac:dyDescent="0.25">
      <c r="C2346" t="s">
        <v>2774</v>
      </c>
      <c r="D2346" s="104">
        <v>1241.51</v>
      </c>
      <c r="E2346">
        <v>71</v>
      </c>
      <c r="F2346">
        <v>0</v>
      </c>
      <c r="G2346" s="104">
        <v>1312.51</v>
      </c>
    </row>
    <row r="2347" spans="2:7" x14ac:dyDescent="0.25">
      <c r="B2347" t="s">
        <v>1587</v>
      </c>
      <c r="D2347" s="104">
        <v>9182.81</v>
      </c>
      <c r="E2347">
        <v>952.97</v>
      </c>
      <c r="F2347">
        <v>0</v>
      </c>
      <c r="G2347" s="104">
        <v>10135.780000000001</v>
      </c>
    </row>
    <row r="2349" spans="2:7" x14ac:dyDescent="0.25">
      <c r="B2349">
        <v>50299050</v>
      </c>
      <c r="C2349" t="s">
        <v>2459</v>
      </c>
      <c r="D2349" s="104">
        <v>1098061.96</v>
      </c>
      <c r="E2349" s="104">
        <v>167637.24</v>
      </c>
      <c r="F2349">
        <v>0</v>
      </c>
      <c r="G2349" s="104">
        <v>1265699.2</v>
      </c>
    </row>
    <row r="2350" spans="2:7" x14ac:dyDescent="0.25">
      <c r="B2350" t="s">
        <v>2460</v>
      </c>
      <c r="C2350" t="s">
        <v>2461</v>
      </c>
    </row>
    <row r="2351" spans="2:7" x14ac:dyDescent="0.25">
      <c r="C2351" t="s">
        <v>2073</v>
      </c>
      <c r="D2351" s="104">
        <v>151411.03</v>
      </c>
      <c r="E2351" s="104">
        <v>38719.4</v>
      </c>
      <c r="F2351">
        <v>0</v>
      </c>
      <c r="G2351" s="104">
        <v>190130.43</v>
      </c>
    </row>
    <row r="2352" spans="2:7" x14ac:dyDescent="0.25">
      <c r="B2352" t="s">
        <v>1587</v>
      </c>
      <c r="D2352" s="104">
        <v>151411.03</v>
      </c>
      <c r="E2352" s="104">
        <v>38719.4</v>
      </c>
      <c r="F2352">
        <v>0</v>
      </c>
      <c r="G2352" s="104">
        <v>190130.43</v>
      </c>
    </row>
    <row r="2354" spans="2:7" x14ac:dyDescent="0.25">
      <c r="B2354" t="s">
        <v>2462</v>
      </c>
      <c r="C2354" t="s">
        <v>502</v>
      </c>
    </row>
    <row r="2355" spans="2:7" x14ac:dyDescent="0.25">
      <c r="C2355" t="s">
        <v>2269</v>
      </c>
      <c r="D2355" s="104">
        <v>5523.62</v>
      </c>
      <c r="E2355">
        <v>416.42</v>
      </c>
      <c r="F2355">
        <v>0</v>
      </c>
      <c r="G2355" s="104">
        <v>5940.04</v>
      </c>
    </row>
    <row r="2356" spans="2:7" x14ac:dyDescent="0.25">
      <c r="C2356" t="s">
        <v>2270</v>
      </c>
      <c r="D2356" s="104">
        <v>3013.95</v>
      </c>
      <c r="E2356">
        <v>909.5</v>
      </c>
      <c r="F2356">
        <v>0</v>
      </c>
      <c r="G2356" s="104">
        <v>3923.45</v>
      </c>
    </row>
    <row r="2357" spans="2:7" x14ac:dyDescent="0.25">
      <c r="C2357" t="s">
        <v>2414</v>
      </c>
      <c r="D2357" s="104">
        <v>2165.98</v>
      </c>
      <c r="E2357">
        <v>0</v>
      </c>
      <c r="F2357">
        <v>0</v>
      </c>
      <c r="G2357" s="104">
        <v>2165.98</v>
      </c>
    </row>
    <row r="2358" spans="2:7" x14ac:dyDescent="0.25">
      <c r="C2358" t="s">
        <v>2073</v>
      </c>
      <c r="D2358" s="104">
        <v>862296</v>
      </c>
      <c r="E2358" s="104">
        <v>116000</v>
      </c>
      <c r="F2358">
        <v>0</v>
      </c>
      <c r="G2358" s="104">
        <v>978296</v>
      </c>
    </row>
    <row r="2359" spans="2:7" x14ac:dyDescent="0.25">
      <c r="C2359" t="s">
        <v>2413</v>
      </c>
      <c r="D2359" s="104">
        <v>3134.44</v>
      </c>
      <c r="E2359">
        <v>452.77</v>
      </c>
      <c r="F2359">
        <v>0</v>
      </c>
      <c r="G2359" s="104">
        <v>3587.21</v>
      </c>
    </row>
    <row r="2360" spans="2:7" x14ac:dyDescent="0.25">
      <c r="C2360" t="s">
        <v>2416</v>
      </c>
      <c r="D2360" s="104">
        <v>11281.01</v>
      </c>
      <c r="E2360" s="104">
        <v>1581.94</v>
      </c>
      <c r="F2360">
        <v>0</v>
      </c>
      <c r="G2360" s="104">
        <v>12862.95</v>
      </c>
    </row>
    <row r="2361" spans="2:7" x14ac:dyDescent="0.25">
      <c r="C2361" t="s">
        <v>2773</v>
      </c>
      <c r="D2361" s="104">
        <v>24283.86</v>
      </c>
      <c r="E2361" s="104">
        <v>4722.8999999999996</v>
      </c>
      <c r="F2361">
        <v>0</v>
      </c>
      <c r="G2361" s="104">
        <v>29006.76</v>
      </c>
    </row>
    <row r="2362" spans="2:7" x14ac:dyDescent="0.25">
      <c r="C2362" t="s">
        <v>2774</v>
      </c>
      <c r="D2362" s="104">
        <v>34952.07</v>
      </c>
      <c r="E2362" s="104">
        <v>4834.3100000000004</v>
      </c>
      <c r="F2362">
        <v>0</v>
      </c>
      <c r="G2362" s="104">
        <v>39786.379999999997</v>
      </c>
    </row>
    <row r="2363" spans="2:7" x14ac:dyDescent="0.25">
      <c r="B2363" t="s">
        <v>1587</v>
      </c>
      <c r="D2363" s="104">
        <v>946650.93</v>
      </c>
      <c r="E2363" s="104">
        <v>128917.84</v>
      </c>
      <c r="F2363">
        <v>0</v>
      </c>
      <c r="G2363" s="104">
        <v>1075568.77</v>
      </c>
    </row>
    <row r="2365" spans="2:7" x14ac:dyDescent="0.25">
      <c r="B2365">
        <v>50299060</v>
      </c>
      <c r="C2365" t="s">
        <v>553</v>
      </c>
    </row>
    <row r="2366" spans="2:7" x14ac:dyDescent="0.25">
      <c r="C2366" t="s">
        <v>2073</v>
      </c>
      <c r="D2366" s="104">
        <v>254577.76</v>
      </c>
      <c r="E2366" s="104">
        <v>194406.67</v>
      </c>
      <c r="F2366">
        <v>0</v>
      </c>
      <c r="G2366" s="104">
        <v>448984.43</v>
      </c>
    </row>
    <row r="2367" spans="2:7" x14ac:dyDescent="0.25">
      <c r="C2367" t="s">
        <v>2270</v>
      </c>
      <c r="D2367" s="104">
        <v>4332.42</v>
      </c>
      <c r="E2367">
        <v>0</v>
      </c>
      <c r="F2367">
        <v>0</v>
      </c>
      <c r="G2367" s="104">
        <v>4332.42</v>
      </c>
    </row>
    <row r="2368" spans="2:7" x14ac:dyDescent="0.25">
      <c r="C2368" t="s">
        <v>2413</v>
      </c>
      <c r="D2368" s="104">
        <v>8459.42</v>
      </c>
      <c r="E2368">
        <v>0</v>
      </c>
      <c r="F2368">
        <v>0</v>
      </c>
      <c r="G2368" s="104">
        <v>8459.42</v>
      </c>
    </row>
    <row r="2369" spans="2:7" x14ac:dyDescent="0.25">
      <c r="C2369" t="s">
        <v>2416</v>
      </c>
      <c r="D2369" s="104">
        <v>4400</v>
      </c>
      <c r="E2369">
        <v>0</v>
      </c>
      <c r="F2369">
        <v>0</v>
      </c>
      <c r="G2369" s="104">
        <v>4400</v>
      </c>
    </row>
    <row r="2370" spans="2:7" x14ac:dyDescent="0.25">
      <c r="B2370" t="s">
        <v>1587</v>
      </c>
      <c r="D2370" s="104">
        <v>271769.59999999998</v>
      </c>
      <c r="E2370" s="104">
        <v>194406.67</v>
      </c>
      <c r="F2370">
        <v>0</v>
      </c>
      <c r="G2370" s="104">
        <v>466176.27</v>
      </c>
    </row>
    <row r="2372" spans="2:7" x14ac:dyDescent="0.25">
      <c r="B2372">
        <v>50299070</v>
      </c>
      <c r="C2372" t="s">
        <v>577</v>
      </c>
    </row>
    <row r="2373" spans="2:7" x14ac:dyDescent="0.25">
      <c r="C2373" t="s">
        <v>2073</v>
      </c>
      <c r="D2373" s="104">
        <v>24480</v>
      </c>
      <c r="E2373" s="104">
        <v>3400</v>
      </c>
      <c r="F2373">
        <v>0</v>
      </c>
      <c r="G2373" s="104">
        <v>27880</v>
      </c>
    </row>
    <row r="2374" spans="2:7" x14ac:dyDescent="0.25">
      <c r="C2374" t="s">
        <v>2415</v>
      </c>
      <c r="D2374">
        <v>0</v>
      </c>
      <c r="E2374" s="104">
        <v>19862.38</v>
      </c>
      <c r="F2374">
        <v>0</v>
      </c>
      <c r="G2374" s="104">
        <v>19862.38</v>
      </c>
    </row>
    <row r="2375" spans="2:7" x14ac:dyDescent="0.25">
      <c r="C2375" t="s">
        <v>2416</v>
      </c>
      <c r="D2375" s="104">
        <v>8899.32</v>
      </c>
      <c r="E2375">
        <v>0</v>
      </c>
      <c r="F2375">
        <v>0</v>
      </c>
      <c r="G2375" s="104">
        <v>8899.32</v>
      </c>
    </row>
    <row r="2376" spans="2:7" x14ac:dyDescent="0.25">
      <c r="C2376" t="s">
        <v>2773</v>
      </c>
      <c r="D2376" s="104">
        <v>5570.99</v>
      </c>
      <c r="E2376">
        <v>0</v>
      </c>
      <c r="F2376">
        <v>0</v>
      </c>
      <c r="G2376" s="104">
        <v>5570.99</v>
      </c>
    </row>
    <row r="2377" spans="2:7" x14ac:dyDescent="0.25">
      <c r="C2377" t="s">
        <v>2774</v>
      </c>
      <c r="D2377" s="104">
        <v>14491.41</v>
      </c>
      <c r="E2377">
        <v>0</v>
      </c>
      <c r="F2377">
        <v>0</v>
      </c>
      <c r="G2377" s="104">
        <v>14491.41</v>
      </c>
    </row>
    <row r="2378" spans="2:7" x14ac:dyDescent="0.25">
      <c r="B2378" t="s">
        <v>1587</v>
      </c>
      <c r="D2378" s="104">
        <v>53441.72</v>
      </c>
      <c r="E2378" s="104">
        <v>23262.38</v>
      </c>
      <c r="F2378">
        <v>0</v>
      </c>
      <c r="G2378" s="104">
        <v>76704.100000000006</v>
      </c>
    </row>
    <row r="2380" spans="2:7" x14ac:dyDescent="0.25">
      <c r="B2380">
        <v>50299090</v>
      </c>
      <c r="C2380" t="s">
        <v>653</v>
      </c>
    </row>
    <row r="2381" spans="2:7" x14ac:dyDescent="0.25">
      <c r="B2381">
        <v>50299140</v>
      </c>
      <c r="C2381" t="s">
        <v>609</v>
      </c>
    </row>
    <row r="2382" spans="2:7" x14ac:dyDescent="0.25">
      <c r="C2382" t="s">
        <v>2416</v>
      </c>
      <c r="D2382">
        <v>420</v>
      </c>
      <c r="E2382">
        <v>0</v>
      </c>
      <c r="F2382">
        <v>0</v>
      </c>
      <c r="G2382">
        <v>420</v>
      </c>
    </row>
    <row r="2383" spans="2:7" x14ac:dyDescent="0.25">
      <c r="C2383" t="s">
        <v>2073</v>
      </c>
      <c r="D2383" s="104">
        <v>249629</v>
      </c>
      <c r="E2383">
        <v>0</v>
      </c>
      <c r="F2383">
        <v>0</v>
      </c>
      <c r="G2383" s="104">
        <v>249629</v>
      </c>
    </row>
    <row r="2384" spans="2:7" x14ac:dyDescent="0.25">
      <c r="B2384" t="s">
        <v>1587</v>
      </c>
      <c r="D2384" s="104">
        <v>250049</v>
      </c>
      <c r="E2384">
        <v>0</v>
      </c>
      <c r="F2384">
        <v>0</v>
      </c>
      <c r="G2384" s="104">
        <v>250049</v>
      </c>
    </row>
    <row r="2386" spans="2:7" x14ac:dyDescent="0.25">
      <c r="B2386">
        <v>50299180</v>
      </c>
      <c r="C2386" t="s">
        <v>650</v>
      </c>
    </row>
    <row r="2387" spans="2:7" x14ac:dyDescent="0.25">
      <c r="C2387" t="s">
        <v>2270</v>
      </c>
      <c r="D2387">
        <v>0</v>
      </c>
      <c r="E2387">
        <v>0</v>
      </c>
      <c r="F2387">
        <v>0</v>
      </c>
      <c r="G2387">
        <v>0</v>
      </c>
    </row>
    <row r="2388" spans="2:7" x14ac:dyDescent="0.25">
      <c r="C2388" t="s">
        <v>2073</v>
      </c>
      <c r="D2388" s="104">
        <v>265021.96000000002</v>
      </c>
      <c r="E2388">
        <v>0</v>
      </c>
      <c r="F2388">
        <v>0</v>
      </c>
      <c r="G2388" s="104">
        <v>265021.96000000002</v>
      </c>
    </row>
    <row r="2389" spans="2:7" x14ac:dyDescent="0.25">
      <c r="C2389" t="s">
        <v>2145</v>
      </c>
      <c r="D2389">
        <v>0</v>
      </c>
      <c r="E2389">
        <v>0</v>
      </c>
      <c r="F2389">
        <v>0</v>
      </c>
      <c r="G2389">
        <v>0</v>
      </c>
    </row>
    <row r="2390" spans="2:7" x14ac:dyDescent="0.25">
      <c r="B2390" t="s">
        <v>1587</v>
      </c>
      <c r="D2390" s="104">
        <v>265021.96000000002</v>
      </c>
      <c r="E2390">
        <v>0</v>
      </c>
      <c r="F2390">
        <v>0</v>
      </c>
      <c r="G2390" s="104">
        <v>265021.96000000002</v>
      </c>
    </row>
    <row r="2392" spans="2:7" x14ac:dyDescent="0.25">
      <c r="B2392">
        <v>50299990</v>
      </c>
      <c r="C2392" t="s">
        <v>2463</v>
      </c>
    </row>
    <row r="2393" spans="2:7" x14ac:dyDescent="0.25">
      <c r="B2393">
        <v>50301020</v>
      </c>
      <c r="C2393" t="s">
        <v>393</v>
      </c>
    </row>
    <row r="2394" spans="2:7" x14ac:dyDescent="0.25">
      <c r="C2394" t="s">
        <v>2256</v>
      </c>
      <c r="D2394">
        <v>0</v>
      </c>
      <c r="E2394">
        <v>0</v>
      </c>
      <c r="F2394">
        <v>0</v>
      </c>
      <c r="G2394">
        <v>0</v>
      </c>
    </row>
    <row r="2395" spans="2:7" x14ac:dyDescent="0.25">
      <c r="B2395" t="s">
        <v>1587</v>
      </c>
      <c r="D2395">
        <v>0</v>
      </c>
      <c r="E2395">
        <v>0</v>
      </c>
      <c r="F2395">
        <v>0</v>
      </c>
      <c r="G2395">
        <v>0</v>
      </c>
    </row>
    <row r="2397" spans="2:7" x14ac:dyDescent="0.25">
      <c r="B2397">
        <v>50301040</v>
      </c>
      <c r="C2397" t="s">
        <v>394</v>
      </c>
    </row>
    <row r="2398" spans="2:7" x14ac:dyDescent="0.25">
      <c r="C2398" t="s">
        <v>2004</v>
      </c>
      <c r="D2398">
        <v>0</v>
      </c>
      <c r="E2398">
        <v>0</v>
      </c>
      <c r="F2398">
        <v>0</v>
      </c>
      <c r="G2398">
        <v>0</v>
      </c>
    </row>
    <row r="2399" spans="2:7" x14ac:dyDescent="0.25">
      <c r="C2399" t="s">
        <v>2073</v>
      </c>
      <c r="D2399" s="104">
        <v>1900</v>
      </c>
      <c r="E2399">
        <v>0</v>
      </c>
      <c r="F2399">
        <v>0</v>
      </c>
      <c r="G2399" s="104">
        <v>1900</v>
      </c>
    </row>
    <row r="2400" spans="2:7" x14ac:dyDescent="0.25">
      <c r="C2400" t="s">
        <v>1724</v>
      </c>
      <c r="D2400">
        <v>885.6</v>
      </c>
      <c r="E2400">
        <v>0</v>
      </c>
      <c r="F2400">
        <v>0</v>
      </c>
      <c r="G2400">
        <v>885.6</v>
      </c>
    </row>
    <row r="2401" spans="2:7" x14ac:dyDescent="0.25">
      <c r="C2401" t="s">
        <v>1736</v>
      </c>
      <c r="D2401">
        <v>350</v>
      </c>
      <c r="E2401">
        <v>460</v>
      </c>
      <c r="F2401">
        <v>0</v>
      </c>
      <c r="G2401">
        <v>810</v>
      </c>
    </row>
    <row r="2402" spans="2:7" x14ac:dyDescent="0.25">
      <c r="C2402" t="s">
        <v>1740</v>
      </c>
      <c r="D2402" s="104">
        <v>1417.5</v>
      </c>
      <c r="E2402">
        <v>0</v>
      </c>
      <c r="F2402">
        <v>0</v>
      </c>
      <c r="G2402" s="104">
        <v>1417.5</v>
      </c>
    </row>
    <row r="2403" spans="2:7" x14ac:dyDescent="0.25">
      <c r="C2403" t="s">
        <v>1726</v>
      </c>
      <c r="D2403" s="104">
        <v>54308.56</v>
      </c>
      <c r="E2403" s="104">
        <v>18363.11</v>
      </c>
      <c r="F2403">
        <v>0</v>
      </c>
      <c r="G2403" s="104">
        <v>72671.67</v>
      </c>
    </row>
    <row r="2404" spans="2:7" x14ac:dyDescent="0.25">
      <c r="C2404" t="s">
        <v>2773</v>
      </c>
      <c r="D2404">
        <v>18</v>
      </c>
      <c r="E2404">
        <v>0</v>
      </c>
      <c r="F2404">
        <v>0</v>
      </c>
      <c r="G2404">
        <v>18</v>
      </c>
    </row>
    <row r="2405" spans="2:7" x14ac:dyDescent="0.25">
      <c r="B2405" t="s">
        <v>1587</v>
      </c>
      <c r="D2405" s="104">
        <v>58879.66</v>
      </c>
      <c r="E2405" s="104">
        <v>18823.11</v>
      </c>
      <c r="F2405">
        <v>0</v>
      </c>
      <c r="G2405" s="104">
        <v>77702.77</v>
      </c>
    </row>
    <row r="2407" spans="2:7" x14ac:dyDescent="0.25">
      <c r="B2407">
        <v>50501010</v>
      </c>
      <c r="C2407" t="s">
        <v>2464</v>
      </c>
    </row>
    <row r="2408" spans="2:7" x14ac:dyDescent="0.25">
      <c r="B2408">
        <v>50501020</v>
      </c>
      <c r="C2408" t="s">
        <v>493</v>
      </c>
    </row>
    <row r="2409" spans="2:7" x14ac:dyDescent="0.25">
      <c r="C2409" t="s">
        <v>2073</v>
      </c>
      <c r="D2409" s="104">
        <v>188978.54</v>
      </c>
      <c r="E2409" s="104">
        <v>23408.79</v>
      </c>
      <c r="F2409">
        <v>0</v>
      </c>
      <c r="G2409" s="104">
        <v>212387.33</v>
      </c>
    </row>
    <row r="2410" spans="2:7" x14ac:dyDescent="0.25">
      <c r="B2410" t="s">
        <v>1587</v>
      </c>
      <c r="D2410" s="104">
        <v>188978.54</v>
      </c>
      <c r="E2410" s="104">
        <v>23408.79</v>
      </c>
      <c r="F2410">
        <v>0</v>
      </c>
      <c r="G2410" s="104">
        <v>212387.33</v>
      </c>
    </row>
    <row r="2412" spans="2:7" x14ac:dyDescent="0.25">
      <c r="B2412">
        <v>50501040</v>
      </c>
      <c r="C2412" t="s">
        <v>497</v>
      </c>
    </row>
    <row r="2413" spans="2:7" x14ac:dyDescent="0.25">
      <c r="C2413" t="s">
        <v>2073</v>
      </c>
      <c r="D2413" s="104">
        <v>41476.559999999998</v>
      </c>
      <c r="E2413" s="104">
        <v>5184.57</v>
      </c>
      <c r="F2413">
        <v>0</v>
      </c>
      <c r="G2413" s="104">
        <v>46661.13</v>
      </c>
    </row>
    <row r="2414" spans="2:7" x14ac:dyDescent="0.25">
      <c r="B2414" t="s">
        <v>1587</v>
      </c>
      <c r="D2414" s="104">
        <v>41476.559999999998</v>
      </c>
      <c r="E2414" s="104">
        <v>5184.57</v>
      </c>
      <c r="F2414">
        <v>0</v>
      </c>
      <c r="G2414" s="104">
        <v>46661.13</v>
      </c>
    </row>
    <row r="2416" spans="2:7" x14ac:dyDescent="0.25">
      <c r="B2416">
        <v>50501050</v>
      </c>
      <c r="C2416" t="s">
        <v>485</v>
      </c>
    </row>
    <row r="2417" spans="2:7" x14ac:dyDescent="0.25">
      <c r="C2417" t="s">
        <v>2073</v>
      </c>
      <c r="D2417" s="104">
        <v>275595.98</v>
      </c>
      <c r="E2417" s="104">
        <v>34214.5</v>
      </c>
      <c r="F2417">
        <v>0</v>
      </c>
      <c r="G2417" s="104">
        <v>309810.48</v>
      </c>
    </row>
    <row r="2418" spans="2:7" x14ac:dyDescent="0.25">
      <c r="B2418" t="s">
        <v>1587</v>
      </c>
      <c r="D2418" s="104">
        <v>275595.98</v>
      </c>
      <c r="E2418" s="104">
        <v>34214.5</v>
      </c>
      <c r="F2418">
        <v>0</v>
      </c>
      <c r="G2418" s="104">
        <v>309810.48</v>
      </c>
    </row>
    <row r="2420" spans="2:7" x14ac:dyDescent="0.25">
      <c r="B2420">
        <v>50501060</v>
      </c>
      <c r="C2420" t="s">
        <v>489</v>
      </c>
    </row>
    <row r="2421" spans="2:7" x14ac:dyDescent="0.25">
      <c r="C2421" t="s">
        <v>2073</v>
      </c>
      <c r="D2421" s="104">
        <v>1306530.75</v>
      </c>
      <c r="E2421" s="104">
        <v>162564.32</v>
      </c>
      <c r="F2421">
        <v>0</v>
      </c>
      <c r="G2421" s="104">
        <v>1469095.07</v>
      </c>
    </row>
    <row r="2422" spans="2:7" x14ac:dyDescent="0.25">
      <c r="C2422" t="s">
        <v>2401</v>
      </c>
      <c r="D2422" s="104">
        <v>-725891.86</v>
      </c>
      <c r="E2422">
        <v>0</v>
      </c>
      <c r="F2422">
        <v>0</v>
      </c>
      <c r="G2422" s="104">
        <v>-725891.86</v>
      </c>
    </row>
    <row r="2423" spans="2:7" x14ac:dyDescent="0.25">
      <c r="B2423" t="s">
        <v>1587</v>
      </c>
      <c r="D2423" s="104">
        <v>580638.89</v>
      </c>
      <c r="E2423" s="104">
        <v>162564.32</v>
      </c>
      <c r="F2423">
        <v>0</v>
      </c>
      <c r="G2423" s="104">
        <v>743203.21</v>
      </c>
    </row>
    <row r="2425" spans="2:7" x14ac:dyDescent="0.25">
      <c r="B2425">
        <v>50501070</v>
      </c>
      <c r="C2425" t="s">
        <v>2465</v>
      </c>
    </row>
    <row r="2426" spans="2:7" x14ac:dyDescent="0.25">
      <c r="C2426" t="s">
        <v>2073</v>
      </c>
      <c r="D2426" s="104">
        <v>64330.16</v>
      </c>
      <c r="E2426" s="104">
        <v>8041.27</v>
      </c>
      <c r="F2426">
        <v>0</v>
      </c>
      <c r="G2426" s="104">
        <v>72371.429999999993</v>
      </c>
    </row>
    <row r="2427" spans="2:7" x14ac:dyDescent="0.25">
      <c r="B2427" t="s">
        <v>1587</v>
      </c>
      <c r="D2427" s="104">
        <v>64330.16</v>
      </c>
      <c r="E2427" s="104">
        <v>8041.27</v>
      </c>
      <c r="F2427">
        <v>0</v>
      </c>
      <c r="G2427" s="104">
        <v>72371.429999999993</v>
      </c>
    </row>
    <row r="2429" spans="2:7" x14ac:dyDescent="0.25">
      <c r="B2429">
        <v>50501990</v>
      </c>
      <c r="C2429" t="s">
        <v>477</v>
      </c>
    </row>
    <row r="2430" spans="2:7" x14ac:dyDescent="0.25">
      <c r="C2430" t="s">
        <v>2073</v>
      </c>
      <c r="D2430" s="104">
        <v>2225410.88</v>
      </c>
      <c r="E2430" s="104">
        <v>278176.36</v>
      </c>
      <c r="F2430">
        <v>0</v>
      </c>
      <c r="G2430" s="104">
        <v>2503587.2400000002</v>
      </c>
    </row>
    <row r="2431" spans="2:7" x14ac:dyDescent="0.25">
      <c r="B2431" t="s">
        <v>1587</v>
      </c>
      <c r="D2431" s="104">
        <v>2225410.88</v>
      </c>
      <c r="E2431" s="104">
        <v>278176.36</v>
      </c>
      <c r="F2431">
        <v>0</v>
      </c>
      <c r="G2431" s="104">
        <v>2503587.2400000002</v>
      </c>
    </row>
    <row r="2433" spans="2:7" x14ac:dyDescent="0.25">
      <c r="B2433">
        <v>50503020</v>
      </c>
      <c r="C2433" t="s">
        <v>542</v>
      </c>
    </row>
    <row r="2434" spans="2:7" x14ac:dyDescent="0.25">
      <c r="C2434" t="s">
        <v>2073</v>
      </c>
      <c r="D2434">
        <v>0</v>
      </c>
      <c r="E2434">
        <v>0</v>
      </c>
      <c r="F2434">
        <v>0</v>
      </c>
      <c r="G2434">
        <v>0</v>
      </c>
    </row>
    <row r="2435" spans="2:7" x14ac:dyDescent="0.25">
      <c r="B2435" t="s">
        <v>1587</v>
      </c>
      <c r="D2435">
        <v>0</v>
      </c>
      <c r="E2435">
        <v>0</v>
      </c>
      <c r="F2435">
        <v>0</v>
      </c>
      <c r="G2435">
        <v>0</v>
      </c>
    </row>
    <row r="2437" spans="2:7" x14ac:dyDescent="0.25">
      <c r="B2437">
        <v>50503060</v>
      </c>
      <c r="C2437" t="s">
        <v>773</v>
      </c>
    </row>
    <row r="2438" spans="2:7" x14ac:dyDescent="0.25">
      <c r="B2438">
        <v>50503150</v>
      </c>
      <c r="C2438" t="s">
        <v>2466</v>
      </c>
    </row>
    <row r="2439" spans="2:7" x14ac:dyDescent="0.25">
      <c r="B2439">
        <v>50504010</v>
      </c>
      <c r="C2439" t="s">
        <v>545</v>
      </c>
    </row>
    <row r="2440" spans="2:7" x14ac:dyDescent="0.25">
      <c r="C2440" t="s">
        <v>1745</v>
      </c>
      <c r="D2440" s="104">
        <v>366193.76</v>
      </c>
      <c r="E2440" s="104">
        <v>31165.43</v>
      </c>
      <c r="F2440">
        <v>0</v>
      </c>
      <c r="G2440" s="104">
        <v>397359.19</v>
      </c>
    </row>
    <row r="2441" spans="2:7" x14ac:dyDescent="0.25">
      <c r="C2441" t="s">
        <v>1724</v>
      </c>
      <c r="D2441">
        <v>0</v>
      </c>
      <c r="E2441">
        <v>0</v>
      </c>
      <c r="F2441">
        <v>0</v>
      </c>
      <c r="G2441">
        <v>0</v>
      </c>
    </row>
    <row r="2442" spans="2:7" x14ac:dyDescent="0.25">
      <c r="C2442" t="s">
        <v>1740</v>
      </c>
      <c r="D2442" s="104">
        <v>3543.05</v>
      </c>
      <c r="E2442">
        <v>232.08</v>
      </c>
      <c r="F2442">
        <v>0</v>
      </c>
      <c r="G2442" s="104">
        <v>3775.13</v>
      </c>
    </row>
    <row r="2443" spans="2:7" x14ac:dyDescent="0.25">
      <c r="C2443" t="s">
        <v>1746</v>
      </c>
      <c r="D2443" s="104">
        <v>9554865</v>
      </c>
      <c r="E2443" s="104">
        <v>813180</v>
      </c>
      <c r="F2443">
        <v>0</v>
      </c>
      <c r="G2443" s="104">
        <v>10368045</v>
      </c>
    </row>
    <row r="2444" spans="2:7" x14ac:dyDescent="0.25">
      <c r="C2444" t="s">
        <v>2749</v>
      </c>
      <c r="D2444" s="104">
        <v>35317.919999999998</v>
      </c>
      <c r="E2444">
        <v>0</v>
      </c>
      <c r="F2444">
        <v>0</v>
      </c>
      <c r="G2444" s="104">
        <v>35317.919999999998</v>
      </c>
    </row>
    <row r="2445" spans="2:7" x14ac:dyDescent="0.25">
      <c r="B2445" t="s">
        <v>1587</v>
      </c>
      <c r="D2445" s="104">
        <v>9959919.7300000004</v>
      </c>
      <c r="E2445" s="104">
        <v>844577.51</v>
      </c>
      <c r="F2445">
        <v>0</v>
      </c>
      <c r="G2445" s="104">
        <v>10804497.24</v>
      </c>
    </row>
    <row r="2447" spans="2:7" x14ac:dyDescent="0.25">
      <c r="B2447">
        <v>50504030</v>
      </c>
      <c r="C2447" t="s">
        <v>747</v>
      </c>
    </row>
    <row r="2448" spans="2:7" x14ac:dyDescent="0.25">
      <c r="B2448">
        <v>50504180</v>
      </c>
      <c r="C2448" t="s">
        <v>2467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CE3C-F7D8-4EB8-9D0A-FFD922E13795}">
  <sheetPr codeName="Sheet11">
    <tabColor rgb="FF00B0F0"/>
  </sheetPr>
  <dimension ref="A1:P182"/>
  <sheetViews>
    <sheetView topLeftCell="A98" zoomScale="90" zoomScaleNormal="90" workbookViewId="0">
      <selection activeCell="I170" sqref="I170"/>
    </sheetView>
  </sheetViews>
  <sheetFormatPr defaultRowHeight="15" x14ac:dyDescent="0.25"/>
  <cols>
    <col min="1" max="1" width="4.85546875" customWidth="1"/>
    <col min="2" max="2" width="7.42578125" customWidth="1"/>
    <col min="3" max="3" width="54.85546875" customWidth="1"/>
    <col min="4" max="4" width="35.42578125" customWidth="1"/>
    <col min="5" max="5" width="15.7109375" customWidth="1"/>
    <col min="6" max="6" width="20" hidden="1" customWidth="1"/>
    <col min="7" max="8" width="23.42578125" customWidth="1"/>
    <col min="9" max="9" width="20.7109375" customWidth="1"/>
    <col min="10" max="10" width="20.85546875" hidden="1" customWidth="1"/>
    <col min="11" max="11" width="20.28515625" hidden="1" customWidth="1"/>
    <col min="12" max="12" width="22.28515625" hidden="1" customWidth="1"/>
    <col min="13" max="13" width="17.42578125" hidden="1" customWidth="1"/>
    <col min="14" max="14" width="22" customWidth="1"/>
    <col min="15" max="15" width="13.28515625" customWidth="1"/>
    <col min="16" max="16" width="26" customWidth="1"/>
  </cols>
  <sheetData>
    <row r="1" spans="1:16" x14ac:dyDescent="0.25">
      <c r="A1" s="133" t="s">
        <v>22</v>
      </c>
      <c r="B1" s="133"/>
      <c r="C1" s="133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6" x14ac:dyDescent="0.25">
      <c r="A2" s="133" t="s">
        <v>794</v>
      </c>
      <c r="B2" s="133"/>
      <c r="C2" s="133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6" x14ac:dyDescent="0.25">
      <c r="A3" s="133" t="s">
        <v>1127</v>
      </c>
      <c r="B3" s="133"/>
      <c r="C3" s="133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6" ht="15.75" thickBot="1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5" spans="1:16" ht="15" customHeight="1" thickBot="1" x14ac:dyDescent="0.3">
      <c r="A5" s="141" t="s">
        <v>902</v>
      </c>
      <c r="B5" s="1014" t="s">
        <v>856</v>
      </c>
      <c r="C5" s="1006" t="s">
        <v>711</v>
      </c>
      <c r="D5" s="1000" t="s">
        <v>712</v>
      </c>
      <c r="E5" s="1006" t="s">
        <v>713</v>
      </c>
      <c r="F5" s="1000" t="s">
        <v>1107</v>
      </c>
      <c r="G5" s="1000" t="s">
        <v>1108</v>
      </c>
      <c r="H5" s="1000" t="s">
        <v>1126</v>
      </c>
      <c r="I5" s="1006" t="s">
        <v>797</v>
      </c>
      <c r="J5" s="142" t="s">
        <v>797</v>
      </c>
      <c r="K5" s="117"/>
      <c r="L5" s="117"/>
      <c r="M5" s="143" t="s">
        <v>858</v>
      </c>
    </row>
    <row r="6" spans="1:16" ht="15.75" customHeight="1" thickBot="1" x14ac:dyDescent="0.3">
      <c r="A6" s="144" t="s">
        <v>878</v>
      </c>
      <c r="B6" s="1015"/>
      <c r="C6" s="1007"/>
      <c r="D6" s="1001"/>
      <c r="E6" s="1007"/>
      <c r="F6" s="1001"/>
      <c r="G6" s="1001"/>
      <c r="H6" s="1001"/>
      <c r="I6" s="1007"/>
      <c r="J6" s="145"/>
      <c r="K6" s="117"/>
      <c r="L6" s="117"/>
      <c r="M6" s="143">
        <v>2019</v>
      </c>
    </row>
    <row r="7" spans="1:16" ht="15.75" thickBot="1" x14ac:dyDescent="0.3">
      <c r="A7" s="52"/>
      <c r="B7" s="52"/>
      <c r="C7" s="118" t="s">
        <v>180</v>
      </c>
      <c r="D7" s="86"/>
      <c r="E7" s="86"/>
      <c r="F7" s="52"/>
      <c r="G7" s="52"/>
      <c r="H7" s="52"/>
      <c r="I7" s="52"/>
      <c r="J7" s="117"/>
      <c r="K7" s="117"/>
      <c r="L7" s="117"/>
      <c r="M7" s="117"/>
    </row>
    <row r="8" spans="1:16" ht="15.75" thickBot="1" x14ac:dyDescent="0.3">
      <c r="A8" s="52"/>
      <c r="B8" s="212"/>
      <c r="C8" s="119" t="s">
        <v>914</v>
      </c>
      <c r="D8" s="86"/>
      <c r="E8" s="86"/>
      <c r="F8" s="52"/>
      <c r="G8" s="52"/>
      <c r="H8" s="52"/>
      <c r="I8" s="52"/>
      <c r="J8" s="117"/>
      <c r="K8" s="117"/>
      <c r="L8" s="117"/>
      <c r="M8" s="117"/>
    </row>
    <row r="9" spans="1:16" ht="12" customHeight="1" thickBot="1" x14ac:dyDescent="0.3">
      <c r="A9" s="52"/>
      <c r="B9" s="212"/>
      <c r="C9" s="212"/>
      <c r="D9" s="86"/>
      <c r="E9" s="86"/>
      <c r="F9" s="52"/>
      <c r="G9" s="52"/>
      <c r="H9" s="52"/>
      <c r="I9" s="52"/>
      <c r="J9" s="52"/>
      <c r="K9" s="52"/>
      <c r="L9" s="52"/>
      <c r="M9" s="52"/>
    </row>
    <row r="10" spans="1:16" ht="15.75" thickBot="1" x14ac:dyDescent="0.3">
      <c r="A10" s="52"/>
      <c r="B10" s="212"/>
      <c r="C10" s="119" t="s">
        <v>895</v>
      </c>
      <c r="D10" s="86"/>
      <c r="E10" s="86"/>
      <c r="F10" s="52"/>
      <c r="G10" s="52"/>
      <c r="H10" s="52"/>
      <c r="I10" s="52"/>
      <c r="J10" s="52"/>
      <c r="K10" s="52"/>
      <c r="L10" s="52"/>
      <c r="M10" s="52"/>
    </row>
    <row r="11" spans="1:16" x14ac:dyDescent="0.25">
      <c r="A11" s="124">
        <v>1</v>
      </c>
      <c r="B11" s="124">
        <v>7067</v>
      </c>
      <c r="C11" s="213" t="s">
        <v>815</v>
      </c>
      <c r="D11" s="214">
        <v>121218</v>
      </c>
      <c r="E11" s="215">
        <v>50137.95</v>
      </c>
      <c r="F11" s="216">
        <v>2082000000</v>
      </c>
      <c r="G11" s="217">
        <v>2266240000</v>
      </c>
      <c r="H11" s="216">
        <v>2256207750</v>
      </c>
      <c r="I11" s="218">
        <f>H11-G11</f>
        <v>-10032250</v>
      </c>
      <c r="J11" s="219"/>
      <c r="K11" s="219"/>
      <c r="L11" s="219"/>
      <c r="M11" s="219"/>
      <c r="N11" s="179">
        <f>1570680000</f>
        <v>1570680000</v>
      </c>
      <c r="P11" s="179">
        <f>E11*45000</f>
        <v>2256207750</v>
      </c>
    </row>
    <row r="12" spans="1:16" x14ac:dyDescent="0.25">
      <c r="A12" s="124">
        <v>2</v>
      </c>
      <c r="B12" s="124">
        <v>7043</v>
      </c>
      <c r="C12" s="220" t="s">
        <v>820</v>
      </c>
      <c r="D12" s="221" t="s">
        <v>817</v>
      </c>
      <c r="E12" s="222">
        <v>49856</v>
      </c>
      <c r="F12" s="216">
        <v>14996211</v>
      </c>
      <c r="G12" s="217">
        <v>14996211</v>
      </c>
      <c r="H12" s="216">
        <v>14996211</v>
      </c>
      <c r="I12" s="218">
        <f t="shared" ref="I12:I76" si="0">H12-G12</f>
        <v>0</v>
      </c>
      <c r="J12" s="55"/>
      <c r="K12" s="52"/>
      <c r="L12" s="52"/>
      <c r="M12" s="52"/>
    </row>
    <row r="13" spans="1:16" x14ac:dyDescent="0.25">
      <c r="A13" s="124">
        <v>3</v>
      </c>
      <c r="B13" s="124">
        <v>7068</v>
      </c>
      <c r="C13" s="220" t="s">
        <v>816</v>
      </c>
      <c r="D13" s="214" t="s">
        <v>737</v>
      </c>
      <c r="E13" s="215">
        <v>1318</v>
      </c>
      <c r="F13" s="216">
        <v>146960000</v>
      </c>
      <c r="G13" s="217">
        <v>144980000</v>
      </c>
      <c r="H13" s="216">
        <v>147616000</v>
      </c>
      <c r="I13" s="218">
        <f t="shared" si="0"/>
        <v>2636000</v>
      </c>
      <c r="J13" s="55"/>
      <c r="K13" s="52"/>
      <c r="L13" s="52"/>
      <c r="M13" s="52"/>
    </row>
    <row r="14" spans="1:16" ht="15.75" thickBot="1" x14ac:dyDescent="0.3">
      <c r="A14" s="124"/>
      <c r="B14" s="223"/>
      <c r="C14" s="224"/>
      <c r="D14" s="225"/>
      <c r="E14" s="215"/>
      <c r="F14" s="226"/>
      <c r="G14" s="226"/>
      <c r="H14" s="226"/>
      <c r="I14" s="218">
        <f t="shared" si="0"/>
        <v>0</v>
      </c>
      <c r="J14" s="50"/>
    </row>
    <row r="15" spans="1:16" ht="15.75" thickBot="1" x14ac:dyDescent="0.3">
      <c r="A15" s="124"/>
      <c r="B15" s="223"/>
      <c r="C15" s="137" t="s">
        <v>913</v>
      </c>
      <c r="D15" s="225"/>
      <c r="E15" s="215"/>
      <c r="F15" s="226"/>
      <c r="G15" s="226"/>
      <c r="H15" s="226"/>
      <c r="I15" s="218">
        <f t="shared" si="0"/>
        <v>0</v>
      </c>
    </row>
    <row r="16" spans="1:16" x14ac:dyDescent="0.25">
      <c r="A16" s="124">
        <v>4</v>
      </c>
      <c r="B16" s="124">
        <v>7041</v>
      </c>
      <c r="C16" s="213" t="s">
        <v>803</v>
      </c>
      <c r="D16" s="221" t="s">
        <v>818</v>
      </c>
      <c r="E16" s="227">
        <v>2579</v>
      </c>
      <c r="F16" s="216">
        <v>815738000</v>
      </c>
      <c r="G16" s="217">
        <v>885370000</v>
      </c>
      <c r="H16" s="216">
        <v>1065127000</v>
      </c>
      <c r="I16" s="218">
        <f t="shared" si="0"/>
        <v>179757000</v>
      </c>
      <c r="N16" t="s">
        <v>1128</v>
      </c>
    </row>
    <row r="17" spans="1:14" x14ac:dyDescent="0.25">
      <c r="A17" s="124">
        <v>5</v>
      </c>
      <c r="B17" s="124">
        <v>7042</v>
      </c>
      <c r="C17" s="220" t="s">
        <v>804</v>
      </c>
      <c r="D17" s="214" t="s">
        <v>819</v>
      </c>
      <c r="E17" s="215">
        <v>1002</v>
      </c>
      <c r="F17" s="216">
        <v>386970000</v>
      </c>
      <c r="G17" s="217">
        <v>386970000</v>
      </c>
      <c r="H17" s="216">
        <v>571140000</v>
      </c>
      <c r="I17" s="218">
        <f t="shared" si="0"/>
        <v>184170000</v>
      </c>
    </row>
    <row r="18" spans="1:14" x14ac:dyDescent="0.25">
      <c r="A18" s="124">
        <v>6</v>
      </c>
      <c r="B18" s="124">
        <v>7065</v>
      </c>
      <c r="C18" s="220" t="s">
        <v>826</v>
      </c>
      <c r="D18" s="221" t="s">
        <v>903</v>
      </c>
      <c r="E18" s="222">
        <v>1526</v>
      </c>
      <c r="F18" s="216">
        <v>370670000</v>
      </c>
      <c r="G18" s="217">
        <v>400120000</v>
      </c>
      <c r="H18" s="216">
        <v>436740000</v>
      </c>
      <c r="I18" s="218">
        <f t="shared" si="0"/>
        <v>36620000</v>
      </c>
    </row>
    <row r="19" spans="1:14" x14ac:dyDescent="0.25">
      <c r="A19" s="124">
        <v>7</v>
      </c>
      <c r="B19" s="124">
        <v>7064</v>
      </c>
      <c r="C19" s="220" t="s">
        <v>806</v>
      </c>
      <c r="D19" s="214" t="s">
        <v>837</v>
      </c>
      <c r="E19" s="215">
        <f>570+686</f>
        <v>1256</v>
      </c>
      <c r="F19" s="216">
        <v>206990000</v>
      </c>
      <c r="G19" s="217">
        <v>207240000</v>
      </c>
      <c r="H19" s="216">
        <v>285112000</v>
      </c>
      <c r="I19" s="218">
        <f t="shared" si="0"/>
        <v>77872000</v>
      </c>
      <c r="J19" s="102"/>
      <c r="K19" s="102"/>
      <c r="L19" s="102"/>
      <c r="M19" s="102"/>
    </row>
    <row r="20" spans="1:14" ht="15.75" thickBot="1" x14ac:dyDescent="0.3">
      <c r="A20" s="124"/>
      <c r="B20" s="223"/>
      <c r="C20" s="224"/>
      <c r="D20" s="225"/>
      <c r="E20" s="215"/>
      <c r="F20" s="226"/>
      <c r="G20" s="226"/>
      <c r="H20" s="226"/>
      <c r="I20" s="218">
        <f t="shared" si="0"/>
        <v>0</v>
      </c>
    </row>
    <row r="21" spans="1:14" ht="15.75" thickBot="1" x14ac:dyDescent="0.3">
      <c r="A21" s="124"/>
      <c r="B21" s="223"/>
      <c r="C21" s="137" t="s">
        <v>896</v>
      </c>
      <c r="D21" s="225"/>
      <c r="E21" s="215"/>
      <c r="F21" s="226"/>
      <c r="G21" s="226"/>
      <c r="H21" s="226"/>
      <c r="I21" s="218">
        <f t="shared" si="0"/>
        <v>0</v>
      </c>
    </row>
    <row r="22" spans="1:14" x14ac:dyDescent="0.25">
      <c r="A22" s="124">
        <v>8</v>
      </c>
      <c r="B22" s="124">
        <v>7088</v>
      </c>
      <c r="C22" s="228" t="s">
        <v>821</v>
      </c>
      <c r="D22" s="221" t="s">
        <v>822</v>
      </c>
      <c r="E22" s="222">
        <v>12687</v>
      </c>
      <c r="F22" s="216">
        <v>4686580000</v>
      </c>
      <c r="G22" s="217">
        <v>6165880000</v>
      </c>
      <c r="H22" s="216">
        <v>6203943000</v>
      </c>
      <c r="I22" s="218">
        <f t="shared" si="0"/>
        <v>38063000</v>
      </c>
    </row>
    <row r="23" spans="1:14" ht="15.75" thickBot="1" x14ac:dyDescent="0.3">
      <c r="A23" s="124"/>
      <c r="B23" s="223"/>
      <c r="C23" s="224"/>
      <c r="D23" s="229"/>
      <c r="E23" s="222"/>
      <c r="F23" s="226"/>
      <c r="G23" s="226"/>
      <c r="H23" s="226"/>
      <c r="I23" s="218">
        <f t="shared" si="0"/>
        <v>0</v>
      </c>
      <c r="N23" s="51"/>
    </row>
    <row r="24" spans="1:14" ht="15.75" thickBot="1" x14ac:dyDescent="0.3">
      <c r="A24" s="70"/>
      <c r="B24" s="127"/>
      <c r="C24" s="137" t="s">
        <v>897</v>
      </c>
      <c r="D24" s="136"/>
      <c r="E24" s="70"/>
      <c r="F24" s="195"/>
      <c r="G24" s="195"/>
      <c r="H24" s="195"/>
      <c r="I24" s="218">
        <f t="shared" si="0"/>
        <v>0</v>
      </c>
      <c r="N24" s="179"/>
    </row>
    <row r="25" spans="1:14" x14ac:dyDescent="0.25">
      <c r="A25" s="124">
        <v>9</v>
      </c>
      <c r="B25" s="124">
        <v>7066</v>
      </c>
      <c r="C25" s="213" t="s">
        <v>828</v>
      </c>
      <c r="D25" s="221" t="s">
        <v>717</v>
      </c>
      <c r="E25" s="222">
        <v>1895</v>
      </c>
      <c r="F25" s="216">
        <v>545000000</v>
      </c>
      <c r="G25" s="217">
        <v>547280000</v>
      </c>
      <c r="H25" s="216">
        <v>557130000</v>
      </c>
      <c r="I25" s="218">
        <f t="shared" si="0"/>
        <v>9850000</v>
      </c>
      <c r="N25" t="s">
        <v>1129</v>
      </c>
    </row>
    <row r="26" spans="1:14" ht="15.75" thickBot="1" x14ac:dyDescent="0.3">
      <c r="A26" s="124"/>
      <c r="B26" s="124"/>
      <c r="C26" s="230"/>
      <c r="D26" s="221"/>
      <c r="E26" s="222"/>
      <c r="F26" s="226"/>
      <c r="G26" s="226"/>
      <c r="H26" s="226"/>
      <c r="I26" s="218">
        <f t="shared" si="0"/>
        <v>0</v>
      </c>
    </row>
    <row r="27" spans="1:14" ht="15.75" thickBot="1" x14ac:dyDescent="0.3">
      <c r="A27" s="70"/>
      <c r="B27" s="127"/>
      <c r="C27" s="137" t="s">
        <v>898</v>
      </c>
      <c r="D27" s="136"/>
      <c r="E27" s="70"/>
      <c r="F27" s="195"/>
      <c r="G27" s="195"/>
      <c r="H27" s="195"/>
      <c r="I27" s="218">
        <f t="shared" si="0"/>
        <v>0</v>
      </c>
    </row>
    <row r="28" spans="1:14" x14ac:dyDescent="0.25">
      <c r="A28" s="124">
        <v>10</v>
      </c>
      <c r="B28" s="124">
        <v>7072</v>
      </c>
      <c r="C28" s="213" t="s">
        <v>827</v>
      </c>
      <c r="D28" s="221">
        <v>218982</v>
      </c>
      <c r="E28" s="231">
        <v>1012.5</v>
      </c>
      <c r="F28" s="216">
        <v>234900000</v>
      </c>
      <c r="G28" s="217">
        <v>190350000</v>
      </c>
      <c r="H28" s="216">
        <v>199462500</v>
      </c>
      <c r="I28" s="218">
        <f t="shared" si="0"/>
        <v>9112500</v>
      </c>
    </row>
    <row r="29" spans="1:14" x14ac:dyDescent="0.25">
      <c r="A29" s="124">
        <v>11</v>
      </c>
      <c r="B29" s="124">
        <v>9148</v>
      </c>
      <c r="C29" s="232" t="s">
        <v>810</v>
      </c>
      <c r="D29" s="233">
        <v>69615</v>
      </c>
      <c r="E29" s="215">
        <v>623</v>
      </c>
      <c r="F29" s="216">
        <v>37190000</v>
      </c>
      <c r="G29" s="217">
        <v>37010000</v>
      </c>
      <c r="H29" s="216">
        <v>39870000</v>
      </c>
      <c r="I29" s="218">
        <f t="shared" si="0"/>
        <v>2860000</v>
      </c>
      <c r="J29" s="50"/>
    </row>
    <row r="30" spans="1:14" ht="15.75" thickBot="1" x14ac:dyDescent="0.3">
      <c r="A30" s="124"/>
      <c r="B30" s="124"/>
      <c r="C30" s="234"/>
      <c r="D30" s="233"/>
      <c r="E30" s="215"/>
      <c r="F30" s="226"/>
      <c r="G30" s="226"/>
      <c r="H30" s="226"/>
      <c r="I30" s="218">
        <f t="shared" si="0"/>
        <v>0</v>
      </c>
      <c r="J30" s="50"/>
    </row>
    <row r="31" spans="1:14" ht="15.75" customHeight="1" thickBot="1" x14ac:dyDescent="0.3">
      <c r="A31" s="70"/>
      <c r="B31" s="127"/>
      <c r="C31" s="137" t="s">
        <v>899</v>
      </c>
      <c r="D31" s="136"/>
      <c r="E31" s="70"/>
      <c r="F31" s="195"/>
      <c r="G31" s="195"/>
      <c r="H31" s="195"/>
      <c r="I31" s="218">
        <f t="shared" si="0"/>
        <v>0</v>
      </c>
    </row>
    <row r="32" spans="1:14" ht="15.75" customHeight="1" x14ac:dyDescent="0.25">
      <c r="A32" s="124">
        <v>12</v>
      </c>
      <c r="B32" s="124">
        <v>7071</v>
      </c>
      <c r="C32" s="213" t="s">
        <v>829</v>
      </c>
      <c r="D32" s="221" t="s">
        <v>904</v>
      </c>
      <c r="E32" s="222">
        <v>824</v>
      </c>
      <c r="F32" s="216">
        <v>156560000</v>
      </c>
      <c r="G32" s="217">
        <v>182100000</v>
      </c>
      <c r="H32" s="216">
        <v>203530000</v>
      </c>
      <c r="I32" s="218">
        <f t="shared" si="0"/>
        <v>21430000</v>
      </c>
      <c r="J32" s="50"/>
    </row>
    <row r="33" spans="1:16" ht="15.75" customHeight="1" thickBot="1" x14ac:dyDescent="0.3">
      <c r="A33" s="124"/>
      <c r="B33" s="124"/>
      <c r="C33" s="230"/>
      <c r="D33" s="221"/>
      <c r="E33" s="222"/>
      <c r="F33" s="226"/>
      <c r="G33" s="226"/>
      <c r="H33" s="226"/>
      <c r="I33" s="218">
        <f t="shared" si="0"/>
        <v>0</v>
      </c>
      <c r="J33" s="50"/>
    </row>
    <row r="34" spans="1:16" ht="15.75" customHeight="1" thickBot="1" x14ac:dyDescent="0.3">
      <c r="A34" s="124"/>
      <c r="B34" s="223"/>
      <c r="C34" s="137" t="s">
        <v>900</v>
      </c>
      <c r="D34" s="229"/>
      <c r="E34" s="222"/>
      <c r="F34" s="226"/>
      <c r="G34" s="226"/>
      <c r="H34" s="226"/>
      <c r="I34" s="218">
        <f t="shared" si="0"/>
        <v>0</v>
      </c>
      <c r="J34" s="50"/>
    </row>
    <row r="35" spans="1:16" ht="45.75" customHeight="1" x14ac:dyDescent="0.25">
      <c r="A35" s="124">
        <v>13</v>
      </c>
      <c r="B35" s="124">
        <v>7046</v>
      </c>
      <c r="C35" s="228" t="s">
        <v>824</v>
      </c>
      <c r="D35" s="235" t="s">
        <v>825</v>
      </c>
      <c r="E35" s="215">
        <v>25319</v>
      </c>
      <c r="F35" s="1004">
        <v>1553680000</v>
      </c>
      <c r="G35" s="236">
        <v>1596760000</v>
      </c>
      <c r="H35" s="267">
        <v>1740530000</v>
      </c>
      <c r="I35" s="218">
        <f t="shared" si="0"/>
        <v>143770000</v>
      </c>
      <c r="J35" s="50"/>
      <c r="N35" t="s">
        <v>1129</v>
      </c>
      <c r="P35" s="179"/>
    </row>
    <row r="36" spans="1:16" ht="17.25" customHeight="1" thickBot="1" x14ac:dyDescent="0.3">
      <c r="A36" s="124"/>
      <c r="B36" s="223"/>
      <c r="C36" s="220"/>
      <c r="D36" s="237"/>
      <c r="E36" s="238">
        <v>14532</v>
      </c>
      <c r="F36" s="1005"/>
      <c r="G36" s="239"/>
      <c r="H36" s="382"/>
      <c r="I36" s="218">
        <f t="shared" si="0"/>
        <v>0</v>
      </c>
      <c r="J36" s="50"/>
      <c r="P36" s="179"/>
    </row>
    <row r="37" spans="1:16" ht="15.75" customHeight="1" thickBot="1" x14ac:dyDescent="0.3">
      <c r="A37" s="124"/>
      <c r="B37" s="223"/>
      <c r="C37" s="220"/>
      <c r="D37" s="237"/>
      <c r="E37" s="240">
        <f>SUM(E35:E36)</f>
        <v>39851</v>
      </c>
      <c r="F37" s="226"/>
      <c r="G37" s="226"/>
      <c r="H37" s="226"/>
      <c r="I37" s="218">
        <f t="shared" si="0"/>
        <v>0</v>
      </c>
      <c r="J37" s="50"/>
      <c r="P37" s="179"/>
    </row>
    <row r="38" spans="1:16" ht="15.75" customHeight="1" thickBot="1" x14ac:dyDescent="0.3">
      <c r="A38" s="124"/>
      <c r="B38" s="223"/>
      <c r="C38" s="241"/>
      <c r="D38" s="242"/>
      <c r="E38" s="243"/>
      <c r="F38" s="226"/>
      <c r="G38" s="226"/>
      <c r="H38" s="226"/>
      <c r="I38" s="218">
        <f t="shared" si="0"/>
        <v>0</v>
      </c>
      <c r="J38" s="50"/>
    </row>
    <row r="39" spans="1:16" ht="17.25" customHeight="1" thickBot="1" x14ac:dyDescent="0.3">
      <c r="A39" s="124"/>
      <c r="B39" s="223"/>
      <c r="C39" s="137" t="s">
        <v>901</v>
      </c>
      <c r="D39" s="237"/>
      <c r="E39" s="215"/>
      <c r="F39" s="226"/>
      <c r="G39" s="226"/>
      <c r="H39" s="226"/>
      <c r="I39" s="218">
        <f t="shared" si="0"/>
        <v>0</v>
      </c>
      <c r="J39" s="50"/>
    </row>
    <row r="40" spans="1:16" ht="15" customHeight="1" x14ac:dyDescent="0.25">
      <c r="A40" s="124">
        <v>14</v>
      </c>
      <c r="B40" s="124">
        <v>9146</v>
      </c>
      <c r="C40" s="232" t="s">
        <v>809</v>
      </c>
      <c r="D40" s="233" t="s">
        <v>729</v>
      </c>
      <c r="E40" s="215">
        <v>1426</v>
      </c>
      <c r="F40" s="216">
        <v>44060000</v>
      </c>
      <c r="G40" s="217">
        <v>49770000</v>
      </c>
      <c r="H40" s="216">
        <v>44920000</v>
      </c>
      <c r="I40" s="218">
        <f t="shared" si="0"/>
        <v>-4850000</v>
      </c>
      <c r="J40" s="50"/>
      <c r="N40" t="s">
        <v>1129</v>
      </c>
    </row>
    <row r="41" spans="1:16" ht="15" customHeight="1" thickBot="1" x14ac:dyDescent="0.3">
      <c r="A41" s="124"/>
      <c r="B41" s="124"/>
      <c r="C41" s="244"/>
      <c r="D41" s="221"/>
      <c r="E41" s="222"/>
      <c r="F41" s="226"/>
      <c r="G41" s="226"/>
      <c r="H41" s="226"/>
      <c r="I41" s="218">
        <f t="shared" si="0"/>
        <v>0</v>
      </c>
      <c r="J41" s="50"/>
    </row>
    <row r="42" spans="1:16" ht="16.5" customHeight="1" thickBot="1" x14ac:dyDescent="0.3">
      <c r="A42" s="124"/>
      <c r="B42" s="223"/>
      <c r="C42" s="245" t="s">
        <v>840</v>
      </c>
      <c r="D42" s="229"/>
      <c r="E42" s="222"/>
      <c r="F42" s="226"/>
      <c r="G42" s="226"/>
      <c r="H42" s="226"/>
      <c r="I42" s="218">
        <f t="shared" si="0"/>
        <v>0</v>
      </c>
      <c r="J42" s="50"/>
    </row>
    <row r="43" spans="1:16" ht="15" customHeight="1" x14ac:dyDescent="0.25">
      <c r="A43" s="124">
        <v>15</v>
      </c>
      <c r="B43" s="124">
        <v>7061</v>
      </c>
      <c r="C43" s="246" t="s">
        <v>830</v>
      </c>
      <c r="D43" s="214">
        <v>96851</v>
      </c>
      <c r="E43" s="215">
        <v>6277</v>
      </c>
      <c r="F43" s="216">
        <v>6920000</v>
      </c>
      <c r="G43" s="217">
        <v>7500000</v>
      </c>
      <c r="H43" s="216">
        <v>6920000</v>
      </c>
      <c r="I43" s="218">
        <f t="shared" si="0"/>
        <v>-580000</v>
      </c>
      <c r="J43" s="50"/>
    </row>
    <row r="44" spans="1:16" ht="15" customHeight="1" thickBot="1" x14ac:dyDescent="0.3">
      <c r="A44" s="124"/>
      <c r="B44" s="124"/>
      <c r="C44" s="244"/>
      <c r="D44" s="214"/>
      <c r="E44" s="215"/>
      <c r="F44" s="226"/>
      <c r="G44" s="226"/>
      <c r="H44" s="226"/>
      <c r="I44" s="218">
        <f t="shared" si="0"/>
        <v>0</v>
      </c>
      <c r="J44" s="50"/>
    </row>
    <row r="45" spans="1:16" ht="15" customHeight="1" thickBot="1" x14ac:dyDescent="0.3">
      <c r="A45" s="124"/>
      <c r="B45" s="223"/>
      <c r="C45" s="245" t="s">
        <v>857</v>
      </c>
      <c r="D45" s="229"/>
      <c r="E45" s="222"/>
      <c r="F45" s="226"/>
      <c r="G45" s="226"/>
      <c r="H45" s="226"/>
      <c r="I45" s="218">
        <f t="shared" si="0"/>
        <v>0</v>
      </c>
      <c r="J45" s="50"/>
    </row>
    <row r="46" spans="1:16" ht="15" customHeight="1" x14ac:dyDescent="0.25">
      <c r="A46" s="124">
        <v>16</v>
      </c>
      <c r="B46" s="124">
        <v>8457</v>
      </c>
      <c r="C46" s="246" t="s">
        <v>722</v>
      </c>
      <c r="D46" s="214" t="s">
        <v>723</v>
      </c>
      <c r="E46" s="215">
        <v>5231</v>
      </c>
      <c r="F46" s="216">
        <v>41850000</v>
      </c>
      <c r="G46" s="217">
        <v>50740000</v>
      </c>
      <c r="H46" s="216">
        <v>41850000</v>
      </c>
      <c r="I46" s="218">
        <f t="shared" si="0"/>
        <v>-8890000</v>
      </c>
      <c r="J46" s="50"/>
    </row>
    <row r="47" spans="1:16" ht="33" customHeight="1" x14ac:dyDescent="0.25">
      <c r="A47" s="124">
        <v>17</v>
      </c>
      <c r="B47" s="124">
        <v>7076</v>
      </c>
      <c r="C47" s="214" t="s">
        <v>879</v>
      </c>
      <c r="D47" s="247" t="s">
        <v>862</v>
      </c>
      <c r="E47" s="215">
        <v>877</v>
      </c>
      <c r="F47" s="1004">
        <v>12850000</v>
      </c>
      <c r="G47" s="217">
        <v>1360000</v>
      </c>
      <c r="H47" s="381">
        <v>1480000</v>
      </c>
      <c r="I47" s="218">
        <f t="shared" si="0"/>
        <v>120000</v>
      </c>
      <c r="J47" s="50"/>
      <c r="M47" s="1016"/>
      <c r="N47" s="248">
        <v>1360000</v>
      </c>
      <c r="O47" s="249"/>
    </row>
    <row r="48" spans="1:16" ht="24" customHeight="1" x14ac:dyDescent="0.25">
      <c r="A48" s="124"/>
      <c r="B48" s="124"/>
      <c r="C48" s="214" t="s">
        <v>880</v>
      </c>
      <c r="D48" s="247" t="s">
        <v>758</v>
      </c>
      <c r="E48" s="215">
        <v>600</v>
      </c>
      <c r="F48" s="1017"/>
      <c r="G48" s="217">
        <v>1920000</v>
      </c>
      <c r="H48" s="381">
        <v>2580000</v>
      </c>
      <c r="I48" s="218">
        <f t="shared" si="0"/>
        <v>660000</v>
      </c>
      <c r="J48" s="50"/>
      <c r="M48" s="1016"/>
      <c r="N48" s="248">
        <v>1920000</v>
      </c>
      <c r="O48" s="249"/>
    </row>
    <row r="49" spans="1:15" ht="18.75" customHeight="1" x14ac:dyDescent="0.25">
      <c r="A49" s="124"/>
      <c r="B49" s="124"/>
      <c r="C49" s="214" t="s">
        <v>881</v>
      </c>
      <c r="D49" s="247" t="s">
        <v>863</v>
      </c>
      <c r="E49" s="215">
        <v>340</v>
      </c>
      <c r="F49" s="1017"/>
      <c r="G49" s="217">
        <v>1090000</v>
      </c>
      <c r="H49" s="381">
        <v>1460000</v>
      </c>
      <c r="I49" s="218">
        <f t="shared" si="0"/>
        <v>370000</v>
      </c>
      <c r="J49" s="50"/>
      <c r="M49" s="1016"/>
      <c r="N49" s="248">
        <v>1090000</v>
      </c>
      <c r="O49" s="249"/>
    </row>
    <row r="50" spans="1:15" ht="21.75" customHeight="1" x14ac:dyDescent="0.25">
      <c r="A50" s="124"/>
      <c r="B50" s="124"/>
      <c r="C50" s="214" t="s">
        <v>882</v>
      </c>
      <c r="D50" s="247" t="s">
        <v>864</v>
      </c>
      <c r="E50" s="215">
        <v>1139</v>
      </c>
      <c r="F50" s="1005"/>
      <c r="G50" s="217">
        <v>9230000</v>
      </c>
      <c r="H50" s="381">
        <v>11960000</v>
      </c>
      <c r="I50" s="218">
        <f t="shared" si="0"/>
        <v>2730000</v>
      </c>
      <c r="J50" s="50"/>
      <c r="M50" s="1016"/>
      <c r="N50" s="248">
        <v>9230000</v>
      </c>
      <c r="O50" s="249"/>
    </row>
    <row r="51" spans="1:15" ht="21.75" customHeight="1" x14ac:dyDescent="0.25">
      <c r="A51" s="124"/>
      <c r="B51" s="124"/>
      <c r="C51" s="214"/>
      <c r="D51" s="247"/>
      <c r="E51" s="215"/>
      <c r="F51" s="226"/>
      <c r="G51" s="226"/>
      <c r="H51" s="259"/>
      <c r="I51" s="218">
        <f t="shared" si="0"/>
        <v>0</v>
      </c>
      <c r="J51" s="50"/>
      <c r="M51" s="98"/>
    </row>
    <row r="52" spans="1:15" ht="18" customHeight="1" x14ac:dyDescent="0.25">
      <c r="A52" s="124">
        <v>18</v>
      </c>
      <c r="B52" s="124">
        <v>7070</v>
      </c>
      <c r="C52" s="251" t="s">
        <v>740</v>
      </c>
      <c r="D52" s="221" t="s">
        <v>741</v>
      </c>
      <c r="E52" s="252">
        <v>1526</v>
      </c>
      <c r="F52" s="216">
        <v>30670000</v>
      </c>
      <c r="G52" s="217">
        <v>31970000</v>
      </c>
      <c r="H52" s="216">
        <v>38500000</v>
      </c>
      <c r="I52" s="218">
        <f t="shared" si="0"/>
        <v>6530000</v>
      </c>
      <c r="J52" s="50"/>
      <c r="O52" s="249"/>
    </row>
    <row r="53" spans="1:15" ht="19.5" customHeight="1" x14ac:dyDescent="0.25">
      <c r="A53" s="124">
        <v>19</v>
      </c>
      <c r="B53" s="124">
        <v>9154</v>
      </c>
      <c r="C53" s="214" t="s">
        <v>811</v>
      </c>
      <c r="D53" s="233" t="s">
        <v>730</v>
      </c>
      <c r="E53" s="215">
        <v>480</v>
      </c>
      <c r="F53" s="216">
        <v>310000</v>
      </c>
      <c r="G53" s="217">
        <v>380000</v>
      </c>
      <c r="H53" s="216">
        <v>350000</v>
      </c>
      <c r="I53" s="218">
        <f t="shared" si="0"/>
        <v>-30000</v>
      </c>
      <c r="J53" s="50"/>
      <c r="O53" s="249"/>
    </row>
    <row r="54" spans="1:15" ht="15" customHeight="1" thickBot="1" x14ac:dyDescent="0.3">
      <c r="A54" s="124"/>
      <c r="B54" s="124"/>
      <c r="C54" s="253"/>
      <c r="D54" s="233"/>
      <c r="E54" s="215"/>
      <c r="F54" s="226"/>
      <c r="G54" s="226"/>
      <c r="H54" s="226"/>
      <c r="I54" s="218">
        <f t="shared" si="0"/>
        <v>0</v>
      </c>
      <c r="J54" s="50"/>
    </row>
    <row r="55" spans="1:15" ht="15" customHeight="1" thickBot="1" x14ac:dyDescent="0.3">
      <c r="A55" s="124"/>
      <c r="B55" s="223"/>
      <c r="C55" s="245" t="s">
        <v>841</v>
      </c>
      <c r="D55" s="229"/>
      <c r="E55" s="222"/>
      <c r="F55" s="226"/>
      <c r="G55" s="226"/>
      <c r="H55" s="226"/>
      <c r="I55" s="218">
        <f t="shared" si="0"/>
        <v>0</v>
      </c>
      <c r="J55" s="50"/>
      <c r="O55" s="101"/>
    </row>
    <row r="56" spans="1:15" ht="15" customHeight="1" x14ac:dyDescent="0.25">
      <c r="A56" s="124">
        <v>20</v>
      </c>
      <c r="B56" s="124">
        <v>7079</v>
      </c>
      <c r="C56" s="254" t="s">
        <v>831</v>
      </c>
      <c r="D56" s="233" t="s">
        <v>726</v>
      </c>
      <c r="E56" s="215">
        <v>54892</v>
      </c>
      <c r="F56" s="216">
        <v>40000000</v>
      </c>
      <c r="G56" s="217">
        <v>40000000</v>
      </c>
      <c r="H56" s="216">
        <v>40000000</v>
      </c>
      <c r="I56" s="218">
        <f t="shared" si="0"/>
        <v>0</v>
      </c>
      <c r="J56" s="50"/>
    </row>
    <row r="57" spans="1:15" ht="15" customHeight="1" x14ac:dyDescent="0.25">
      <c r="A57" s="124">
        <v>21</v>
      </c>
      <c r="B57" s="124">
        <v>7078</v>
      </c>
      <c r="C57" s="214" t="s">
        <v>832</v>
      </c>
      <c r="D57" s="247" t="s">
        <v>735</v>
      </c>
      <c r="E57" s="215">
        <f>1000+1000</f>
        <v>2000</v>
      </c>
      <c r="F57" s="216">
        <v>980000</v>
      </c>
      <c r="G57" s="217">
        <v>1000000</v>
      </c>
      <c r="H57" s="216">
        <v>1400000</v>
      </c>
      <c r="I57" s="218">
        <f t="shared" si="0"/>
        <v>400000</v>
      </c>
      <c r="J57" s="50"/>
    </row>
    <row r="58" spans="1:15" ht="18.75" customHeight="1" x14ac:dyDescent="0.25">
      <c r="A58" s="124">
        <v>22</v>
      </c>
      <c r="B58" s="124">
        <v>9152</v>
      </c>
      <c r="C58" s="214" t="s">
        <v>866</v>
      </c>
      <c r="D58" s="233" t="s">
        <v>867</v>
      </c>
      <c r="E58" s="255">
        <v>10071</v>
      </c>
      <c r="F58" s="1004">
        <f>9060000+810000+3810000+4970000</f>
        <v>18650000</v>
      </c>
      <c r="G58" s="217">
        <v>9060000</v>
      </c>
      <c r="H58" s="381">
        <v>11080000</v>
      </c>
      <c r="I58" s="218">
        <f t="shared" si="0"/>
        <v>2020000</v>
      </c>
      <c r="J58" s="50"/>
      <c r="N58" s="256">
        <v>9060000</v>
      </c>
      <c r="O58" s="249"/>
    </row>
    <row r="59" spans="1:15" ht="18.75" customHeight="1" x14ac:dyDescent="0.25">
      <c r="A59" s="124"/>
      <c r="B59" s="124"/>
      <c r="C59" s="214" t="s">
        <v>865</v>
      </c>
      <c r="D59" s="233" t="s">
        <v>868</v>
      </c>
      <c r="E59" s="255">
        <v>621</v>
      </c>
      <c r="F59" s="1017"/>
      <c r="G59" s="217">
        <v>870000</v>
      </c>
      <c r="H59" s="381">
        <v>810000</v>
      </c>
      <c r="I59" s="218">
        <f t="shared" si="0"/>
        <v>-60000</v>
      </c>
      <c r="J59" s="50"/>
      <c r="N59" s="248">
        <v>870000</v>
      </c>
      <c r="O59" s="249"/>
    </row>
    <row r="60" spans="1:15" ht="18.75" customHeight="1" x14ac:dyDescent="0.25">
      <c r="A60" s="124"/>
      <c r="B60" s="124"/>
      <c r="C60" s="253"/>
      <c r="D60" s="233"/>
      <c r="E60" s="255">
        <v>2928</v>
      </c>
      <c r="F60" s="1017"/>
      <c r="G60" s="217">
        <v>4100000</v>
      </c>
      <c r="H60" s="381">
        <v>3810000</v>
      </c>
      <c r="I60" s="218">
        <f t="shared" si="0"/>
        <v>-290000</v>
      </c>
      <c r="J60" s="50"/>
      <c r="N60" s="248">
        <v>4100000</v>
      </c>
      <c r="O60" s="249"/>
    </row>
    <row r="61" spans="1:15" ht="18.75" customHeight="1" thickBot="1" x14ac:dyDescent="0.3">
      <c r="A61" s="124"/>
      <c r="B61" s="124"/>
      <c r="C61" s="253"/>
      <c r="D61" s="233"/>
      <c r="E61" s="257">
        <v>4125</v>
      </c>
      <c r="F61" s="1005"/>
      <c r="G61" s="217">
        <v>5360000</v>
      </c>
      <c r="H61" s="381">
        <v>4970000</v>
      </c>
      <c r="I61" s="218">
        <f t="shared" si="0"/>
        <v>-390000</v>
      </c>
      <c r="J61" s="50"/>
      <c r="N61" s="248">
        <v>5360000</v>
      </c>
      <c r="O61" s="249"/>
    </row>
    <row r="62" spans="1:15" ht="18" customHeight="1" thickBot="1" x14ac:dyDescent="0.3">
      <c r="A62" s="124"/>
      <c r="B62" s="124"/>
      <c r="C62" s="253"/>
      <c r="D62" s="233"/>
      <c r="E62" s="258">
        <f>SUM(E59:E61)</f>
        <v>7674</v>
      </c>
      <c r="F62" s="259"/>
      <c r="G62" s="259"/>
      <c r="H62" s="259"/>
      <c r="I62" s="218">
        <f t="shared" si="0"/>
        <v>0</v>
      </c>
      <c r="J62" s="50"/>
    </row>
    <row r="63" spans="1:15" ht="15" customHeight="1" thickBot="1" x14ac:dyDescent="0.3">
      <c r="A63" s="124"/>
      <c r="B63" s="124"/>
      <c r="C63" s="244"/>
      <c r="D63" s="221"/>
      <c r="E63" s="260"/>
      <c r="F63" s="226"/>
      <c r="G63" s="226"/>
      <c r="H63" s="226"/>
      <c r="I63" s="218">
        <f t="shared" si="0"/>
        <v>0</v>
      </c>
      <c r="J63" s="50"/>
    </row>
    <row r="64" spans="1:15" ht="15" customHeight="1" thickBot="1" x14ac:dyDescent="0.3">
      <c r="A64" s="124"/>
      <c r="B64" s="223"/>
      <c r="C64" s="245" t="s">
        <v>842</v>
      </c>
      <c r="D64" s="229"/>
      <c r="E64" s="222"/>
      <c r="F64" s="226"/>
      <c r="G64" s="226"/>
      <c r="H64" s="226"/>
      <c r="I64" s="218">
        <f t="shared" si="0"/>
        <v>0</v>
      </c>
      <c r="J64" s="50"/>
    </row>
    <row r="65" spans="1:15" ht="15" customHeight="1" x14ac:dyDescent="0.25">
      <c r="A65" s="124">
        <v>23</v>
      </c>
      <c r="B65" s="124">
        <v>7074</v>
      </c>
      <c r="C65" s="246" t="s">
        <v>833</v>
      </c>
      <c r="D65" s="221" t="s">
        <v>724</v>
      </c>
      <c r="E65" s="231">
        <v>1155</v>
      </c>
      <c r="F65" s="216">
        <v>28410000</v>
      </c>
      <c r="G65" s="217">
        <v>29680000</v>
      </c>
      <c r="H65" s="216">
        <v>28640000</v>
      </c>
      <c r="I65" s="218">
        <f t="shared" si="0"/>
        <v>-1040000</v>
      </c>
      <c r="J65" s="50"/>
    </row>
    <row r="66" spans="1:15" ht="15" customHeight="1" thickBot="1" x14ac:dyDescent="0.3">
      <c r="A66" s="124"/>
      <c r="B66" s="124"/>
      <c r="C66" s="244"/>
      <c r="D66" s="221"/>
      <c r="E66" s="231"/>
      <c r="F66" s="226"/>
      <c r="G66" s="226"/>
      <c r="H66" s="226"/>
      <c r="I66" s="218">
        <f t="shared" si="0"/>
        <v>0</v>
      </c>
      <c r="J66" s="50"/>
    </row>
    <row r="67" spans="1:15" ht="15.75" customHeight="1" thickBot="1" x14ac:dyDescent="0.3">
      <c r="A67" s="124"/>
      <c r="B67" s="223"/>
      <c r="C67" s="245" t="s">
        <v>843</v>
      </c>
      <c r="D67" s="229"/>
      <c r="E67" s="222"/>
      <c r="F67" s="226"/>
      <c r="G67" s="226"/>
      <c r="H67" s="226"/>
      <c r="I67" s="218">
        <f t="shared" si="0"/>
        <v>0</v>
      </c>
      <c r="J67" s="50"/>
    </row>
    <row r="68" spans="1:15" ht="15" customHeight="1" x14ac:dyDescent="0.25">
      <c r="A68" s="124">
        <v>24</v>
      </c>
      <c r="B68" s="124">
        <v>7083</v>
      </c>
      <c r="C68" s="261" t="s">
        <v>808</v>
      </c>
      <c r="D68" s="233" t="s">
        <v>905</v>
      </c>
      <c r="E68" s="215">
        <v>8952</v>
      </c>
      <c r="F68" s="216">
        <v>1610000</v>
      </c>
      <c r="G68" s="217">
        <v>2140000</v>
      </c>
      <c r="H68" s="216">
        <v>2680000</v>
      </c>
      <c r="I68" s="218">
        <f t="shared" si="0"/>
        <v>540000</v>
      </c>
      <c r="J68" s="50"/>
    </row>
    <row r="69" spans="1:15" ht="15" customHeight="1" thickBot="1" x14ac:dyDescent="0.3">
      <c r="A69" s="124"/>
      <c r="B69" s="124"/>
      <c r="C69" s="262"/>
      <c r="D69" s="233"/>
      <c r="E69" s="215"/>
      <c r="F69" s="226"/>
      <c r="G69" s="226"/>
      <c r="H69" s="226"/>
      <c r="I69" s="218">
        <f t="shared" si="0"/>
        <v>0</v>
      </c>
      <c r="J69" s="50"/>
    </row>
    <row r="70" spans="1:15" ht="15" customHeight="1" thickBot="1" x14ac:dyDescent="0.3">
      <c r="A70" s="124"/>
      <c r="B70" s="223"/>
      <c r="C70" s="245" t="s">
        <v>844</v>
      </c>
      <c r="D70" s="263"/>
      <c r="E70" s="215"/>
      <c r="F70" s="226"/>
      <c r="G70" s="226"/>
      <c r="H70" s="226"/>
      <c r="I70" s="218">
        <f t="shared" si="0"/>
        <v>0</v>
      </c>
      <c r="J70" s="50"/>
    </row>
    <row r="71" spans="1:15" ht="15" customHeight="1" x14ac:dyDescent="0.25">
      <c r="A71" s="124">
        <v>25</v>
      </c>
      <c r="B71" s="124">
        <v>7081</v>
      </c>
      <c r="C71" s="261" t="s">
        <v>884</v>
      </c>
      <c r="D71" s="233" t="s">
        <v>727</v>
      </c>
      <c r="E71" s="215">
        <v>4112</v>
      </c>
      <c r="F71" s="216">
        <v>990000</v>
      </c>
      <c r="G71" s="217">
        <v>1360000</v>
      </c>
      <c r="H71" s="216">
        <v>1270000</v>
      </c>
      <c r="I71" s="218">
        <f t="shared" si="0"/>
        <v>-90000</v>
      </c>
      <c r="J71" s="50"/>
    </row>
    <row r="72" spans="1:15" ht="15" customHeight="1" x14ac:dyDescent="0.25">
      <c r="A72" s="124">
        <v>26</v>
      </c>
      <c r="B72" s="124">
        <v>7087</v>
      </c>
      <c r="C72" s="251" t="s">
        <v>869</v>
      </c>
      <c r="D72" s="214" t="s">
        <v>739</v>
      </c>
      <c r="E72" s="215">
        <v>250</v>
      </c>
      <c r="F72" s="216">
        <v>950000</v>
      </c>
      <c r="G72" s="217">
        <v>975000</v>
      </c>
      <c r="H72" s="216">
        <v>1080000</v>
      </c>
      <c r="I72" s="218">
        <f t="shared" si="0"/>
        <v>105000</v>
      </c>
      <c r="J72" s="50"/>
    </row>
    <row r="73" spans="1:15" ht="32.25" customHeight="1" x14ac:dyDescent="0.25">
      <c r="A73" s="124">
        <v>27</v>
      </c>
      <c r="B73" s="124">
        <v>9149</v>
      </c>
      <c r="C73" s="214" t="s">
        <v>870</v>
      </c>
      <c r="D73" s="247" t="s">
        <v>906</v>
      </c>
      <c r="E73" s="215">
        <v>716</v>
      </c>
      <c r="F73" s="1004">
        <v>740000</v>
      </c>
      <c r="G73" s="217">
        <v>600000</v>
      </c>
      <c r="H73" s="216">
        <v>440000</v>
      </c>
      <c r="I73" s="218">
        <f t="shared" si="0"/>
        <v>-160000</v>
      </c>
      <c r="J73" s="50"/>
      <c r="M73" s="1016"/>
      <c r="N73" t="s">
        <v>1129</v>
      </c>
      <c r="O73" s="249"/>
    </row>
    <row r="74" spans="1:15" ht="30.75" customHeight="1" x14ac:dyDescent="0.25">
      <c r="A74" s="124"/>
      <c r="B74" s="124"/>
      <c r="C74" s="253" t="s">
        <v>871</v>
      </c>
      <c r="D74" s="247" t="s">
        <v>907</v>
      </c>
      <c r="E74" s="215">
        <v>550</v>
      </c>
      <c r="F74" s="1005"/>
      <c r="G74" s="217">
        <v>460000</v>
      </c>
      <c r="H74" s="216">
        <v>340000</v>
      </c>
      <c r="I74" s="218">
        <f t="shared" si="0"/>
        <v>-120000</v>
      </c>
      <c r="J74" s="50"/>
      <c r="M74" s="1016"/>
      <c r="N74" t="s">
        <v>1129</v>
      </c>
      <c r="O74" s="249"/>
    </row>
    <row r="75" spans="1:15" ht="30.75" customHeight="1" x14ac:dyDescent="0.25">
      <c r="A75" s="124"/>
      <c r="B75" s="124">
        <v>9485</v>
      </c>
      <c r="C75" s="253" t="s">
        <v>1135</v>
      </c>
      <c r="D75" s="247" t="s">
        <v>1136</v>
      </c>
      <c r="E75" s="215">
        <v>180</v>
      </c>
      <c r="F75" s="384"/>
      <c r="G75" s="217"/>
      <c r="H75" s="216"/>
      <c r="I75" s="218">
        <f t="shared" si="0"/>
        <v>0</v>
      </c>
      <c r="J75" s="50"/>
      <c r="M75" s="98"/>
      <c r="O75" s="249"/>
    </row>
    <row r="76" spans="1:15" ht="15" customHeight="1" x14ac:dyDescent="0.25">
      <c r="A76" s="124"/>
      <c r="B76" s="124"/>
      <c r="C76" s="262"/>
      <c r="D76" s="233"/>
      <c r="E76" s="215"/>
      <c r="F76" s="226"/>
      <c r="G76" s="226"/>
      <c r="H76" s="226"/>
      <c r="I76" s="218">
        <f t="shared" si="0"/>
        <v>0</v>
      </c>
      <c r="J76" s="50"/>
    </row>
    <row r="77" spans="1:15" ht="15" customHeight="1" thickBot="1" x14ac:dyDescent="0.3">
      <c r="A77" s="124"/>
      <c r="B77" s="223"/>
      <c r="C77" s="265"/>
      <c r="D77" s="263"/>
      <c r="E77" s="215"/>
      <c r="F77" s="226"/>
      <c r="G77" s="226"/>
      <c r="H77" s="226"/>
      <c r="I77" s="218">
        <f t="shared" ref="I77:I128" si="1">H77-G77</f>
        <v>0</v>
      </c>
      <c r="J77" s="50"/>
    </row>
    <row r="78" spans="1:15" ht="18" customHeight="1" thickBot="1" x14ac:dyDescent="0.3">
      <c r="A78" s="124"/>
      <c r="B78" s="223"/>
      <c r="C78" s="245" t="s">
        <v>845</v>
      </c>
      <c r="D78" s="263"/>
      <c r="E78" s="215"/>
      <c r="F78" s="226"/>
      <c r="G78" s="226"/>
      <c r="H78" s="226"/>
      <c r="I78" s="218">
        <f t="shared" si="1"/>
        <v>0</v>
      </c>
      <c r="J78" s="50"/>
    </row>
    <row r="79" spans="1:15" ht="15" customHeight="1" x14ac:dyDescent="0.25">
      <c r="A79" s="124">
        <v>28</v>
      </c>
      <c r="B79" s="124">
        <v>7063</v>
      </c>
      <c r="C79" s="246" t="s">
        <v>872</v>
      </c>
      <c r="D79" s="214">
        <v>47955</v>
      </c>
      <c r="E79" s="215">
        <v>244</v>
      </c>
      <c r="F79" s="216">
        <v>7150000</v>
      </c>
      <c r="G79" s="217">
        <v>8490000</v>
      </c>
      <c r="H79" s="216">
        <v>7560000</v>
      </c>
      <c r="I79" s="218">
        <f t="shared" si="1"/>
        <v>-930000</v>
      </c>
      <c r="J79" s="50"/>
      <c r="N79" s="266"/>
    </row>
    <row r="80" spans="1:15" ht="15" customHeight="1" x14ac:dyDescent="0.25">
      <c r="A80" s="124">
        <v>29</v>
      </c>
      <c r="B80" s="124">
        <v>7039</v>
      </c>
      <c r="C80" s="251" t="s">
        <v>738</v>
      </c>
      <c r="D80" s="214">
        <v>120017</v>
      </c>
      <c r="E80" s="215">
        <v>8901</v>
      </c>
      <c r="F80" s="216">
        <v>28860000</v>
      </c>
      <c r="G80" s="217">
        <v>29380000</v>
      </c>
      <c r="H80" s="216">
        <v>29400000</v>
      </c>
      <c r="I80" s="218">
        <f t="shared" si="1"/>
        <v>20000</v>
      </c>
      <c r="J80" s="50"/>
      <c r="N80" s="266"/>
    </row>
    <row r="81" spans="1:14" ht="15" customHeight="1" x14ac:dyDescent="0.25">
      <c r="A81" s="124"/>
      <c r="B81" s="124"/>
      <c r="C81" s="244"/>
      <c r="D81" s="214"/>
      <c r="E81" s="215"/>
      <c r="F81" s="226"/>
      <c r="G81" s="226"/>
      <c r="H81" s="226"/>
      <c r="I81" s="218">
        <f t="shared" si="1"/>
        <v>0</v>
      </c>
      <c r="J81" s="50"/>
      <c r="N81" s="266"/>
    </row>
    <row r="82" spans="1:14" ht="15" customHeight="1" thickBot="1" x14ac:dyDescent="0.3">
      <c r="A82" s="124"/>
      <c r="B82" s="124"/>
      <c r="C82" s="244"/>
      <c r="D82" s="214"/>
      <c r="E82" s="215"/>
      <c r="F82" s="226"/>
      <c r="G82" s="226"/>
      <c r="H82" s="226"/>
      <c r="I82" s="218">
        <f t="shared" si="1"/>
        <v>0</v>
      </c>
      <c r="J82" s="50"/>
    </row>
    <row r="83" spans="1:14" ht="21.75" customHeight="1" thickBot="1" x14ac:dyDescent="0.3">
      <c r="A83" s="124"/>
      <c r="B83" s="223"/>
      <c r="C83" s="245" t="s">
        <v>846</v>
      </c>
      <c r="D83" s="225"/>
      <c r="E83" s="215"/>
      <c r="F83" s="226"/>
      <c r="G83" s="226"/>
      <c r="H83" s="226"/>
      <c r="I83" s="218">
        <f t="shared" si="1"/>
        <v>0</v>
      </c>
      <c r="J83" s="50"/>
    </row>
    <row r="84" spans="1:14" ht="33.75" customHeight="1" x14ac:dyDescent="0.25">
      <c r="A84" s="124">
        <v>30</v>
      </c>
      <c r="B84" s="124">
        <v>7036</v>
      </c>
      <c r="C84" s="246" t="s">
        <v>859</v>
      </c>
      <c r="D84" s="214" t="s">
        <v>908</v>
      </c>
      <c r="E84" s="255">
        <v>191773</v>
      </c>
      <c r="F84" s="267">
        <v>345190000</v>
      </c>
      <c r="G84" s="236">
        <v>421900000</v>
      </c>
      <c r="H84" s="267">
        <v>536960000</v>
      </c>
      <c r="I84" s="218">
        <f t="shared" si="1"/>
        <v>115060000</v>
      </c>
      <c r="J84" s="50"/>
      <c r="N84" s="266"/>
    </row>
    <row r="85" spans="1:14" ht="34.5" customHeight="1" x14ac:dyDescent="0.25">
      <c r="A85" s="124"/>
      <c r="B85" s="124">
        <v>7036</v>
      </c>
      <c r="C85" s="246" t="s">
        <v>860</v>
      </c>
      <c r="D85" s="235" t="s">
        <v>909</v>
      </c>
      <c r="E85" s="255" t="s">
        <v>861</v>
      </c>
      <c r="F85" s="216">
        <v>202740000</v>
      </c>
      <c r="G85" s="217">
        <v>210540000</v>
      </c>
      <c r="H85" s="216">
        <v>218340000</v>
      </c>
      <c r="I85" s="218">
        <f t="shared" si="1"/>
        <v>7800000</v>
      </c>
      <c r="J85" s="50"/>
      <c r="N85" s="266"/>
    </row>
    <row r="86" spans="1:14" ht="34.5" customHeight="1" x14ac:dyDescent="0.25">
      <c r="A86" s="124">
        <v>31</v>
      </c>
      <c r="B86" s="124">
        <v>9344</v>
      </c>
      <c r="C86" s="268" t="s">
        <v>1109</v>
      </c>
      <c r="D86" s="235"/>
      <c r="E86" s="255" t="s">
        <v>1110</v>
      </c>
      <c r="F86" s="216">
        <v>480000</v>
      </c>
      <c r="G86" s="217">
        <v>510000</v>
      </c>
      <c r="H86" s="216">
        <v>663000</v>
      </c>
      <c r="I86" s="218">
        <f t="shared" si="1"/>
        <v>153000</v>
      </c>
      <c r="J86" s="50"/>
      <c r="N86" s="266"/>
    </row>
    <row r="87" spans="1:14" ht="15" customHeight="1" thickBot="1" x14ac:dyDescent="0.3">
      <c r="A87" s="124"/>
      <c r="B87" s="124"/>
      <c r="C87" s="244"/>
      <c r="D87" s="214"/>
      <c r="E87" s="255"/>
      <c r="F87" s="226"/>
      <c r="G87" s="226"/>
      <c r="H87" s="226"/>
      <c r="I87" s="218">
        <f t="shared" si="1"/>
        <v>0</v>
      </c>
      <c r="J87" s="50"/>
    </row>
    <row r="88" spans="1:14" ht="15.75" customHeight="1" thickBot="1" x14ac:dyDescent="0.3">
      <c r="A88" s="124"/>
      <c r="B88" s="223"/>
      <c r="C88" s="245" t="s">
        <v>847</v>
      </c>
      <c r="D88" s="225"/>
      <c r="E88" s="215"/>
      <c r="F88" s="226"/>
      <c r="G88" s="226"/>
      <c r="H88" s="226"/>
      <c r="I88" s="218">
        <f t="shared" si="1"/>
        <v>0</v>
      </c>
      <c r="J88" s="50"/>
    </row>
    <row r="89" spans="1:14" ht="15" customHeight="1" x14ac:dyDescent="0.25">
      <c r="A89" s="124">
        <v>32</v>
      </c>
      <c r="B89" s="124">
        <v>9155</v>
      </c>
      <c r="C89" s="254" t="s">
        <v>812</v>
      </c>
      <c r="D89" s="233" t="s">
        <v>731</v>
      </c>
      <c r="E89" s="215">
        <v>1131</v>
      </c>
      <c r="F89" s="216">
        <v>2490000</v>
      </c>
      <c r="G89" s="217">
        <v>2490000</v>
      </c>
      <c r="H89" s="216">
        <v>2490000</v>
      </c>
      <c r="I89" s="218">
        <f t="shared" si="1"/>
        <v>0</v>
      </c>
      <c r="J89" s="50"/>
      <c r="N89" s="266"/>
    </row>
    <row r="90" spans="1:14" ht="17.25" customHeight="1" thickBot="1" x14ac:dyDescent="0.3">
      <c r="A90" s="124"/>
      <c r="B90" s="124"/>
      <c r="C90" s="244"/>
      <c r="D90" s="214"/>
      <c r="E90" s="215"/>
      <c r="F90" s="226"/>
      <c r="G90" s="226"/>
      <c r="H90" s="226"/>
      <c r="I90" s="218">
        <f t="shared" si="1"/>
        <v>0</v>
      </c>
      <c r="J90" s="50"/>
    </row>
    <row r="91" spans="1:14" ht="15" customHeight="1" thickBot="1" x14ac:dyDescent="0.3">
      <c r="A91" s="85"/>
      <c r="B91" s="269"/>
      <c r="C91" s="245" t="s">
        <v>848</v>
      </c>
      <c r="D91" s="136"/>
      <c r="E91" s="70"/>
      <c r="F91" s="195"/>
      <c r="G91" s="195"/>
      <c r="H91" s="195"/>
      <c r="I91" s="218">
        <f t="shared" si="1"/>
        <v>0</v>
      </c>
      <c r="J91" s="50">
        <f>I22</f>
        <v>38063000</v>
      </c>
    </row>
    <row r="92" spans="1:14" ht="15" customHeight="1" x14ac:dyDescent="0.25">
      <c r="A92" s="124">
        <v>33</v>
      </c>
      <c r="B92" s="124">
        <v>9151</v>
      </c>
      <c r="C92" s="254" t="s">
        <v>814</v>
      </c>
      <c r="D92" s="270" t="s">
        <v>734</v>
      </c>
      <c r="E92" s="215">
        <v>400</v>
      </c>
      <c r="F92" s="216">
        <v>2880000</v>
      </c>
      <c r="G92" s="217">
        <v>3120000</v>
      </c>
      <c r="H92" s="216">
        <v>2880000</v>
      </c>
      <c r="I92" s="218">
        <f t="shared" si="1"/>
        <v>-240000</v>
      </c>
      <c r="J92" s="50">
        <f>I116</f>
        <v>301740000</v>
      </c>
      <c r="K92" s="72"/>
      <c r="L92" s="108"/>
      <c r="N92" s="266"/>
    </row>
    <row r="93" spans="1:14" ht="16.5" customHeight="1" thickBot="1" x14ac:dyDescent="0.3">
      <c r="A93" s="124"/>
      <c r="B93" s="124"/>
      <c r="C93" s="253"/>
      <c r="D93" s="270"/>
      <c r="E93" s="215"/>
      <c r="F93" s="226"/>
      <c r="G93" s="226"/>
      <c r="H93" s="226"/>
      <c r="I93" s="218">
        <f t="shared" si="1"/>
        <v>0</v>
      </c>
      <c r="J93" s="50"/>
      <c r="K93" s="72"/>
      <c r="L93" s="108"/>
    </row>
    <row r="94" spans="1:14" ht="23.25" customHeight="1" thickBot="1" x14ac:dyDescent="0.3">
      <c r="A94" s="85"/>
      <c r="B94" s="269"/>
      <c r="C94" s="245" t="s">
        <v>888</v>
      </c>
      <c r="D94" s="136"/>
      <c r="E94" s="70"/>
      <c r="F94" s="195"/>
      <c r="G94" s="195"/>
      <c r="H94" s="195"/>
      <c r="I94" s="218">
        <f t="shared" si="1"/>
        <v>0</v>
      </c>
      <c r="J94" s="50">
        <f>I16</f>
        <v>179757000</v>
      </c>
      <c r="K94" s="72"/>
      <c r="L94" s="108"/>
    </row>
    <row r="95" spans="1:14" ht="15" customHeight="1" x14ac:dyDescent="0.25">
      <c r="A95" s="124">
        <v>34</v>
      </c>
      <c r="B95" s="124">
        <v>7049</v>
      </c>
      <c r="C95" s="246" t="s">
        <v>745</v>
      </c>
      <c r="D95" s="221" t="s">
        <v>719</v>
      </c>
      <c r="E95" s="231">
        <v>1583</v>
      </c>
      <c r="F95" s="216">
        <v>102900000</v>
      </c>
      <c r="G95" s="217">
        <v>104480000</v>
      </c>
      <c r="H95" s="216">
        <v>104480000</v>
      </c>
      <c r="I95" s="218">
        <f t="shared" si="1"/>
        <v>0</v>
      </c>
      <c r="J95" s="50">
        <f>I100</f>
        <v>65360000</v>
      </c>
      <c r="K95" s="72"/>
      <c r="L95" s="108"/>
      <c r="N95" s="266"/>
    </row>
    <row r="96" spans="1:14" ht="36" customHeight="1" x14ac:dyDescent="0.25">
      <c r="A96" s="124">
        <v>35</v>
      </c>
      <c r="B96" s="124">
        <v>7051</v>
      </c>
      <c r="C96" s="251" t="s">
        <v>805</v>
      </c>
      <c r="D96" s="214" t="s">
        <v>718</v>
      </c>
      <c r="E96" s="215">
        <v>13197</v>
      </c>
      <c r="F96" s="216">
        <v>299570000</v>
      </c>
      <c r="G96" s="217">
        <v>298250000</v>
      </c>
      <c r="H96" s="216">
        <v>364240000</v>
      </c>
      <c r="I96" s="218">
        <f t="shared" si="1"/>
        <v>65990000</v>
      </c>
      <c r="J96" s="50">
        <f>I125</f>
        <v>299513500</v>
      </c>
      <c r="K96" s="72"/>
      <c r="L96" s="108"/>
      <c r="N96" s="266"/>
    </row>
    <row r="97" spans="1:14" ht="18.75" customHeight="1" thickBot="1" x14ac:dyDescent="0.3">
      <c r="A97" s="124"/>
      <c r="B97" s="124"/>
      <c r="C97" s="244"/>
      <c r="D97" s="214"/>
      <c r="E97" s="215"/>
      <c r="F97" s="226"/>
      <c r="G97" s="226"/>
      <c r="H97" s="226"/>
      <c r="I97" s="218">
        <f t="shared" si="1"/>
        <v>0</v>
      </c>
      <c r="J97" s="50"/>
      <c r="K97" s="72"/>
      <c r="L97" s="108"/>
    </row>
    <row r="98" spans="1:14" ht="23.25" customHeight="1" thickBot="1" x14ac:dyDescent="0.3">
      <c r="A98" s="85"/>
      <c r="B98" s="269"/>
      <c r="C98" s="245" t="s">
        <v>849</v>
      </c>
      <c r="D98" s="136"/>
      <c r="E98" s="70"/>
      <c r="F98" s="195"/>
      <c r="G98" s="195"/>
      <c r="H98" s="195"/>
      <c r="I98" s="218">
        <f t="shared" si="1"/>
        <v>0</v>
      </c>
      <c r="J98" s="50">
        <f>I84</f>
        <v>115060000</v>
      </c>
      <c r="K98" s="72"/>
      <c r="L98" s="108"/>
    </row>
    <row r="99" spans="1:14" ht="17.25" customHeight="1" x14ac:dyDescent="0.25">
      <c r="A99" s="124">
        <v>36</v>
      </c>
      <c r="B99" s="124">
        <v>7053</v>
      </c>
      <c r="C99" s="246" t="s">
        <v>721</v>
      </c>
      <c r="D99" s="271" t="s">
        <v>834</v>
      </c>
      <c r="E99" s="222">
        <v>5297</v>
      </c>
      <c r="F99" s="216">
        <v>37610000</v>
      </c>
      <c r="G99" s="217">
        <v>40260000</v>
      </c>
      <c r="H99" s="216">
        <v>41320000</v>
      </c>
      <c r="I99" s="218">
        <f t="shared" si="1"/>
        <v>1060000</v>
      </c>
      <c r="J99" s="50">
        <f>I17</f>
        <v>184170000</v>
      </c>
      <c r="K99" s="72"/>
      <c r="L99" s="108"/>
      <c r="N99" s="266"/>
    </row>
    <row r="100" spans="1:14" ht="18" customHeight="1" x14ac:dyDescent="0.25">
      <c r="A100" s="124">
        <v>37</v>
      </c>
      <c r="B100" s="124">
        <v>7055</v>
      </c>
      <c r="C100" s="251" t="s">
        <v>894</v>
      </c>
      <c r="D100" s="221" t="s">
        <v>716</v>
      </c>
      <c r="E100" s="222">
        <v>50276</v>
      </c>
      <c r="F100" s="216">
        <v>759170000</v>
      </c>
      <c r="G100" s="217">
        <v>965300000</v>
      </c>
      <c r="H100" s="216">
        <v>1030660000</v>
      </c>
      <c r="I100" s="218">
        <f t="shared" si="1"/>
        <v>65360000</v>
      </c>
      <c r="J100" s="50">
        <f>I25</f>
        <v>9850000</v>
      </c>
      <c r="K100" s="72"/>
      <c r="L100" s="108"/>
      <c r="N100" s="266"/>
    </row>
    <row r="101" spans="1:14" ht="16.5" customHeight="1" x14ac:dyDescent="0.25">
      <c r="A101" s="124">
        <v>38</v>
      </c>
      <c r="B101" s="124">
        <v>9150</v>
      </c>
      <c r="C101" s="214" t="s">
        <v>873</v>
      </c>
      <c r="D101" s="270" t="s">
        <v>732</v>
      </c>
      <c r="E101" s="215">
        <v>613</v>
      </c>
      <c r="F101" s="216">
        <v>36900000</v>
      </c>
      <c r="G101" s="217">
        <v>37580000</v>
      </c>
      <c r="H101" s="216">
        <v>36900000</v>
      </c>
      <c r="I101" s="218">
        <f t="shared" si="1"/>
        <v>-680000</v>
      </c>
      <c r="J101" s="50"/>
      <c r="K101" s="72"/>
      <c r="L101" s="108"/>
      <c r="N101" s="266"/>
    </row>
    <row r="102" spans="1:14" ht="20.25" customHeight="1" x14ac:dyDescent="0.25">
      <c r="A102" s="124">
        <v>39</v>
      </c>
      <c r="B102" s="124">
        <v>7085</v>
      </c>
      <c r="C102" s="214" t="s">
        <v>838</v>
      </c>
      <c r="D102" s="233" t="s">
        <v>728</v>
      </c>
      <c r="E102" s="215">
        <v>232</v>
      </c>
      <c r="F102" s="216">
        <v>3040000</v>
      </c>
      <c r="G102" s="217">
        <v>3340000</v>
      </c>
      <c r="H102" s="216">
        <v>3180000</v>
      </c>
      <c r="I102" s="218">
        <f t="shared" si="1"/>
        <v>-160000</v>
      </c>
      <c r="J102" s="50"/>
      <c r="K102" s="72"/>
      <c r="L102" s="108"/>
      <c r="N102" s="266"/>
    </row>
    <row r="103" spans="1:14" ht="20.25" customHeight="1" thickBot="1" x14ac:dyDescent="0.3">
      <c r="A103" s="124"/>
      <c r="B103" s="124"/>
      <c r="C103" s="253"/>
      <c r="D103" s="233"/>
      <c r="E103" s="215"/>
      <c r="F103" s="226"/>
      <c r="G103" s="226"/>
      <c r="H103" s="226"/>
      <c r="I103" s="218">
        <f t="shared" si="1"/>
        <v>0</v>
      </c>
      <c r="J103" s="50"/>
      <c r="K103" s="72"/>
      <c r="L103" s="108"/>
    </row>
    <row r="104" spans="1:14" ht="15" customHeight="1" thickBot="1" x14ac:dyDescent="0.3">
      <c r="A104" s="85"/>
      <c r="B104" s="269"/>
      <c r="C104" s="245" t="s">
        <v>850</v>
      </c>
      <c r="D104" s="136"/>
      <c r="E104" s="70"/>
      <c r="F104" s="195"/>
      <c r="G104" s="195"/>
      <c r="H104" s="195"/>
      <c r="I104" s="218">
        <f t="shared" si="1"/>
        <v>0</v>
      </c>
      <c r="J104" s="50"/>
      <c r="K104" s="72"/>
      <c r="L104" s="108"/>
    </row>
    <row r="105" spans="1:14" ht="15" customHeight="1" x14ac:dyDescent="0.25">
      <c r="A105" s="124">
        <v>40</v>
      </c>
      <c r="B105" s="124">
        <v>8881</v>
      </c>
      <c r="C105" s="246" t="s">
        <v>874</v>
      </c>
      <c r="D105" s="214">
        <v>8619</v>
      </c>
      <c r="E105" s="215">
        <v>3850</v>
      </c>
      <c r="F105" s="216">
        <v>13030000</v>
      </c>
      <c r="G105" s="217">
        <v>13770000</v>
      </c>
      <c r="H105" s="216">
        <v>18990000</v>
      </c>
      <c r="I105" s="218">
        <f t="shared" si="1"/>
        <v>5220000</v>
      </c>
      <c r="J105" s="50"/>
      <c r="K105" s="72"/>
      <c r="L105" s="108"/>
      <c r="N105" s="266"/>
    </row>
    <row r="106" spans="1:14" ht="15" customHeight="1" thickBot="1" x14ac:dyDescent="0.3">
      <c r="A106" s="124"/>
      <c r="B106" s="124"/>
      <c r="C106" s="244"/>
      <c r="D106" s="214"/>
      <c r="E106" s="215"/>
      <c r="F106" s="249"/>
      <c r="G106" s="249"/>
      <c r="H106" s="249"/>
      <c r="I106" s="218">
        <f t="shared" si="1"/>
        <v>0</v>
      </c>
      <c r="J106" s="50"/>
      <c r="K106" s="72"/>
      <c r="L106" s="108"/>
      <c r="N106" s="108"/>
    </row>
    <row r="107" spans="1:14" ht="17.25" customHeight="1" thickBot="1" x14ac:dyDescent="0.3">
      <c r="A107" s="85"/>
      <c r="B107" s="269"/>
      <c r="C107" s="245" t="s">
        <v>851</v>
      </c>
      <c r="D107" s="136"/>
      <c r="E107" s="70"/>
      <c r="F107" s="195"/>
      <c r="G107" s="195"/>
      <c r="H107" s="195"/>
      <c r="I107" s="218">
        <f t="shared" si="1"/>
        <v>0</v>
      </c>
      <c r="J107" s="50"/>
      <c r="K107" s="72"/>
      <c r="L107" s="108"/>
    </row>
    <row r="108" spans="1:14" ht="18" customHeight="1" x14ac:dyDescent="0.25">
      <c r="A108" s="124">
        <v>41</v>
      </c>
      <c r="B108" s="124">
        <v>7040</v>
      </c>
      <c r="C108" s="246" t="s">
        <v>836</v>
      </c>
      <c r="D108" s="247" t="s">
        <v>720</v>
      </c>
      <c r="E108" s="227">
        <v>631913</v>
      </c>
      <c r="F108" s="216">
        <v>853082550</v>
      </c>
      <c r="G108" s="217">
        <f>E108*1200</f>
        <v>758295600</v>
      </c>
      <c r="H108" s="216">
        <f>E108*1300</f>
        <v>821486900</v>
      </c>
      <c r="I108" s="218">
        <f t="shared" si="1"/>
        <v>63191300</v>
      </c>
      <c r="J108" s="50"/>
      <c r="K108" s="72"/>
      <c r="L108" s="108"/>
      <c r="N108" s="266"/>
    </row>
    <row r="109" spans="1:14" ht="32.25" customHeight="1" thickBot="1" x14ac:dyDescent="0.3">
      <c r="A109" s="124">
        <v>42</v>
      </c>
      <c r="B109" s="124">
        <v>5346</v>
      </c>
      <c r="C109" s="251" t="s">
        <v>885</v>
      </c>
      <c r="D109" s="247" t="s">
        <v>720</v>
      </c>
      <c r="E109" s="273">
        <v>1723900.2</v>
      </c>
      <c r="F109" s="216">
        <v>2413460280</v>
      </c>
      <c r="G109" s="217">
        <f>E109*1700</f>
        <v>2930630340</v>
      </c>
      <c r="H109" s="216">
        <f>E109*3800</f>
        <v>6550820760</v>
      </c>
      <c r="I109" s="218">
        <f t="shared" si="1"/>
        <v>3620190420</v>
      </c>
      <c r="J109" s="50">
        <f>I96</f>
        <v>65990000</v>
      </c>
      <c r="K109" s="72"/>
      <c r="L109" s="108"/>
      <c r="N109" s="266"/>
    </row>
    <row r="110" spans="1:14" ht="18" customHeight="1" thickBot="1" x14ac:dyDescent="0.3">
      <c r="A110" s="124"/>
      <c r="B110" s="124"/>
      <c r="C110" s="244"/>
      <c r="D110" s="274" t="s">
        <v>915</v>
      </c>
      <c r="E110" s="275">
        <f>SUM(E108:E109)</f>
        <v>2355813.2000000002</v>
      </c>
      <c r="F110" s="226"/>
      <c r="G110" s="226"/>
      <c r="H110" s="226"/>
      <c r="I110" s="218">
        <f t="shared" si="1"/>
        <v>0</v>
      </c>
      <c r="J110" s="50"/>
      <c r="K110" s="72"/>
      <c r="L110" s="108"/>
      <c r="N110" s="51"/>
    </row>
    <row r="111" spans="1:14" ht="19.5" customHeight="1" thickBot="1" x14ac:dyDescent="0.3">
      <c r="A111" s="124"/>
      <c r="B111" s="223"/>
      <c r="C111" s="245" t="s">
        <v>886</v>
      </c>
      <c r="D111" s="263"/>
      <c r="E111" s="276"/>
      <c r="F111" s="226"/>
      <c r="G111" s="226"/>
      <c r="H111" s="226"/>
      <c r="I111" s="218">
        <f t="shared" si="1"/>
        <v>0</v>
      </c>
      <c r="J111" s="50"/>
      <c r="K111" s="72"/>
      <c r="L111" s="108"/>
      <c r="N111" s="51"/>
    </row>
    <row r="112" spans="1:14" ht="21.75" customHeight="1" x14ac:dyDescent="0.25">
      <c r="A112" s="124">
        <v>43</v>
      </c>
      <c r="B112" s="124">
        <v>7075</v>
      </c>
      <c r="C112" s="246" t="s">
        <v>875</v>
      </c>
      <c r="D112" s="214" t="s">
        <v>736</v>
      </c>
      <c r="E112" s="215">
        <v>6594</v>
      </c>
      <c r="F112" s="216">
        <v>25240000</v>
      </c>
      <c r="G112" s="217">
        <v>26716000</v>
      </c>
      <c r="H112" s="216">
        <v>25870000</v>
      </c>
      <c r="I112" s="218">
        <f t="shared" si="1"/>
        <v>-846000</v>
      </c>
      <c r="J112" s="277"/>
      <c r="K112" s="278"/>
      <c r="L112" s="277"/>
      <c r="M112" s="279"/>
    </row>
    <row r="113" spans="1:15" ht="21" customHeight="1" x14ac:dyDescent="0.25">
      <c r="A113" s="124">
        <v>44</v>
      </c>
      <c r="B113" s="124">
        <v>7052</v>
      </c>
      <c r="C113" s="251" t="s">
        <v>876</v>
      </c>
      <c r="D113" s="235" t="s">
        <v>742</v>
      </c>
      <c r="E113" s="280">
        <v>6933</v>
      </c>
      <c r="F113" s="216">
        <v>7890000</v>
      </c>
      <c r="G113" s="217">
        <v>7890000</v>
      </c>
      <c r="H113" s="216">
        <v>9860000</v>
      </c>
      <c r="I113" s="218">
        <f t="shared" si="1"/>
        <v>1970000</v>
      </c>
      <c r="J113" s="50"/>
      <c r="K113" s="72"/>
      <c r="L113" s="108"/>
      <c r="N113" s="266"/>
    </row>
    <row r="114" spans="1:15" ht="16.5" customHeight="1" thickBot="1" x14ac:dyDescent="0.3">
      <c r="A114" s="124"/>
      <c r="B114" s="124"/>
      <c r="C114" s="244"/>
      <c r="D114" s="235"/>
      <c r="E114" s="280"/>
      <c r="F114" s="226"/>
      <c r="G114" s="226"/>
      <c r="H114" s="226"/>
      <c r="I114" s="218">
        <f t="shared" si="1"/>
        <v>0</v>
      </c>
      <c r="J114" s="50"/>
      <c r="K114" s="72"/>
      <c r="L114" s="108"/>
    </row>
    <row r="115" spans="1:15" ht="20.25" customHeight="1" thickBot="1" x14ac:dyDescent="0.3">
      <c r="A115" s="124"/>
      <c r="B115" s="223"/>
      <c r="C115" s="245" t="s">
        <v>887</v>
      </c>
      <c r="D115" s="263"/>
      <c r="E115" s="281"/>
      <c r="F115" s="226"/>
      <c r="G115" s="226"/>
      <c r="H115" s="226"/>
      <c r="I115" s="218">
        <f t="shared" si="1"/>
        <v>0</v>
      </c>
      <c r="J115" s="50"/>
      <c r="K115" s="72"/>
      <c r="L115" s="108"/>
    </row>
    <row r="116" spans="1:15" ht="21.75" customHeight="1" x14ac:dyDescent="0.25">
      <c r="A116" s="124">
        <v>45</v>
      </c>
      <c r="B116" s="124">
        <v>7034</v>
      </c>
      <c r="C116" s="246" t="s">
        <v>714</v>
      </c>
      <c r="D116" s="221" t="s">
        <v>715</v>
      </c>
      <c r="E116" s="231">
        <v>28900139</v>
      </c>
      <c r="F116" s="216">
        <v>1300090000</v>
      </c>
      <c r="G116" s="217">
        <v>1300090000</v>
      </c>
      <c r="H116" s="216">
        <v>1601830000</v>
      </c>
      <c r="I116" s="218">
        <f t="shared" si="1"/>
        <v>301740000</v>
      </c>
      <c r="J116" s="282"/>
      <c r="K116" s="283"/>
      <c r="L116" s="282"/>
      <c r="M116" s="102"/>
    </row>
    <row r="117" spans="1:15" ht="20.25" customHeight="1" x14ac:dyDescent="0.25">
      <c r="A117" s="124">
        <v>46</v>
      </c>
      <c r="B117" s="124">
        <v>7035</v>
      </c>
      <c r="C117" s="251" t="s">
        <v>807</v>
      </c>
      <c r="D117" s="271" t="s">
        <v>835</v>
      </c>
      <c r="E117" s="231">
        <v>13719</v>
      </c>
      <c r="F117" s="216">
        <v>135870000</v>
      </c>
      <c r="G117" s="217">
        <v>144990000</v>
      </c>
      <c r="H117" s="216">
        <v>163700000</v>
      </c>
      <c r="I117" s="218">
        <f t="shared" si="1"/>
        <v>18710000</v>
      </c>
      <c r="J117" s="50"/>
      <c r="K117" s="72"/>
      <c r="L117" s="108"/>
      <c r="N117" s="266"/>
    </row>
    <row r="118" spans="1:15" ht="19.5" customHeight="1" x14ac:dyDescent="0.25">
      <c r="A118" s="124">
        <v>47</v>
      </c>
      <c r="B118" s="124">
        <v>9156</v>
      </c>
      <c r="C118" s="214" t="s">
        <v>813</v>
      </c>
      <c r="D118" s="270" t="s">
        <v>733</v>
      </c>
      <c r="E118" s="215">
        <v>450</v>
      </c>
      <c r="F118" s="216">
        <v>810000</v>
      </c>
      <c r="G118" s="217">
        <v>860000</v>
      </c>
      <c r="H118" s="216">
        <v>810000</v>
      </c>
      <c r="I118" s="218">
        <f t="shared" si="1"/>
        <v>-50000</v>
      </c>
      <c r="J118" s="50"/>
      <c r="K118" s="72"/>
      <c r="L118" s="108"/>
      <c r="N118" s="266"/>
    </row>
    <row r="119" spans="1:15" ht="31.5" customHeight="1" x14ac:dyDescent="0.25">
      <c r="A119" s="124">
        <v>48</v>
      </c>
      <c r="B119" s="124">
        <v>9147</v>
      </c>
      <c r="C119" s="235" t="s">
        <v>839</v>
      </c>
      <c r="D119" s="247" t="s">
        <v>1111</v>
      </c>
      <c r="E119" s="215">
        <v>669</v>
      </c>
      <c r="F119" s="216">
        <f>800400+2340000-400-800400</f>
        <v>2339600</v>
      </c>
      <c r="G119" s="217">
        <v>2410000</v>
      </c>
      <c r="H119" s="216">
        <v>2480000</v>
      </c>
      <c r="I119" s="218">
        <f t="shared" si="1"/>
        <v>70000</v>
      </c>
      <c r="J119" s="277">
        <f>I117</f>
        <v>18710000</v>
      </c>
      <c r="K119" s="278"/>
      <c r="L119" s="277"/>
      <c r="M119" s="279"/>
      <c r="N119" s="108"/>
      <c r="O119" s="383"/>
    </row>
    <row r="120" spans="1:15" ht="31.5" hidden="1" customHeight="1" x14ac:dyDescent="0.25">
      <c r="A120" s="286"/>
      <c r="B120" s="286"/>
      <c r="C120" s="287" t="s">
        <v>1112</v>
      </c>
      <c r="D120" s="288" t="s">
        <v>1113</v>
      </c>
      <c r="E120" s="289">
        <v>502</v>
      </c>
      <c r="F120" s="290"/>
      <c r="G120" s="239"/>
      <c r="H120" s="382"/>
      <c r="I120" s="218">
        <f t="shared" si="1"/>
        <v>0</v>
      </c>
      <c r="J120" s="282"/>
      <c r="K120" s="283"/>
      <c r="L120" s="282"/>
      <c r="M120" s="102"/>
      <c r="N120" s="282" t="s">
        <v>1114</v>
      </c>
      <c r="O120" s="383"/>
    </row>
    <row r="121" spans="1:15" ht="18.75" customHeight="1" x14ac:dyDescent="0.25">
      <c r="A121" s="124">
        <v>49</v>
      </c>
      <c r="B121" s="124">
        <v>7059</v>
      </c>
      <c r="C121" s="251" t="s">
        <v>890</v>
      </c>
      <c r="D121" s="221" t="s">
        <v>725</v>
      </c>
      <c r="E121" s="231">
        <v>798</v>
      </c>
      <c r="F121" s="216">
        <v>24580000</v>
      </c>
      <c r="G121" s="217">
        <v>27130000</v>
      </c>
      <c r="H121" s="216">
        <v>25300000</v>
      </c>
      <c r="I121" s="218">
        <f t="shared" si="1"/>
        <v>-1830000</v>
      </c>
      <c r="J121" s="50">
        <f>I108</f>
        <v>63191300</v>
      </c>
      <c r="K121" s="72"/>
      <c r="L121" s="108"/>
    </row>
    <row r="122" spans="1:15" ht="18.75" customHeight="1" x14ac:dyDescent="0.25">
      <c r="A122" s="124">
        <v>50</v>
      </c>
      <c r="B122" s="124">
        <v>9285</v>
      </c>
      <c r="C122" s="244" t="s">
        <v>911</v>
      </c>
      <c r="D122" s="221" t="s">
        <v>912</v>
      </c>
      <c r="E122" s="231">
        <v>3352</v>
      </c>
      <c r="F122" s="216">
        <v>7710000</v>
      </c>
      <c r="G122" s="217">
        <v>11060000</v>
      </c>
      <c r="H122" s="216">
        <v>9390000</v>
      </c>
      <c r="I122" s="218">
        <f t="shared" si="1"/>
        <v>-1670000</v>
      </c>
      <c r="J122" s="50"/>
      <c r="K122" s="72"/>
      <c r="L122" s="108"/>
    </row>
    <row r="123" spans="1:15" ht="15" customHeight="1" thickBot="1" x14ac:dyDescent="0.3">
      <c r="A123" s="124"/>
      <c r="B123" s="124"/>
      <c r="C123" s="244"/>
      <c r="D123" s="221"/>
      <c r="E123" s="231"/>
      <c r="F123" s="226"/>
      <c r="G123" s="226"/>
      <c r="H123" s="226"/>
      <c r="I123" s="218">
        <f t="shared" si="1"/>
        <v>0</v>
      </c>
      <c r="J123" s="50"/>
      <c r="K123" s="72"/>
      <c r="L123" s="108"/>
    </row>
    <row r="124" spans="1:15" ht="15" customHeight="1" thickBot="1" x14ac:dyDescent="0.3">
      <c r="A124" s="124"/>
      <c r="B124" s="223"/>
      <c r="C124" s="245" t="s">
        <v>853</v>
      </c>
      <c r="D124" s="229"/>
      <c r="E124" s="231"/>
      <c r="F124" s="226"/>
      <c r="G124" s="226"/>
      <c r="H124" s="226"/>
      <c r="I124" s="218">
        <f t="shared" si="1"/>
        <v>0</v>
      </c>
      <c r="J124" s="50"/>
      <c r="K124" s="72"/>
      <c r="L124" s="108"/>
    </row>
    <row r="125" spans="1:15" ht="15" customHeight="1" x14ac:dyDescent="0.25">
      <c r="A125" s="124">
        <v>51</v>
      </c>
      <c r="B125" s="124">
        <v>7037</v>
      </c>
      <c r="C125" s="246" t="s">
        <v>877</v>
      </c>
      <c r="D125" s="235" t="s">
        <v>795</v>
      </c>
      <c r="E125" s="215">
        <v>249595</v>
      </c>
      <c r="F125" s="216">
        <v>464247000</v>
      </c>
      <c r="G125" s="217">
        <v>524150000</v>
      </c>
      <c r="H125" s="216">
        <v>823663500</v>
      </c>
      <c r="I125" s="218">
        <f t="shared" si="1"/>
        <v>299513500</v>
      </c>
      <c r="J125" s="50">
        <f>I28</f>
        <v>9112500</v>
      </c>
      <c r="K125" s="72"/>
      <c r="L125" s="108"/>
    </row>
    <row r="126" spans="1:15" ht="15" customHeight="1" thickBot="1" x14ac:dyDescent="0.3">
      <c r="A126" s="124"/>
      <c r="B126" s="124"/>
      <c r="C126" s="244"/>
      <c r="D126" s="235"/>
      <c r="E126" s="215"/>
      <c r="F126" s="226"/>
      <c r="G126" s="226"/>
      <c r="H126" s="226"/>
      <c r="I126" s="218">
        <f t="shared" si="1"/>
        <v>0</v>
      </c>
      <c r="J126" s="50"/>
      <c r="K126" s="72"/>
      <c r="L126" s="108"/>
    </row>
    <row r="127" spans="1:15" ht="15" customHeight="1" thickBot="1" x14ac:dyDescent="0.3">
      <c r="A127" s="85"/>
      <c r="B127" s="269"/>
      <c r="C127" s="245" t="s">
        <v>852</v>
      </c>
      <c r="D127" s="136"/>
      <c r="E127" s="70"/>
      <c r="F127" s="195"/>
      <c r="G127" s="195"/>
      <c r="H127" s="195"/>
      <c r="I127" s="218">
        <f t="shared" si="1"/>
        <v>0</v>
      </c>
      <c r="J127" s="50">
        <f>I32</f>
        <v>21430000</v>
      </c>
      <c r="K127" s="72"/>
      <c r="L127" s="108"/>
    </row>
    <row r="128" spans="1:15" ht="18" customHeight="1" x14ac:dyDescent="0.25">
      <c r="A128" s="124">
        <v>52</v>
      </c>
      <c r="B128" s="124">
        <v>7057</v>
      </c>
      <c r="C128" s="246" t="s">
        <v>893</v>
      </c>
      <c r="D128" s="214">
        <v>3106</v>
      </c>
      <c r="E128" s="215">
        <v>9982</v>
      </c>
      <c r="F128" s="216">
        <v>8980000</v>
      </c>
      <c r="G128" s="217">
        <v>8980000</v>
      </c>
      <c r="H128" s="216">
        <v>12980000</v>
      </c>
      <c r="I128" s="218">
        <f t="shared" si="1"/>
        <v>4000000</v>
      </c>
      <c r="J128" s="50">
        <f>I99</f>
        <v>1060000</v>
      </c>
      <c r="K128" s="72"/>
      <c r="L128" s="108"/>
    </row>
    <row r="129" spans="1:14" ht="18" customHeight="1" thickBot="1" x14ac:dyDescent="0.3">
      <c r="A129" s="293"/>
      <c r="B129" s="293"/>
      <c r="C129" s="244"/>
      <c r="D129" s="253"/>
      <c r="E129" s="294"/>
      <c r="F129" s="295"/>
      <c r="G129" s="295"/>
      <c r="H129" s="295"/>
      <c r="I129" s="296"/>
      <c r="J129" s="50"/>
      <c r="K129" s="72"/>
      <c r="L129" s="108"/>
    </row>
    <row r="130" spans="1:14" ht="15" customHeight="1" thickBot="1" x14ac:dyDescent="0.3">
      <c r="A130" s="121"/>
      <c r="B130" s="297"/>
      <c r="C130" s="298" t="s">
        <v>854</v>
      </c>
      <c r="D130" s="299"/>
      <c r="E130" s="299"/>
      <c r="F130" s="300">
        <f>SUM(F11:F128)</f>
        <v>18553533641</v>
      </c>
      <c r="G130" s="300">
        <f>SUM(G11:G128)</f>
        <v>21157473151</v>
      </c>
      <c r="H130" s="300">
        <f>SUM(H11:H128)</f>
        <v>26414198621</v>
      </c>
      <c r="I130" s="301">
        <f>SUM(I11:I128)</f>
        <v>5256725470</v>
      </c>
    </row>
    <row r="131" spans="1:14" ht="15" customHeight="1" x14ac:dyDescent="0.25">
      <c r="A131" s="128"/>
      <c r="B131" s="302"/>
      <c r="C131" s="303"/>
      <c r="D131" s="304"/>
      <c r="E131" s="304"/>
      <c r="F131" s="305"/>
      <c r="G131" s="305"/>
      <c r="H131" s="305"/>
      <c r="I131" s="306"/>
    </row>
    <row r="132" spans="1:14" ht="15" customHeight="1" x14ac:dyDescent="0.25">
      <c r="A132" s="122"/>
      <c r="B132" s="123"/>
      <c r="C132" s="307" t="s">
        <v>796</v>
      </c>
      <c r="D132" s="308"/>
      <c r="E132" s="308"/>
      <c r="F132" s="309"/>
      <c r="G132" s="309"/>
      <c r="H132" s="309"/>
      <c r="I132" s="291"/>
    </row>
    <row r="133" spans="1:14" ht="15" customHeight="1" x14ac:dyDescent="0.25">
      <c r="A133" s="124"/>
      <c r="B133" s="310"/>
      <c r="C133" s="311"/>
      <c r="D133" s="312"/>
      <c r="E133" s="312"/>
      <c r="F133" s="313"/>
      <c r="G133" s="313"/>
      <c r="H133" s="313"/>
      <c r="I133" s="218"/>
    </row>
    <row r="134" spans="1:14" ht="28.5" customHeight="1" x14ac:dyDescent="0.25">
      <c r="A134" s="124">
        <v>53</v>
      </c>
      <c r="B134" s="124">
        <v>8489</v>
      </c>
      <c r="C134" s="251" t="s">
        <v>891</v>
      </c>
      <c r="D134" s="312"/>
      <c r="E134" s="314">
        <v>9584</v>
      </c>
      <c r="F134" s="216">
        <v>139037908.69</v>
      </c>
      <c r="G134" s="217">
        <f>149840000+14870000</f>
        <v>164710000</v>
      </c>
      <c r="H134" s="216">
        <v>205581000</v>
      </c>
      <c r="I134" s="218">
        <f>H134-G134</f>
        <v>40871000</v>
      </c>
    </row>
    <row r="135" spans="1:14" ht="29.25" customHeight="1" x14ac:dyDescent="0.25">
      <c r="A135" s="124">
        <v>54</v>
      </c>
      <c r="B135" s="124">
        <v>8488</v>
      </c>
      <c r="C135" s="251" t="s">
        <v>892</v>
      </c>
      <c r="D135" s="214"/>
      <c r="E135" s="215">
        <v>7012</v>
      </c>
      <c r="F135" s="216">
        <v>96916055.920000002</v>
      </c>
      <c r="G135" s="217">
        <v>96870000</v>
      </c>
      <c r="H135" s="216">
        <v>100473000</v>
      </c>
      <c r="I135" s="218">
        <f>H135-G135</f>
        <v>3603000</v>
      </c>
    </row>
    <row r="136" spans="1:14" ht="45.75" customHeight="1" x14ac:dyDescent="0.25">
      <c r="A136" s="124">
        <v>55</v>
      </c>
      <c r="B136" s="124">
        <v>8834</v>
      </c>
      <c r="C136" s="251" t="s">
        <v>823</v>
      </c>
      <c r="D136" s="271" t="s">
        <v>743</v>
      </c>
      <c r="E136" s="315">
        <v>193.5</v>
      </c>
      <c r="F136" s="216">
        <v>15340000</v>
      </c>
      <c r="G136" s="217">
        <v>15840000</v>
      </c>
      <c r="H136" s="216">
        <v>15824000</v>
      </c>
      <c r="I136" s="218">
        <f>H136-G136</f>
        <v>-16000</v>
      </c>
      <c r="J136" s="87"/>
      <c r="N136" t="s">
        <v>1129</v>
      </c>
    </row>
    <row r="137" spans="1:14" ht="36.75" customHeight="1" x14ac:dyDescent="0.25">
      <c r="A137" s="124">
        <v>56</v>
      </c>
      <c r="B137" s="124">
        <v>8487</v>
      </c>
      <c r="C137" s="251" t="s">
        <v>1115</v>
      </c>
      <c r="D137" s="90" t="s">
        <v>720</v>
      </c>
      <c r="E137" s="312"/>
      <c r="F137" s="316">
        <v>1419375.02</v>
      </c>
      <c r="G137" s="317">
        <v>1060000</v>
      </c>
      <c r="H137" s="316">
        <v>925400</v>
      </c>
      <c r="I137" s="218">
        <f>H137-G137</f>
        <v>-134600</v>
      </c>
      <c r="N137" t="s">
        <v>1129</v>
      </c>
    </row>
    <row r="138" spans="1:14" ht="24" customHeight="1" thickBot="1" x14ac:dyDescent="0.3">
      <c r="A138" s="128">
        <v>57</v>
      </c>
      <c r="B138" s="302">
        <v>9344</v>
      </c>
      <c r="C138" s="268" t="s">
        <v>1116</v>
      </c>
      <c r="D138" s="318"/>
      <c r="E138" s="319"/>
      <c r="F138" s="320">
        <v>240000</v>
      </c>
      <c r="G138" s="321">
        <v>250000</v>
      </c>
      <c r="H138" s="320">
        <v>246000</v>
      </c>
      <c r="I138" s="218">
        <f>H138-G138</f>
        <v>-4000</v>
      </c>
    </row>
    <row r="139" spans="1:14" ht="18.75" customHeight="1" thickBot="1" x14ac:dyDescent="0.3">
      <c r="A139" s="125"/>
      <c r="B139" s="322"/>
      <c r="C139" s="323" t="s">
        <v>855</v>
      </c>
      <c r="D139" s="324"/>
      <c r="E139" s="325"/>
      <c r="F139" s="326">
        <f>SUM(F134:F138)</f>
        <v>252953339.63000003</v>
      </c>
      <c r="G139" s="326">
        <f>SUM(G134:G138)</f>
        <v>278730000</v>
      </c>
      <c r="H139" s="326">
        <f>SUM(H134:H138)</f>
        <v>323049400</v>
      </c>
      <c r="I139" s="327">
        <f>SUM(I133:I138)</f>
        <v>44319400</v>
      </c>
    </row>
    <row r="140" spans="1:14" ht="24" customHeight="1" thickBot="1" x14ac:dyDescent="0.3">
      <c r="A140" s="135"/>
      <c r="B140" s="328"/>
      <c r="C140" s="329"/>
      <c r="D140" s="330"/>
      <c r="E140" s="331"/>
      <c r="F140" s="332"/>
      <c r="G140" s="332"/>
      <c r="H140" s="332"/>
      <c r="I140" s="333"/>
    </row>
    <row r="141" spans="1:14" ht="17.25" customHeight="1" thickBot="1" x14ac:dyDescent="0.3">
      <c r="A141" s="126"/>
      <c r="B141" s="334"/>
      <c r="C141" s="134"/>
      <c r="D141" s="335" t="s">
        <v>889</v>
      </c>
      <c r="E141" s="336"/>
      <c r="F141" s="120">
        <f>F130+F139</f>
        <v>18806486980.630001</v>
      </c>
      <c r="G141" s="120">
        <f>G130+G139</f>
        <v>21436203151</v>
      </c>
      <c r="H141" s="120">
        <f>H130+H139</f>
        <v>26737248021</v>
      </c>
      <c r="I141" s="337">
        <f>I130+I139</f>
        <v>5301044870</v>
      </c>
      <c r="J141" s="53">
        <f>SUM(J32:J137)</f>
        <v>1373007300</v>
      </c>
    </row>
    <row r="142" spans="1:14" x14ac:dyDescent="0.25">
      <c r="C142" s="91"/>
      <c r="D142" s="999"/>
      <c r="E142" s="187"/>
      <c r="F142" s="116"/>
      <c r="G142" s="55"/>
      <c r="H142" s="55"/>
      <c r="I142" s="55"/>
    </row>
    <row r="143" spans="1:14" ht="17.25" hidden="1" x14ac:dyDescent="0.4">
      <c r="C143" s="91"/>
      <c r="D143" s="999"/>
      <c r="E143" s="187"/>
      <c r="F143" s="89"/>
      <c r="I143" s="92"/>
    </row>
    <row r="144" spans="1:14" hidden="1" x14ac:dyDescent="0.25"/>
    <row r="145" spans="7:9" hidden="1" x14ac:dyDescent="0.25"/>
    <row r="146" spans="7:9" hidden="1" x14ac:dyDescent="0.25"/>
    <row r="147" spans="7:9" hidden="1" x14ac:dyDescent="0.25"/>
    <row r="148" spans="7:9" hidden="1" x14ac:dyDescent="0.25">
      <c r="G148" s="93"/>
      <c r="H148" s="94"/>
      <c r="I148" s="94"/>
    </row>
    <row r="149" spans="7:9" hidden="1" x14ac:dyDescent="0.25">
      <c r="G149" s="95"/>
    </row>
    <row r="150" spans="7:9" hidden="1" x14ac:dyDescent="0.25">
      <c r="G150" s="95"/>
    </row>
    <row r="151" spans="7:9" hidden="1" x14ac:dyDescent="0.25">
      <c r="G151" s="95"/>
    </row>
    <row r="152" spans="7:9" hidden="1" x14ac:dyDescent="0.25">
      <c r="G152" s="95"/>
      <c r="I152" s="87"/>
    </row>
    <row r="153" spans="7:9" hidden="1" x14ac:dyDescent="0.25">
      <c r="G153" s="95"/>
    </row>
    <row r="154" spans="7:9" ht="15.75" hidden="1" thickBot="1" x14ac:dyDescent="0.3">
      <c r="G154" s="96"/>
      <c r="H154" s="97"/>
      <c r="I154" s="97"/>
    </row>
    <row r="155" spans="7:9" hidden="1" x14ac:dyDescent="0.25"/>
    <row r="156" spans="7:9" hidden="1" x14ac:dyDescent="0.25"/>
    <row r="157" spans="7:9" hidden="1" x14ac:dyDescent="0.25"/>
    <row r="158" spans="7:9" hidden="1" x14ac:dyDescent="0.25">
      <c r="G158" s="98"/>
      <c r="H158" s="98"/>
      <c r="I158" s="88"/>
    </row>
    <row r="159" spans="7:9" hidden="1" x14ac:dyDescent="0.25"/>
    <row r="160" spans="7:9" hidden="1" x14ac:dyDescent="0.25"/>
    <row r="161" spans="3:9" hidden="1" x14ac:dyDescent="0.25">
      <c r="I161" s="88"/>
    </row>
    <row r="162" spans="3:9" ht="15.75" hidden="1" thickBot="1" x14ac:dyDescent="0.3">
      <c r="I162" s="99"/>
    </row>
    <row r="163" spans="3:9" hidden="1" x14ac:dyDescent="0.25"/>
    <row r="164" spans="3:9" hidden="1" x14ac:dyDescent="0.25"/>
    <row r="165" spans="3:9" hidden="1" x14ac:dyDescent="0.25"/>
    <row r="166" spans="3:9" hidden="1" x14ac:dyDescent="0.25"/>
    <row r="167" spans="3:9" hidden="1" x14ac:dyDescent="0.25">
      <c r="I167" s="88"/>
    </row>
    <row r="168" spans="3:9" ht="15.75" hidden="1" thickBot="1" x14ac:dyDescent="0.3">
      <c r="I168" s="100"/>
    </row>
    <row r="169" spans="3:9" hidden="1" x14ac:dyDescent="0.25"/>
    <row r="170" spans="3:9" x14ac:dyDescent="0.25">
      <c r="G170" s="103"/>
      <c r="H170" s="103"/>
      <c r="I170" s="50"/>
    </row>
    <row r="171" spans="3:9" x14ac:dyDescent="0.25">
      <c r="G171" s="179"/>
      <c r="H171" s="179"/>
      <c r="I171" s="179"/>
    </row>
    <row r="172" spans="3:9" x14ac:dyDescent="0.25">
      <c r="E172" s="108"/>
      <c r="F172" s="51"/>
      <c r="G172" s="50"/>
      <c r="H172" s="50"/>
      <c r="I172" s="50"/>
    </row>
    <row r="173" spans="3:9" hidden="1" x14ac:dyDescent="0.25">
      <c r="C173" t="s">
        <v>924</v>
      </c>
      <c r="E173" s="51"/>
      <c r="F173" s="87"/>
      <c r="G173" s="104"/>
      <c r="H173" s="104"/>
      <c r="I173" s="50"/>
    </row>
    <row r="174" spans="3:9" hidden="1" x14ac:dyDescent="0.25">
      <c r="I174" s="51"/>
    </row>
    <row r="175" spans="3:9" ht="30.75" hidden="1" thickBot="1" x14ac:dyDescent="0.3">
      <c r="C175" s="148" t="s">
        <v>916</v>
      </c>
      <c r="D175" s="149" t="s">
        <v>921</v>
      </c>
      <c r="E175" s="150" t="s">
        <v>922</v>
      </c>
      <c r="F175" s="151" t="s">
        <v>923</v>
      </c>
      <c r="I175" s="51"/>
    </row>
    <row r="176" spans="3:9" hidden="1" x14ac:dyDescent="0.25">
      <c r="C176" t="s">
        <v>917</v>
      </c>
      <c r="D176" s="50">
        <v>1164572</v>
      </c>
      <c r="E176" s="50">
        <f>25000+811307</f>
        <v>836307</v>
      </c>
      <c r="F176" s="51">
        <f>D176-E176</f>
        <v>328265</v>
      </c>
      <c r="I176" s="51"/>
    </row>
    <row r="177" spans="3:9" hidden="1" x14ac:dyDescent="0.25">
      <c r="C177" t="s">
        <v>918</v>
      </c>
      <c r="D177" s="50">
        <v>646313</v>
      </c>
      <c r="E177" s="50">
        <v>14400</v>
      </c>
      <c r="F177" s="51">
        <f>D177-E177</f>
        <v>631913</v>
      </c>
      <c r="I177" s="51"/>
    </row>
    <row r="178" spans="3:9" hidden="1" x14ac:dyDescent="0.25">
      <c r="C178" t="s">
        <v>919</v>
      </c>
      <c r="D178" s="50">
        <v>1384885</v>
      </c>
      <c r="E178" s="50">
        <v>25000</v>
      </c>
      <c r="F178" s="51">
        <f>D178-E178</f>
        <v>1359885</v>
      </c>
    </row>
    <row r="179" spans="3:9" hidden="1" x14ac:dyDescent="0.25">
      <c r="C179" t="s">
        <v>920</v>
      </c>
      <c r="D179" s="147">
        <v>15726</v>
      </c>
      <c r="E179" s="83"/>
      <c r="F179" s="51">
        <f>D179</f>
        <v>15726</v>
      </c>
    </row>
    <row r="180" spans="3:9" hidden="1" x14ac:dyDescent="0.25">
      <c r="F180" s="51">
        <f>SUM(F176:F179)</f>
        <v>2335789</v>
      </c>
    </row>
    <row r="181" spans="3:9" hidden="1" x14ac:dyDescent="0.25">
      <c r="D181" s="83"/>
      <c r="E181" s="83"/>
      <c r="F181" s="152"/>
    </row>
    <row r="182" spans="3:9" hidden="1" x14ac:dyDescent="0.25">
      <c r="E182" s="154"/>
      <c r="F182" s="153"/>
    </row>
  </sheetData>
  <mergeCells count="15">
    <mergeCell ref="B5:B6"/>
    <mergeCell ref="C5:C6"/>
    <mergeCell ref="D5:D6"/>
    <mergeCell ref="E5:E6"/>
    <mergeCell ref="F5:F6"/>
    <mergeCell ref="D142:D143"/>
    <mergeCell ref="H5:H6"/>
    <mergeCell ref="M47:M50"/>
    <mergeCell ref="F58:F61"/>
    <mergeCell ref="F73:F74"/>
    <mergeCell ref="M73:M74"/>
    <mergeCell ref="I5:I6"/>
    <mergeCell ref="F35:F36"/>
    <mergeCell ref="F47:F50"/>
    <mergeCell ref="G5:G6"/>
  </mergeCells>
  <pageMargins left="2.0866141732283467" right="0.70866141732283472" top="0.62992125984251968" bottom="0.74803149606299213" header="0.31496062992125984" footer="0.31496062992125984"/>
  <pageSetup paperSize="5" scale="6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1A51-3D28-453B-932A-9DC5D20A2DE6}">
  <sheetPr codeName="Sheet12">
    <tabColor rgb="FFFF0000"/>
  </sheetPr>
  <dimension ref="A1:K113"/>
  <sheetViews>
    <sheetView topLeftCell="A26" workbookViewId="0">
      <selection activeCell="C54" sqref="C54"/>
    </sheetView>
  </sheetViews>
  <sheetFormatPr defaultRowHeight="15" x14ac:dyDescent="0.25"/>
  <cols>
    <col min="1" max="1" width="0.28515625" style="23" customWidth="1"/>
    <col min="2" max="2" width="4.140625" style="23" customWidth="1"/>
    <col min="3" max="3" width="57.85546875" style="23" customWidth="1"/>
    <col min="4" max="4" width="5.7109375" style="23" customWidth="1"/>
    <col min="5" max="5" width="17.85546875" style="35" customWidth="1"/>
    <col min="6" max="6" width="16" style="23" hidden="1" customWidth="1"/>
    <col min="7" max="7" width="16.42578125" style="23" bestFit="1" customWidth="1"/>
    <col min="8" max="8" width="4.7109375" style="23" customWidth="1"/>
    <col min="9" max="9" width="0" style="24" hidden="1" customWidth="1"/>
    <col min="10" max="10" width="6.140625" style="23" customWidth="1"/>
    <col min="11" max="11" width="16.42578125" style="23" customWidth="1"/>
    <col min="12" max="254" width="9.140625" style="23"/>
    <col min="255" max="255" width="3.140625" style="23" customWidth="1"/>
    <col min="256" max="256" width="4.140625" style="23" customWidth="1"/>
    <col min="257" max="257" width="57.42578125" style="23" customWidth="1"/>
    <col min="258" max="258" width="3.28515625" style="23" customWidth="1"/>
    <col min="259" max="259" width="3.42578125" style="23" customWidth="1"/>
    <col min="260" max="260" width="20" style="23" bestFit="1" customWidth="1"/>
    <col min="261" max="261" width="2.7109375" style="23" customWidth="1"/>
    <col min="262" max="262" width="19" style="23" customWidth="1"/>
    <col min="263" max="263" width="9.140625" style="23"/>
    <col min="264" max="264" width="4.7109375" style="23" customWidth="1"/>
    <col min="265" max="265" width="0" style="23" hidden="1" customWidth="1"/>
    <col min="266" max="266" width="6.140625" style="23" customWidth="1"/>
    <col min="267" max="267" width="16.42578125" style="23" customWidth="1"/>
    <col min="268" max="510" width="9.140625" style="23"/>
    <col min="511" max="511" width="3.140625" style="23" customWidth="1"/>
    <col min="512" max="512" width="4.140625" style="23" customWidth="1"/>
    <col min="513" max="513" width="57.42578125" style="23" customWidth="1"/>
    <col min="514" max="514" width="3.28515625" style="23" customWidth="1"/>
    <col min="515" max="515" width="3.42578125" style="23" customWidth="1"/>
    <col min="516" max="516" width="20" style="23" bestFit="1" customWidth="1"/>
    <col min="517" max="517" width="2.7109375" style="23" customWidth="1"/>
    <col min="518" max="518" width="19" style="23" customWidth="1"/>
    <col min="519" max="519" width="9.140625" style="23"/>
    <col min="520" max="520" width="4.7109375" style="23" customWidth="1"/>
    <col min="521" max="521" width="0" style="23" hidden="1" customWidth="1"/>
    <col min="522" max="522" width="6.140625" style="23" customWidth="1"/>
    <col min="523" max="523" width="16.42578125" style="23" customWidth="1"/>
    <col min="524" max="766" width="9.140625" style="23"/>
    <col min="767" max="767" width="3.140625" style="23" customWidth="1"/>
    <col min="768" max="768" width="4.140625" style="23" customWidth="1"/>
    <col min="769" max="769" width="57.42578125" style="23" customWidth="1"/>
    <col min="770" max="770" width="3.28515625" style="23" customWidth="1"/>
    <col min="771" max="771" width="3.42578125" style="23" customWidth="1"/>
    <col min="772" max="772" width="20" style="23" bestFit="1" customWidth="1"/>
    <col min="773" max="773" width="2.7109375" style="23" customWidth="1"/>
    <col min="774" max="774" width="19" style="23" customWidth="1"/>
    <col min="775" max="775" width="9.140625" style="23"/>
    <col min="776" max="776" width="4.7109375" style="23" customWidth="1"/>
    <col min="777" max="777" width="0" style="23" hidden="1" customWidth="1"/>
    <col min="778" max="778" width="6.140625" style="23" customWidth="1"/>
    <col min="779" max="779" width="16.42578125" style="23" customWidth="1"/>
    <col min="780" max="1022" width="9.140625" style="23"/>
    <col min="1023" max="1023" width="3.140625" style="23" customWidth="1"/>
    <col min="1024" max="1024" width="4.140625" style="23" customWidth="1"/>
    <col min="1025" max="1025" width="57.42578125" style="23" customWidth="1"/>
    <col min="1026" max="1026" width="3.28515625" style="23" customWidth="1"/>
    <col min="1027" max="1027" width="3.42578125" style="23" customWidth="1"/>
    <col min="1028" max="1028" width="20" style="23" bestFit="1" customWidth="1"/>
    <col min="1029" max="1029" width="2.7109375" style="23" customWidth="1"/>
    <col min="1030" max="1030" width="19" style="23" customWidth="1"/>
    <col min="1031" max="1031" width="9.140625" style="23"/>
    <col min="1032" max="1032" width="4.7109375" style="23" customWidth="1"/>
    <col min="1033" max="1033" width="0" style="23" hidden="1" customWidth="1"/>
    <col min="1034" max="1034" width="6.140625" style="23" customWidth="1"/>
    <col min="1035" max="1035" width="16.42578125" style="23" customWidth="1"/>
    <col min="1036" max="1278" width="9.140625" style="23"/>
    <col min="1279" max="1279" width="3.140625" style="23" customWidth="1"/>
    <col min="1280" max="1280" width="4.140625" style="23" customWidth="1"/>
    <col min="1281" max="1281" width="57.42578125" style="23" customWidth="1"/>
    <col min="1282" max="1282" width="3.28515625" style="23" customWidth="1"/>
    <col min="1283" max="1283" width="3.42578125" style="23" customWidth="1"/>
    <col min="1284" max="1284" width="20" style="23" bestFit="1" customWidth="1"/>
    <col min="1285" max="1285" width="2.7109375" style="23" customWidth="1"/>
    <col min="1286" max="1286" width="19" style="23" customWidth="1"/>
    <col min="1287" max="1287" width="9.140625" style="23"/>
    <col min="1288" max="1288" width="4.7109375" style="23" customWidth="1"/>
    <col min="1289" max="1289" width="0" style="23" hidden="1" customWidth="1"/>
    <col min="1290" max="1290" width="6.140625" style="23" customWidth="1"/>
    <col min="1291" max="1291" width="16.42578125" style="23" customWidth="1"/>
    <col min="1292" max="1534" width="9.140625" style="23"/>
    <col min="1535" max="1535" width="3.140625" style="23" customWidth="1"/>
    <col min="1536" max="1536" width="4.140625" style="23" customWidth="1"/>
    <col min="1537" max="1537" width="57.42578125" style="23" customWidth="1"/>
    <col min="1538" max="1538" width="3.28515625" style="23" customWidth="1"/>
    <col min="1539" max="1539" width="3.42578125" style="23" customWidth="1"/>
    <col min="1540" max="1540" width="20" style="23" bestFit="1" customWidth="1"/>
    <col min="1541" max="1541" width="2.7109375" style="23" customWidth="1"/>
    <col min="1542" max="1542" width="19" style="23" customWidth="1"/>
    <col min="1543" max="1543" width="9.140625" style="23"/>
    <col min="1544" max="1544" width="4.7109375" style="23" customWidth="1"/>
    <col min="1545" max="1545" width="0" style="23" hidden="1" customWidth="1"/>
    <col min="1546" max="1546" width="6.140625" style="23" customWidth="1"/>
    <col min="1547" max="1547" width="16.42578125" style="23" customWidth="1"/>
    <col min="1548" max="1790" width="9.140625" style="23"/>
    <col min="1791" max="1791" width="3.140625" style="23" customWidth="1"/>
    <col min="1792" max="1792" width="4.140625" style="23" customWidth="1"/>
    <col min="1793" max="1793" width="57.42578125" style="23" customWidth="1"/>
    <col min="1794" max="1794" width="3.28515625" style="23" customWidth="1"/>
    <col min="1795" max="1795" width="3.42578125" style="23" customWidth="1"/>
    <col min="1796" max="1796" width="20" style="23" bestFit="1" customWidth="1"/>
    <col min="1797" max="1797" width="2.7109375" style="23" customWidth="1"/>
    <col min="1798" max="1798" width="19" style="23" customWidth="1"/>
    <col min="1799" max="1799" width="9.140625" style="23"/>
    <col min="1800" max="1800" width="4.7109375" style="23" customWidth="1"/>
    <col min="1801" max="1801" width="0" style="23" hidden="1" customWidth="1"/>
    <col min="1802" max="1802" width="6.140625" style="23" customWidth="1"/>
    <col min="1803" max="1803" width="16.42578125" style="23" customWidth="1"/>
    <col min="1804" max="2046" width="9.140625" style="23"/>
    <col min="2047" max="2047" width="3.140625" style="23" customWidth="1"/>
    <col min="2048" max="2048" width="4.140625" style="23" customWidth="1"/>
    <col min="2049" max="2049" width="57.42578125" style="23" customWidth="1"/>
    <col min="2050" max="2050" width="3.28515625" style="23" customWidth="1"/>
    <col min="2051" max="2051" width="3.42578125" style="23" customWidth="1"/>
    <col min="2052" max="2052" width="20" style="23" bestFit="1" customWidth="1"/>
    <col min="2053" max="2053" width="2.7109375" style="23" customWidth="1"/>
    <col min="2054" max="2054" width="19" style="23" customWidth="1"/>
    <col min="2055" max="2055" width="9.140625" style="23"/>
    <col min="2056" max="2056" width="4.7109375" style="23" customWidth="1"/>
    <col min="2057" max="2057" width="0" style="23" hidden="1" customWidth="1"/>
    <col min="2058" max="2058" width="6.140625" style="23" customWidth="1"/>
    <col min="2059" max="2059" width="16.42578125" style="23" customWidth="1"/>
    <col min="2060" max="2302" width="9.140625" style="23"/>
    <col min="2303" max="2303" width="3.140625" style="23" customWidth="1"/>
    <col min="2304" max="2304" width="4.140625" style="23" customWidth="1"/>
    <col min="2305" max="2305" width="57.42578125" style="23" customWidth="1"/>
    <col min="2306" max="2306" width="3.28515625" style="23" customWidth="1"/>
    <col min="2307" max="2307" width="3.42578125" style="23" customWidth="1"/>
    <col min="2308" max="2308" width="20" style="23" bestFit="1" customWidth="1"/>
    <col min="2309" max="2309" width="2.7109375" style="23" customWidth="1"/>
    <col min="2310" max="2310" width="19" style="23" customWidth="1"/>
    <col min="2311" max="2311" width="9.140625" style="23"/>
    <col min="2312" max="2312" width="4.7109375" style="23" customWidth="1"/>
    <col min="2313" max="2313" width="0" style="23" hidden="1" customWidth="1"/>
    <col min="2314" max="2314" width="6.140625" style="23" customWidth="1"/>
    <col min="2315" max="2315" width="16.42578125" style="23" customWidth="1"/>
    <col min="2316" max="2558" width="9.140625" style="23"/>
    <col min="2559" max="2559" width="3.140625" style="23" customWidth="1"/>
    <col min="2560" max="2560" width="4.140625" style="23" customWidth="1"/>
    <col min="2561" max="2561" width="57.42578125" style="23" customWidth="1"/>
    <col min="2562" max="2562" width="3.28515625" style="23" customWidth="1"/>
    <col min="2563" max="2563" width="3.42578125" style="23" customWidth="1"/>
    <col min="2564" max="2564" width="20" style="23" bestFit="1" customWidth="1"/>
    <col min="2565" max="2565" width="2.7109375" style="23" customWidth="1"/>
    <col min="2566" max="2566" width="19" style="23" customWidth="1"/>
    <col min="2567" max="2567" width="9.140625" style="23"/>
    <col min="2568" max="2568" width="4.7109375" style="23" customWidth="1"/>
    <col min="2569" max="2569" width="0" style="23" hidden="1" customWidth="1"/>
    <col min="2570" max="2570" width="6.140625" style="23" customWidth="1"/>
    <col min="2571" max="2571" width="16.42578125" style="23" customWidth="1"/>
    <col min="2572" max="2814" width="9.140625" style="23"/>
    <col min="2815" max="2815" width="3.140625" style="23" customWidth="1"/>
    <col min="2816" max="2816" width="4.140625" style="23" customWidth="1"/>
    <col min="2817" max="2817" width="57.42578125" style="23" customWidth="1"/>
    <col min="2818" max="2818" width="3.28515625" style="23" customWidth="1"/>
    <col min="2819" max="2819" width="3.42578125" style="23" customWidth="1"/>
    <col min="2820" max="2820" width="20" style="23" bestFit="1" customWidth="1"/>
    <col min="2821" max="2821" width="2.7109375" style="23" customWidth="1"/>
    <col min="2822" max="2822" width="19" style="23" customWidth="1"/>
    <col min="2823" max="2823" width="9.140625" style="23"/>
    <col min="2824" max="2824" width="4.7109375" style="23" customWidth="1"/>
    <col min="2825" max="2825" width="0" style="23" hidden="1" customWidth="1"/>
    <col min="2826" max="2826" width="6.140625" style="23" customWidth="1"/>
    <col min="2827" max="2827" width="16.42578125" style="23" customWidth="1"/>
    <col min="2828" max="3070" width="9.140625" style="23"/>
    <col min="3071" max="3071" width="3.140625" style="23" customWidth="1"/>
    <col min="3072" max="3072" width="4.140625" style="23" customWidth="1"/>
    <col min="3073" max="3073" width="57.42578125" style="23" customWidth="1"/>
    <col min="3074" max="3074" width="3.28515625" style="23" customWidth="1"/>
    <col min="3075" max="3075" width="3.42578125" style="23" customWidth="1"/>
    <col min="3076" max="3076" width="20" style="23" bestFit="1" customWidth="1"/>
    <col min="3077" max="3077" width="2.7109375" style="23" customWidth="1"/>
    <col min="3078" max="3078" width="19" style="23" customWidth="1"/>
    <col min="3079" max="3079" width="9.140625" style="23"/>
    <col min="3080" max="3080" width="4.7109375" style="23" customWidth="1"/>
    <col min="3081" max="3081" width="0" style="23" hidden="1" customWidth="1"/>
    <col min="3082" max="3082" width="6.140625" style="23" customWidth="1"/>
    <col min="3083" max="3083" width="16.42578125" style="23" customWidth="1"/>
    <col min="3084" max="3326" width="9.140625" style="23"/>
    <col min="3327" max="3327" width="3.140625" style="23" customWidth="1"/>
    <col min="3328" max="3328" width="4.140625" style="23" customWidth="1"/>
    <col min="3329" max="3329" width="57.42578125" style="23" customWidth="1"/>
    <col min="3330" max="3330" width="3.28515625" style="23" customWidth="1"/>
    <col min="3331" max="3331" width="3.42578125" style="23" customWidth="1"/>
    <col min="3332" max="3332" width="20" style="23" bestFit="1" customWidth="1"/>
    <col min="3333" max="3333" width="2.7109375" style="23" customWidth="1"/>
    <col min="3334" max="3334" width="19" style="23" customWidth="1"/>
    <col min="3335" max="3335" width="9.140625" style="23"/>
    <col min="3336" max="3336" width="4.7109375" style="23" customWidth="1"/>
    <col min="3337" max="3337" width="0" style="23" hidden="1" customWidth="1"/>
    <col min="3338" max="3338" width="6.140625" style="23" customWidth="1"/>
    <col min="3339" max="3339" width="16.42578125" style="23" customWidth="1"/>
    <col min="3340" max="3582" width="9.140625" style="23"/>
    <col min="3583" max="3583" width="3.140625" style="23" customWidth="1"/>
    <col min="3584" max="3584" width="4.140625" style="23" customWidth="1"/>
    <col min="3585" max="3585" width="57.42578125" style="23" customWidth="1"/>
    <col min="3586" max="3586" width="3.28515625" style="23" customWidth="1"/>
    <col min="3587" max="3587" width="3.42578125" style="23" customWidth="1"/>
    <col min="3588" max="3588" width="20" style="23" bestFit="1" customWidth="1"/>
    <col min="3589" max="3589" width="2.7109375" style="23" customWidth="1"/>
    <col min="3590" max="3590" width="19" style="23" customWidth="1"/>
    <col min="3591" max="3591" width="9.140625" style="23"/>
    <col min="3592" max="3592" width="4.7109375" style="23" customWidth="1"/>
    <col min="3593" max="3593" width="0" style="23" hidden="1" customWidth="1"/>
    <col min="3594" max="3594" width="6.140625" style="23" customWidth="1"/>
    <col min="3595" max="3595" width="16.42578125" style="23" customWidth="1"/>
    <col min="3596" max="3838" width="9.140625" style="23"/>
    <col min="3839" max="3839" width="3.140625" style="23" customWidth="1"/>
    <col min="3840" max="3840" width="4.140625" style="23" customWidth="1"/>
    <col min="3841" max="3841" width="57.42578125" style="23" customWidth="1"/>
    <col min="3842" max="3842" width="3.28515625" style="23" customWidth="1"/>
    <col min="3843" max="3843" width="3.42578125" style="23" customWidth="1"/>
    <col min="3844" max="3844" width="20" style="23" bestFit="1" customWidth="1"/>
    <col min="3845" max="3845" width="2.7109375" style="23" customWidth="1"/>
    <col min="3846" max="3846" width="19" style="23" customWidth="1"/>
    <col min="3847" max="3847" width="9.140625" style="23"/>
    <col min="3848" max="3848" width="4.7109375" style="23" customWidth="1"/>
    <col min="3849" max="3849" width="0" style="23" hidden="1" customWidth="1"/>
    <col min="3850" max="3850" width="6.140625" style="23" customWidth="1"/>
    <col min="3851" max="3851" width="16.42578125" style="23" customWidth="1"/>
    <col min="3852" max="4094" width="9.140625" style="23"/>
    <col min="4095" max="4095" width="3.140625" style="23" customWidth="1"/>
    <col min="4096" max="4096" width="4.140625" style="23" customWidth="1"/>
    <col min="4097" max="4097" width="57.42578125" style="23" customWidth="1"/>
    <col min="4098" max="4098" width="3.28515625" style="23" customWidth="1"/>
    <col min="4099" max="4099" width="3.42578125" style="23" customWidth="1"/>
    <col min="4100" max="4100" width="20" style="23" bestFit="1" customWidth="1"/>
    <col min="4101" max="4101" width="2.7109375" style="23" customWidth="1"/>
    <col min="4102" max="4102" width="19" style="23" customWidth="1"/>
    <col min="4103" max="4103" width="9.140625" style="23"/>
    <col min="4104" max="4104" width="4.7109375" style="23" customWidth="1"/>
    <col min="4105" max="4105" width="0" style="23" hidden="1" customWidth="1"/>
    <col min="4106" max="4106" width="6.140625" style="23" customWidth="1"/>
    <col min="4107" max="4107" width="16.42578125" style="23" customWidth="1"/>
    <col min="4108" max="4350" width="9.140625" style="23"/>
    <col min="4351" max="4351" width="3.140625" style="23" customWidth="1"/>
    <col min="4352" max="4352" width="4.140625" style="23" customWidth="1"/>
    <col min="4353" max="4353" width="57.42578125" style="23" customWidth="1"/>
    <col min="4354" max="4354" width="3.28515625" style="23" customWidth="1"/>
    <col min="4355" max="4355" width="3.42578125" style="23" customWidth="1"/>
    <col min="4356" max="4356" width="20" style="23" bestFit="1" customWidth="1"/>
    <col min="4357" max="4357" width="2.7109375" style="23" customWidth="1"/>
    <col min="4358" max="4358" width="19" style="23" customWidth="1"/>
    <col min="4359" max="4359" width="9.140625" style="23"/>
    <col min="4360" max="4360" width="4.7109375" style="23" customWidth="1"/>
    <col min="4361" max="4361" width="0" style="23" hidden="1" customWidth="1"/>
    <col min="4362" max="4362" width="6.140625" style="23" customWidth="1"/>
    <col min="4363" max="4363" width="16.42578125" style="23" customWidth="1"/>
    <col min="4364" max="4606" width="9.140625" style="23"/>
    <col min="4607" max="4607" width="3.140625" style="23" customWidth="1"/>
    <col min="4608" max="4608" width="4.140625" style="23" customWidth="1"/>
    <col min="4609" max="4609" width="57.42578125" style="23" customWidth="1"/>
    <col min="4610" max="4610" width="3.28515625" style="23" customWidth="1"/>
    <col min="4611" max="4611" width="3.42578125" style="23" customWidth="1"/>
    <col min="4612" max="4612" width="20" style="23" bestFit="1" customWidth="1"/>
    <col min="4613" max="4613" width="2.7109375" style="23" customWidth="1"/>
    <col min="4614" max="4614" width="19" style="23" customWidth="1"/>
    <col min="4615" max="4615" width="9.140625" style="23"/>
    <col min="4616" max="4616" width="4.7109375" style="23" customWidth="1"/>
    <col min="4617" max="4617" width="0" style="23" hidden="1" customWidth="1"/>
    <col min="4618" max="4618" width="6.140625" style="23" customWidth="1"/>
    <col min="4619" max="4619" width="16.42578125" style="23" customWidth="1"/>
    <col min="4620" max="4862" width="9.140625" style="23"/>
    <col min="4863" max="4863" width="3.140625" style="23" customWidth="1"/>
    <col min="4864" max="4864" width="4.140625" style="23" customWidth="1"/>
    <col min="4865" max="4865" width="57.42578125" style="23" customWidth="1"/>
    <col min="4866" max="4866" width="3.28515625" style="23" customWidth="1"/>
    <col min="4867" max="4867" width="3.42578125" style="23" customWidth="1"/>
    <col min="4868" max="4868" width="20" style="23" bestFit="1" customWidth="1"/>
    <col min="4869" max="4869" width="2.7109375" style="23" customWidth="1"/>
    <col min="4870" max="4870" width="19" style="23" customWidth="1"/>
    <col min="4871" max="4871" width="9.140625" style="23"/>
    <col min="4872" max="4872" width="4.7109375" style="23" customWidth="1"/>
    <col min="4873" max="4873" width="0" style="23" hidden="1" customWidth="1"/>
    <col min="4874" max="4874" width="6.140625" style="23" customWidth="1"/>
    <col min="4875" max="4875" width="16.42578125" style="23" customWidth="1"/>
    <col min="4876" max="5118" width="9.140625" style="23"/>
    <col min="5119" max="5119" width="3.140625" style="23" customWidth="1"/>
    <col min="5120" max="5120" width="4.140625" style="23" customWidth="1"/>
    <col min="5121" max="5121" width="57.42578125" style="23" customWidth="1"/>
    <col min="5122" max="5122" width="3.28515625" style="23" customWidth="1"/>
    <col min="5123" max="5123" width="3.42578125" style="23" customWidth="1"/>
    <col min="5124" max="5124" width="20" style="23" bestFit="1" customWidth="1"/>
    <col min="5125" max="5125" width="2.7109375" style="23" customWidth="1"/>
    <col min="5126" max="5126" width="19" style="23" customWidth="1"/>
    <col min="5127" max="5127" width="9.140625" style="23"/>
    <col min="5128" max="5128" width="4.7109375" style="23" customWidth="1"/>
    <col min="5129" max="5129" width="0" style="23" hidden="1" customWidth="1"/>
    <col min="5130" max="5130" width="6.140625" style="23" customWidth="1"/>
    <col min="5131" max="5131" width="16.42578125" style="23" customWidth="1"/>
    <col min="5132" max="5374" width="9.140625" style="23"/>
    <col min="5375" max="5375" width="3.140625" style="23" customWidth="1"/>
    <col min="5376" max="5376" width="4.140625" style="23" customWidth="1"/>
    <col min="5377" max="5377" width="57.42578125" style="23" customWidth="1"/>
    <col min="5378" max="5378" width="3.28515625" style="23" customWidth="1"/>
    <col min="5379" max="5379" width="3.42578125" style="23" customWidth="1"/>
    <col min="5380" max="5380" width="20" style="23" bestFit="1" customWidth="1"/>
    <col min="5381" max="5381" width="2.7109375" style="23" customWidth="1"/>
    <col min="5382" max="5382" width="19" style="23" customWidth="1"/>
    <col min="5383" max="5383" width="9.140625" style="23"/>
    <col min="5384" max="5384" width="4.7109375" style="23" customWidth="1"/>
    <col min="5385" max="5385" width="0" style="23" hidden="1" customWidth="1"/>
    <col min="5386" max="5386" width="6.140625" style="23" customWidth="1"/>
    <col min="5387" max="5387" width="16.42578125" style="23" customWidth="1"/>
    <col min="5388" max="5630" width="9.140625" style="23"/>
    <col min="5631" max="5631" width="3.140625" style="23" customWidth="1"/>
    <col min="5632" max="5632" width="4.140625" style="23" customWidth="1"/>
    <col min="5633" max="5633" width="57.42578125" style="23" customWidth="1"/>
    <col min="5634" max="5634" width="3.28515625" style="23" customWidth="1"/>
    <col min="5635" max="5635" width="3.42578125" style="23" customWidth="1"/>
    <col min="5636" max="5636" width="20" style="23" bestFit="1" customWidth="1"/>
    <col min="5637" max="5637" width="2.7109375" style="23" customWidth="1"/>
    <col min="5638" max="5638" width="19" style="23" customWidth="1"/>
    <col min="5639" max="5639" width="9.140625" style="23"/>
    <col min="5640" max="5640" width="4.7109375" style="23" customWidth="1"/>
    <col min="5641" max="5641" width="0" style="23" hidden="1" customWidth="1"/>
    <col min="5642" max="5642" width="6.140625" style="23" customWidth="1"/>
    <col min="5643" max="5643" width="16.42578125" style="23" customWidth="1"/>
    <col min="5644" max="5886" width="9.140625" style="23"/>
    <col min="5887" max="5887" width="3.140625" style="23" customWidth="1"/>
    <col min="5888" max="5888" width="4.140625" style="23" customWidth="1"/>
    <col min="5889" max="5889" width="57.42578125" style="23" customWidth="1"/>
    <col min="5890" max="5890" width="3.28515625" style="23" customWidth="1"/>
    <col min="5891" max="5891" width="3.42578125" style="23" customWidth="1"/>
    <col min="5892" max="5892" width="20" style="23" bestFit="1" customWidth="1"/>
    <col min="5893" max="5893" width="2.7109375" style="23" customWidth="1"/>
    <col min="5894" max="5894" width="19" style="23" customWidth="1"/>
    <col min="5895" max="5895" width="9.140625" style="23"/>
    <col min="5896" max="5896" width="4.7109375" style="23" customWidth="1"/>
    <col min="5897" max="5897" width="0" style="23" hidden="1" customWidth="1"/>
    <col min="5898" max="5898" width="6.140625" style="23" customWidth="1"/>
    <col min="5899" max="5899" width="16.42578125" style="23" customWidth="1"/>
    <col min="5900" max="6142" width="9.140625" style="23"/>
    <col min="6143" max="6143" width="3.140625" style="23" customWidth="1"/>
    <col min="6144" max="6144" width="4.140625" style="23" customWidth="1"/>
    <col min="6145" max="6145" width="57.42578125" style="23" customWidth="1"/>
    <col min="6146" max="6146" width="3.28515625" style="23" customWidth="1"/>
    <col min="6147" max="6147" width="3.42578125" style="23" customWidth="1"/>
    <col min="6148" max="6148" width="20" style="23" bestFit="1" customWidth="1"/>
    <col min="6149" max="6149" width="2.7109375" style="23" customWidth="1"/>
    <col min="6150" max="6150" width="19" style="23" customWidth="1"/>
    <col min="6151" max="6151" width="9.140625" style="23"/>
    <col min="6152" max="6152" width="4.7109375" style="23" customWidth="1"/>
    <col min="6153" max="6153" width="0" style="23" hidden="1" customWidth="1"/>
    <col min="6154" max="6154" width="6.140625" style="23" customWidth="1"/>
    <col min="6155" max="6155" width="16.42578125" style="23" customWidth="1"/>
    <col min="6156" max="6398" width="9.140625" style="23"/>
    <col min="6399" max="6399" width="3.140625" style="23" customWidth="1"/>
    <col min="6400" max="6400" width="4.140625" style="23" customWidth="1"/>
    <col min="6401" max="6401" width="57.42578125" style="23" customWidth="1"/>
    <col min="6402" max="6402" width="3.28515625" style="23" customWidth="1"/>
    <col min="6403" max="6403" width="3.42578125" style="23" customWidth="1"/>
    <col min="6404" max="6404" width="20" style="23" bestFit="1" customWidth="1"/>
    <col min="6405" max="6405" width="2.7109375" style="23" customWidth="1"/>
    <col min="6406" max="6406" width="19" style="23" customWidth="1"/>
    <col min="6407" max="6407" width="9.140625" style="23"/>
    <col min="6408" max="6408" width="4.7109375" style="23" customWidth="1"/>
    <col min="6409" max="6409" width="0" style="23" hidden="1" customWidth="1"/>
    <col min="6410" max="6410" width="6.140625" style="23" customWidth="1"/>
    <col min="6411" max="6411" width="16.42578125" style="23" customWidth="1"/>
    <col min="6412" max="6654" width="9.140625" style="23"/>
    <col min="6655" max="6655" width="3.140625" style="23" customWidth="1"/>
    <col min="6656" max="6656" width="4.140625" style="23" customWidth="1"/>
    <col min="6657" max="6657" width="57.42578125" style="23" customWidth="1"/>
    <col min="6658" max="6658" width="3.28515625" style="23" customWidth="1"/>
    <col min="6659" max="6659" width="3.42578125" style="23" customWidth="1"/>
    <col min="6660" max="6660" width="20" style="23" bestFit="1" customWidth="1"/>
    <col min="6661" max="6661" width="2.7109375" style="23" customWidth="1"/>
    <col min="6662" max="6662" width="19" style="23" customWidth="1"/>
    <col min="6663" max="6663" width="9.140625" style="23"/>
    <col min="6664" max="6664" width="4.7109375" style="23" customWidth="1"/>
    <col min="6665" max="6665" width="0" style="23" hidden="1" customWidth="1"/>
    <col min="6666" max="6666" width="6.140625" style="23" customWidth="1"/>
    <col min="6667" max="6667" width="16.42578125" style="23" customWidth="1"/>
    <col min="6668" max="6910" width="9.140625" style="23"/>
    <col min="6911" max="6911" width="3.140625" style="23" customWidth="1"/>
    <col min="6912" max="6912" width="4.140625" style="23" customWidth="1"/>
    <col min="6913" max="6913" width="57.42578125" style="23" customWidth="1"/>
    <col min="6914" max="6914" width="3.28515625" style="23" customWidth="1"/>
    <col min="6915" max="6915" width="3.42578125" style="23" customWidth="1"/>
    <col min="6916" max="6916" width="20" style="23" bestFit="1" customWidth="1"/>
    <col min="6917" max="6917" width="2.7109375" style="23" customWidth="1"/>
    <col min="6918" max="6918" width="19" style="23" customWidth="1"/>
    <col min="6919" max="6919" width="9.140625" style="23"/>
    <col min="6920" max="6920" width="4.7109375" style="23" customWidth="1"/>
    <col min="6921" max="6921" width="0" style="23" hidden="1" customWidth="1"/>
    <col min="6922" max="6922" width="6.140625" style="23" customWidth="1"/>
    <col min="6923" max="6923" width="16.42578125" style="23" customWidth="1"/>
    <col min="6924" max="7166" width="9.140625" style="23"/>
    <col min="7167" max="7167" width="3.140625" style="23" customWidth="1"/>
    <col min="7168" max="7168" width="4.140625" style="23" customWidth="1"/>
    <col min="7169" max="7169" width="57.42578125" style="23" customWidth="1"/>
    <col min="7170" max="7170" width="3.28515625" style="23" customWidth="1"/>
    <col min="7171" max="7171" width="3.42578125" style="23" customWidth="1"/>
    <col min="7172" max="7172" width="20" style="23" bestFit="1" customWidth="1"/>
    <col min="7173" max="7173" width="2.7109375" style="23" customWidth="1"/>
    <col min="7174" max="7174" width="19" style="23" customWidth="1"/>
    <col min="7175" max="7175" width="9.140625" style="23"/>
    <col min="7176" max="7176" width="4.7109375" style="23" customWidth="1"/>
    <col min="7177" max="7177" width="0" style="23" hidden="1" customWidth="1"/>
    <col min="7178" max="7178" width="6.140625" style="23" customWidth="1"/>
    <col min="7179" max="7179" width="16.42578125" style="23" customWidth="1"/>
    <col min="7180" max="7422" width="9.140625" style="23"/>
    <col min="7423" max="7423" width="3.140625" style="23" customWidth="1"/>
    <col min="7424" max="7424" width="4.140625" style="23" customWidth="1"/>
    <col min="7425" max="7425" width="57.42578125" style="23" customWidth="1"/>
    <col min="7426" max="7426" width="3.28515625" style="23" customWidth="1"/>
    <col min="7427" max="7427" width="3.42578125" style="23" customWidth="1"/>
    <col min="7428" max="7428" width="20" style="23" bestFit="1" customWidth="1"/>
    <col min="7429" max="7429" width="2.7109375" style="23" customWidth="1"/>
    <col min="7430" max="7430" width="19" style="23" customWidth="1"/>
    <col min="7431" max="7431" width="9.140625" style="23"/>
    <col min="7432" max="7432" width="4.7109375" style="23" customWidth="1"/>
    <col min="7433" max="7433" width="0" style="23" hidden="1" customWidth="1"/>
    <col min="7434" max="7434" width="6.140625" style="23" customWidth="1"/>
    <col min="7435" max="7435" width="16.42578125" style="23" customWidth="1"/>
    <col min="7436" max="7678" width="9.140625" style="23"/>
    <col min="7679" max="7679" width="3.140625" style="23" customWidth="1"/>
    <col min="7680" max="7680" width="4.140625" style="23" customWidth="1"/>
    <col min="7681" max="7681" width="57.42578125" style="23" customWidth="1"/>
    <col min="7682" max="7682" width="3.28515625" style="23" customWidth="1"/>
    <col min="7683" max="7683" width="3.42578125" style="23" customWidth="1"/>
    <col min="7684" max="7684" width="20" style="23" bestFit="1" customWidth="1"/>
    <col min="7685" max="7685" width="2.7109375" style="23" customWidth="1"/>
    <col min="7686" max="7686" width="19" style="23" customWidth="1"/>
    <col min="7687" max="7687" width="9.140625" style="23"/>
    <col min="7688" max="7688" width="4.7109375" style="23" customWidth="1"/>
    <col min="7689" max="7689" width="0" style="23" hidden="1" customWidth="1"/>
    <col min="7690" max="7690" width="6.140625" style="23" customWidth="1"/>
    <col min="7691" max="7691" width="16.42578125" style="23" customWidth="1"/>
    <col min="7692" max="7934" width="9.140625" style="23"/>
    <col min="7935" max="7935" width="3.140625" style="23" customWidth="1"/>
    <col min="7936" max="7936" width="4.140625" style="23" customWidth="1"/>
    <col min="7937" max="7937" width="57.42578125" style="23" customWidth="1"/>
    <col min="7938" max="7938" width="3.28515625" style="23" customWidth="1"/>
    <col min="7939" max="7939" width="3.42578125" style="23" customWidth="1"/>
    <col min="7940" max="7940" width="20" style="23" bestFit="1" customWidth="1"/>
    <col min="7941" max="7941" width="2.7109375" style="23" customWidth="1"/>
    <col min="7942" max="7942" width="19" style="23" customWidth="1"/>
    <col min="7943" max="7943" width="9.140625" style="23"/>
    <col min="7944" max="7944" width="4.7109375" style="23" customWidth="1"/>
    <col min="7945" max="7945" width="0" style="23" hidden="1" customWidth="1"/>
    <col min="7946" max="7946" width="6.140625" style="23" customWidth="1"/>
    <col min="7947" max="7947" width="16.42578125" style="23" customWidth="1"/>
    <col min="7948" max="8190" width="9.140625" style="23"/>
    <col min="8191" max="8191" width="3.140625" style="23" customWidth="1"/>
    <col min="8192" max="8192" width="4.140625" style="23" customWidth="1"/>
    <col min="8193" max="8193" width="57.42578125" style="23" customWidth="1"/>
    <col min="8194" max="8194" width="3.28515625" style="23" customWidth="1"/>
    <col min="8195" max="8195" width="3.42578125" style="23" customWidth="1"/>
    <col min="8196" max="8196" width="20" style="23" bestFit="1" customWidth="1"/>
    <col min="8197" max="8197" width="2.7109375" style="23" customWidth="1"/>
    <col min="8198" max="8198" width="19" style="23" customWidth="1"/>
    <col min="8199" max="8199" width="9.140625" style="23"/>
    <col min="8200" max="8200" width="4.7109375" style="23" customWidth="1"/>
    <col min="8201" max="8201" width="0" style="23" hidden="1" customWidth="1"/>
    <col min="8202" max="8202" width="6.140625" style="23" customWidth="1"/>
    <col min="8203" max="8203" width="16.42578125" style="23" customWidth="1"/>
    <col min="8204" max="8446" width="9.140625" style="23"/>
    <col min="8447" max="8447" width="3.140625" style="23" customWidth="1"/>
    <col min="8448" max="8448" width="4.140625" style="23" customWidth="1"/>
    <col min="8449" max="8449" width="57.42578125" style="23" customWidth="1"/>
    <col min="8450" max="8450" width="3.28515625" style="23" customWidth="1"/>
    <col min="8451" max="8451" width="3.42578125" style="23" customWidth="1"/>
    <col min="8452" max="8452" width="20" style="23" bestFit="1" customWidth="1"/>
    <col min="8453" max="8453" width="2.7109375" style="23" customWidth="1"/>
    <col min="8454" max="8454" width="19" style="23" customWidth="1"/>
    <col min="8455" max="8455" width="9.140625" style="23"/>
    <col min="8456" max="8456" width="4.7109375" style="23" customWidth="1"/>
    <col min="8457" max="8457" width="0" style="23" hidden="1" customWidth="1"/>
    <col min="8458" max="8458" width="6.140625" style="23" customWidth="1"/>
    <col min="8459" max="8459" width="16.42578125" style="23" customWidth="1"/>
    <col min="8460" max="8702" width="9.140625" style="23"/>
    <col min="8703" max="8703" width="3.140625" style="23" customWidth="1"/>
    <col min="8704" max="8704" width="4.140625" style="23" customWidth="1"/>
    <col min="8705" max="8705" width="57.42578125" style="23" customWidth="1"/>
    <col min="8706" max="8706" width="3.28515625" style="23" customWidth="1"/>
    <col min="8707" max="8707" width="3.42578125" style="23" customWidth="1"/>
    <col min="8708" max="8708" width="20" style="23" bestFit="1" customWidth="1"/>
    <col min="8709" max="8709" width="2.7109375" style="23" customWidth="1"/>
    <col min="8710" max="8710" width="19" style="23" customWidth="1"/>
    <col min="8711" max="8711" width="9.140625" style="23"/>
    <col min="8712" max="8712" width="4.7109375" style="23" customWidth="1"/>
    <col min="8713" max="8713" width="0" style="23" hidden="1" customWidth="1"/>
    <col min="8714" max="8714" width="6.140625" style="23" customWidth="1"/>
    <col min="8715" max="8715" width="16.42578125" style="23" customWidth="1"/>
    <col min="8716" max="8958" width="9.140625" style="23"/>
    <col min="8959" max="8959" width="3.140625" style="23" customWidth="1"/>
    <col min="8960" max="8960" width="4.140625" style="23" customWidth="1"/>
    <col min="8961" max="8961" width="57.42578125" style="23" customWidth="1"/>
    <col min="8962" max="8962" width="3.28515625" style="23" customWidth="1"/>
    <col min="8963" max="8963" width="3.42578125" style="23" customWidth="1"/>
    <col min="8964" max="8964" width="20" style="23" bestFit="1" customWidth="1"/>
    <col min="8965" max="8965" width="2.7109375" style="23" customWidth="1"/>
    <col min="8966" max="8966" width="19" style="23" customWidth="1"/>
    <col min="8967" max="8967" width="9.140625" style="23"/>
    <col min="8968" max="8968" width="4.7109375" style="23" customWidth="1"/>
    <col min="8969" max="8969" width="0" style="23" hidden="1" customWidth="1"/>
    <col min="8970" max="8970" width="6.140625" style="23" customWidth="1"/>
    <col min="8971" max="8971" width="16.42578125" style="23" customWidth="1"/>
    <col min="8972" max="9214" width="9.140625" style="23"/>
    <col min="9215" max="9215" width="3.140625" style="23" customWidth="1"/>
    <col min="9216" max="9216" width="4.140625" style="23" customWidth="1"/>
    <col min="9217" max="9217" width="57.42578125" style="23" customWidth="1"/>
    <col min="9218" max="9218" width="3.28515625" style="23" customWidth="1"/>
    <col min="9219" max="9219" width="3.42578125" style="23" customWidth="1"/>
    <col min="9220" max="9220" width="20" style="23" bestFit="1" customWidth="1"/>
    <col min="9221" max="9221" width="2.7109375" style="23" customWidth="1"/>
    <col min="9222" max="9222" width="19" style="23" customWidth="1"/>
    <col min="9223" max="9223" width="9.140625" style="23"/>
    <col min="9224" max="9224" width="4.7109375" style="23" customWidth="1"/>
    <col min="9225" max="9225" width="0" style="23" hidden="1" customWidth="1"/>
    <col min="9226" max="9226" width="6.140625" style="23" customWidth="1"/>
    <col min="9227" max="9227" width="16.42578125" style="23" customWidth="1"/>
    <col min="9228" max="9470" width="9.140625" style="23"/>
    <col min="9471" max="9471" width="3.140625" style="23" customWidth="1"/>
    <col min="9472" max="9472" width="4.140625" style="23" customWidth="1"/>
    <col min="9473" max="9473" width="57.42578125" style="23" customWidth="1"/>
    <col min="9474" max="9474" width="3.28515625" style="23" customWidth="1"/>
    <col min="9475" max="9475" width="3.42578125" style="23" customWidth="1"/>
    <col min="9476" max="9476" width="20" style="23" bestFit="1" customWidth="1"/>
    <col min="9477" max="9477" width="2.7109375" style="23" customWidth="1"/>
    <col min="9478" max="9478" width="19" style="23" customWidth="1"/>
    <col min="9479" max="9479" width="9.140625" style="23"/>
    <col min="9480" max="9480" width="4.7109375" style="23" customWidth="1"/>
    <col min="9481" max="9481" width="0" style="23" hidden="1" customWidth="1"/>
    <col min="9482" max="9482" width="6.140625" style="23" customWidth="1"/>
    <col min="9483" max="9483" width="16.42578125" style="23" customWidth="1"/>
    <col min="9484" max="9726" width="9.140625" style="23"/>
    <col min="9727" max="9727" width="3.140625" style="23" customWidth="1"/>
    <col min="9728" max="9728" width="4.140625" style="23" customWidth="1"/>
    <col min="9729" max="9729" width="57.42578125" style="23" customWidth="1"/>
    <col min="9730" max="9730" width="3.28515625" style="23" customWidth="1"/>
    <col min="9731" max="9731" width="3.42578125" style="23" customWidth="1"/>
    <col min="9732" max="9732" width="20" style="23" bestFit="1" customWidth="1"/>
    <col min="9733" max="9733" width="2.7109375" style="23" customWidth="1"/>
    <col min="9734" max="9734" width="19" style="23" customWidth="1"/>
    <col min="9735" max="9735" width="9.140625" style="23"/>
    <col min="9736" max="9736" width="4.7109375" style="23" customWidth="1"/>
    <col min="9737" max="9737" width="0" style="23" hidden="1" customWidth="1"/>
    <col min="9738" max="9738" width="6.140625" style="23" customWidth="1"/>
    <col min="9739" max="9739" width="16.42578125" style="23" customWidth="1"/>
    <col min="9740" max="9982" width="9.140625" style="23"/>
    <col min="9983" max="9983" width="3.140625" style="23" customWidth="1"/>
    <col min="9984" max="9984" width="4.140625" style="23" customWidth="1"/>
    <col min="9985" max="9985" width="57.42578125" style="23" customWidth="1"/>
    <col min="9986" max="9986" width="3.28515625" style="23" customWidth="1"/>
    <col min="9987" max="9987" width="3.42578125" style="23" customWidth="1"/>
    <col min="9988" max="9988" width="20" style="23" bestFit="1" customWidth="1"/>
    <col min="9989" max="9989" width="2.7109375" style="23" customWidth="1"/>
    <col min="9990" max="9990" width="19" style="23" customWidth="1"/>
    <col min="9991" max="9991" width="9.140625" style="23"/>
    <col min="9992" max="9992" width="4.7109375" style="23" customWidth="1"/>
    <col min="9993" max="9993" width="0" style="23" hidden="1" customWidth="1"/>
    <col min="9994" max="9994" width="6.140625" style="23" customWidth="1"/>
    <col min="9995" max="9995" width="16.42578125" style="23" customWidth="1"/>
    <col min="9996" max="10238" width="9.140625" style="23"/>
    <col min="10239" max="10239" width="3.140625" style="23" customWidth="1"/>
    <col min="10240" max="10240" width="4.140625" style="23" customWidth="1"/>
    <col min="10241" max="10241" width="57.42578125" style="23" customWidth="1"/>
    <col min="10242" max="10242" width="3.28515625" style="23" customWidth="1"/>
    <col min="10243" max="10243" width="3.42578125" style="23" customWidth="1"/>
    <col min="10244" max="10244" width="20" style="23" bestFit="1" customWidth="1"/>
    <col min="10245" max="10245" width="2.7109375" style="23" customWidth="1"/>
    <col min="10246" max="10246" width="19" style="23" customWidth="1"/>
    <col min="10247" max="10247" width="9.140625" style="23"/>
    <col min="10248" max="10248" width="4.7109375" style="23" customWidth="1"/>
    <col min="10249" max="10249" width="0" style="23" hidden="1" customWidth="1"/>
    <col min="10250" max="10250" width="6.140625" style="23" customWidth="1"/>
    <col min="10251" max="10251" width="16.42578125" style="23" customWidth="1"/>
    <col min="10252" max="10494" width="9.140625" style="23"/>
    <col min="10495" max="10495" width="3.140625" style="23" customWidth="1"/>
    <col min="10496" max="10496" width="4.140625" style="23" customWidth="1"/>
    <col min="10497" max="10497" width="57.42578125" style="23" customWidth="1"/>
    <col min="10498" max="10498" width="3.28515625" style="23" customWidth="1"/>
    <col min="10499" max="10499" width="3.42578125" style="23" customWidth="1"/>
    <col min="10500" max="10500" width="20" style="23" bestFit="1" customWidth="1"/>
    <col min="10501" max="10501" width="2.7109375" style="23" customWidth="1"/>
    <col min="10502" max="10502" width="19" style="23" customWidth="1"/>
    <col min="10503" max="10503" width="9.140625" style="23"/>
    <col min="10504" max="10504" width="4.7109375" style="23" customWidth="1"/>
    <col min="10505" max="10505" width="0" style="23" hidden="1" customWidth="1"/>
    <col min="10506" max="10506" width="6.140625" style="23" customWidth="1"/>
    <col min="10507" max="10507" width="16.42578125" style="23" customWidth="1"/>
    <col min="10508" max="10750" width="9.140625" style="23"/>
    <col min="10751" max="10751" width="3.140625" style="23" customWidth="1"/>
    <col min="10752" max="10752" width="4.140625" style="23" customWidth="1"/>
    <col min="10753" max="10753" width="57.42578125" style="23" customWidth="1"/>
    <col min="10754" max="10754" width="3.28515625" style="23" customWidth="1"/>
    <col min="10755" max="10755" width="3.42578125" style="23" customWidth="1"/>
    <col min="10756" max="10756" width="20" style="23" bestFit="1" customWidth="1"/>
    <col min="10757" max="10757" width="2.7109375" style="23" customWidth="1"/>
    <col min="10758" max="10758" width="19" style="23" customWidth="1"/>
    <col min="10759" max="10759" width="9.140625" style="23"/>
    <col min="10760" max="10760" width="4.7109375" style="23" customWidth="1"/>
    <col min="10761" max="10761" width="0" style="23" hidden="1" customWidth="1"/>
    <col min="10762" max="10762" width="6.140625" style="23" customWidth="1"/>
    <col min="10763" max="10763" width="16.42578125" style="23" customWidth="1"/>
    <col min="10764" max="11006" width="9.140625" style="23"/>
    <col min="11007" max="11007" width="3.140625" style="23" customWidth="1"/>
    <col min="11008" max="11008" width="4.140625" style="23" customWidth="1"/>
    <col min="11009" max="11009" width="57.42578125" style="23" customWidth="1"/>
    <col min="11010" max="11010" width="3.28515625" style="23" customWidth="1"/>
    <col min="11011" max="11011" width="3.42578125" style="23" customWidth="1"/>
    <col min="11012" max="11012" width="20" style="23" bestFit="1" customWidth="1"/>
    <col min="11013" max="11013" width="2.7109375" style="23" customWidth="1"/>
    <col min="11014" max="11014" width="19" style="23" customWidth="1"/>
    <col min="11015" max="11015" width="9.140625" style="23"/>
    <col min="11016" max="11016" width="4.7109375" style="23" customWidth="1"/>
    <col min="11017" max="11017" width="0" style="23" hidden="1" customWidth="1"/>
    <col min="11018" max="11018" width="6.140625" style="23" customWidth="1"/>
    <col min="11019" max="11019" width="16.42578125" style="23" customWidth="1"/>
    <col min="11020" max="11262" width="9.140625" style="23"/>
    <col min="11263" max="11263" width="3.140625" style="23" customWidth="1"/>
    <col min="11264" max="11264" width="4.140625" style="23" customWidth="1"/>
    <col min="11265" max="11265" width="57.42578125" style="23" customWidth="1"/>
    <col min="11266" max="11266" width="3.28515625" style="23" customWidth="1"/>
    <col min="11267" max="11267" width="3.42578125" style="23" customWidth="1"/>
    <col min="11268" max="11268" width="20" style="23" bestFit="1" customWidth="1"/>
    <col min="11269" max="11269" width="2.7109375" style="23" customWidth="1"/>
    <col min="11270" max="11270" width="19" style="23" customWidth="1"/>
    <col min="11271" max="11271" width="9.140625" style="23"/>
    <col min="11272" max="11272" width="4.7109375" style="23" customWidth="1"/>
    <col min="11273" max="11273" width="0" style="23" hidden="1" customWidth="1"/>
    <col min="11274" max="11274" width="6.140625" style="23" customWidth="1"/>
    <col min="11275" max="11275" width="16.42578125" style="23" customWidth="1"/>
    <col min="11276" max="11518" width="9.140625" style="23"/>
    <col min="11519" max="11519" width="3.140625" style="23" customWidth="1"/>
    <col min="11520" max="11520" width="4.140625" style="23" customWidth="1"/>
    <col min="11521" max="11521" width="57.42578125" style="23" customWidth="1"/>
    <col min="11522" max="11522" width="3.28515625" style="23" customWidth="1"/>
    <col min="11523" max="11523" width="3.42578125" style="23" customWidth="1"/>
    <col min="11524" max="11524" width="20" style="23" bestFit="1" customWidth="1"/>
    <col min="11525" max="11525" width="2.7109375" style="23" customWidth="1"/>
    <col min="11526" max="11526" width="19" style="23" customWidth="1"/>
    <col min="11527" max="11527" width="9.140625" style="23"/>
    <col min="11528" max="11528" width="4.7109375" style="23" customWidth="1"/>
    <col min="11529" max="11529" width="0" style="23" hidden="1" customWidth="1"/>
    <col min="11530" max="11530" width="6.140625" style="23" customWidth="1"/>
    <col min="11531" max="11531" width="16.42578125" style="23" customWidth="1"/>
    <col min="11532" max="11774" width="9.140625" style="23"/>
    <col min="11775" max="11775" width="3.140625" style="23" customWidth="1"/>
    <col min="11776" max="11776" width="4.140625" style="23" customWidth="1"/>
    <col min="11777" max="11777" width="57.42578125" style="23" customWidth="1"/>
    <col min="11778" max="11778" width="3.28515625" style="23" customWidth="1"/>
    <col min="11779" max="11779" width="3.42578125" style="23" customWidth="1"/>
    <col min="11780" max="11780" width="20" style="23" bestFit="1" customWidth="1"/>
    <col min="11781" max="11781" width="2.7109375" style="23" customWidth="1"/>
    <col min="11782" max="11782" width="19" style="23" customWidth="1"/>
    <col min="11783" max="11783" width="9.140625" style="23"/>
    <col min="11784" max="11784" width="4.7109375" style="23" customWidth="1"/>
    <col min="11785" max="11785" width="0" style="23" hidden="1" customWidth="1"/>
    <col min="11786" max="11786" width="6.140625" style="23" customWidth="1"/>
    <col min="11787" max="11787" width="16.42578125" style="23" customWidth="1"/>
    <col min="11788" max="12030" width="9.140625" style="23"/>
    <col min="12031" max="12031" width="3.140625" style="23" customWidth="1"/>
    <col min="12032" max="12032" width="4.140625" style="23" customWidth="1"/>
    <col min="12033" max="12033" width="57.42578125" style="23" customWidth="1"/>
    <col min="12034" max="12034" width="3.28515625" style="23" customWidth="1"/>
    <col min="12035" max="12035" width="3.42578125" style="23" customWidth="1"/>
    <col min="12036" max="12036" width="20" style="23" bestFit="1" customWidth="1"/>
    <col min="12037" max="12037" width="2.7109375" style="23" customWidth="1"/>
    <col min="12038" max="12038" width="19" style="23" customWidth="1"/>
    <col min="12039" max="12039" width="9.140625" style="23"/>
    <col min="12040" max="12040" width="4.7109375" style="23" customWidth="1"/>
    <col min="12041" max="12041" width="0" style="23" hidden="1" customWidth="1"/>
    <col min="12042" max="12042" width="6.140625" style="23" customWidth="1"/>
    <col min="12043" max="12043" width="16.42578125" style="23" customWidth="1"/>
    <col min="12044" max="12286" width="9.140625" style="23"/>
    <col min="12287" max="12287" width="3.140625" style="23" customWidth="1"/>
    <col min="12288" max="12288" width="4.140625" style="23" customWidth="1"/>
    <col min="12289" max="12289" width="57.42578125" style="23" customWidth="1"/>
    <col min="12290" max="12290" width="3.28515625" style="23" customWidth="1"/>
    <col min="12291" max="12291" width="3.42578125" style="23" customWidth="1"/>
    <col min="12292" max="12292" width="20" style="23" bestFit="1" customWidth="1"/>
    <col min="12293" max="12293" width="2.7109375" style="23" customWidth="1"/>
    <col min="12294" max="12294" width="19" style="23" customWidth="1"/>
    <col min="12295" max="12295" width="9.140625" style="23"/>
    <col min="12296" max="12296" width="4.7109375" style="23" customWidth="1"/>
    <col min="12297" max="12297" width="0" style="23" hidden="1" customWidth="1"/>
    <col min="12298" max="12298" width="6.140625" style="23" customWidth="1"/>
    <col min="12299" max="12299" width="16.42578125" style="23" customWidth="1"/>
    <col min="12300" max="12542" width="9.140625" style="23"/>
    <col min="12543" max="12543" width="3.140625" style="23" customWidth="1"/>
    <col min="12544" max="12544" width="4.140625" style="23" customWidth="1"/>
    <col min="12545" max="12545" width="57.42578125" style="23" customWidth="1"/>
    <col min="12546" max="12546" width="3.28515625" style="23" customWidth="1"/>
    <col min="12547" max="12547" width="3.42578125" style="23" customWidth="1"/>
    <col min="12548" max="12548" width="20" style="23" bestFit="1" customWidth="1"/>
    <col min="12549" max="12549" width="2.7109375" style="23" customWidth="1"/>
    <col min="12550" max="12550" width="19" style="23" customWidth="1"/>
    <col min="12551" max="12551" width="9.140625" style="23"/>
    <col min="12552" max="12552" width="4.7109375" style="23" customWidth="1"/>
    <col min="12553" max="12553" width="0" style="23" hidden="1" customWidth="1"/>
    <col min="12554" max="12554" width="6.140625" style="23" customWidth="1"/>
    <col min="12555" max="12555" width="16.42578125" style="23" customWidth="1"/>
    <col min="12556" max="12798" width="9.140625" style="23"/>
    <col min="12799" max="12799" width="3.140625" style="23" customWidth="1"/>
    <col min="12800" max="12800" width="4.140625" style="23" customWidth="1"/>
    <col min="12801" max="12801" width="57.42578125" style="23" customWidth="1"/>
    <col min="12802" max="12802" width="3.28515625" style="23" customWidth="1"/>
    <col min="12803" max="12803" width="3.42578125" style="23" customWidth="1"/>
    <col min="12804" max="12804" width="20" style="23" bestFit="1" customWidth="1"/>
    <col min="12805" max="12805" width="2.7109375" style="23" customWidth="1"/>
    <col min="12806" max="12806" width="19" style="23" customWidth="1"/>
    <col min="12807" max="12807" width="9.140625" style="23"/>
    <col min="12808" max="12808" width="4.7109375" style="23" customWidth="1"/>
    <col min="12809" max="12809" width="0" style="23" hidden="1" customWidth="1"/>
    <col min="12810" max="12810" width="6.140625" style="23" customWidth="1"/>
    <col min="12811" max="12811" width="16.42578125" style="23" customWidth="1"/>
    <col min="12812" max="13054" width="9.140625" style="23"/>
    <col min="13055" max="13055" width="3.140625" style="23" customWidth="1"/>
    <col min="13056" max="13056" width="4.140625" style="23" customWidth="1"/>
    <col min="13057" max="13057" width="57.42578125" style="23" customWidth="1"/>
    <col min="13058" max="13058" width="3.28515625" style="23" customWidth="1"/>
    <col min="13059" max="13059" width="3.42578125" style="23" customWidth="1"/>
    <col min="13060" max="13060" width="20" style="23" bestFit="1" customWidth="1"/>
    <col min="13061" max="13061" width="2.7109375" style="23" customWidth="1"/>
    <col min="13062" max="13062" width="19" style="23" customWidth="1"/>
    <col min="13063" max="13063" width="9.140625" style="23"/>
    <col min="13064" max="13064" width="4.7109375" style="23" customWidth="1"/>
    <col min="13065" max="13065" width="0" style="23" hidden="1" customWidth="1"/>
    <col min="13066" max="13066" width="6.140625" style="23" customWidth="1"/>
    <col min="13067" max="13067" width="16.42578125" style="23" customWidth="1"/>
    <col min="13068" max="13310" width="9.140625" style="23"/>
    <col min="13311" max="13311" width="3.140625" style="23" customWidth="1"/>
    <col min="13312" max="13312" width="4.140625" style="23" customWidth="1"/>
    <col min="13313" max="13313" width="57.42578125" style="23" customWidth="1"/>
    <col min="13314" max="13314" width="3.28515625" style="23" customWidth="1"/>
    <col min="13315" max="13315" width="3.42578125" style="23" customWidth="1"/>
    <col min="13316" max="13316" width="20" style="23" bestFit="1" customWidth="1"/>
    <col min="13317" max="13317" width="2.7109375" style="23" customWidth="1"/>
    <col min="13318" max="13318" width="19" style="23" customWidth="1"/>
    <col min="13319" max="13319" width="9.140625" style="23"/>
    <col min="13320" max="13320" width="4.7109375" style="23" customWidth="1"/>
    <col min="13321" max="13321" width="0" style="23" hidden="1" customWidth="1"/>
    <col min="13322" max="13322" width="6.140625" style="23" customWidth="1"/>
    <col min="13323" max="13323" width="16.42578125" style="23" customWidth="1"/>
    <col min="13324" max="13566" width="9.140625" style="23"/>
    <col min="13567" max="13567" width="3.140625" style="23" customWidth="1"/>
    <col min="13568" max="13568" width="4.140625" style="23" customWidth="1"/>
    <col min="13569" max="13569" width="57.42578125" style="23" customWidth="1"/>
    <col min="13570" max="13570" width="3.28515625" style="23" customWidth="1"/>
    <col min="13571" max="13571" width="3.42578125" style="23" customWidth="1"/>
    <col min="13572" max="13572" width="20" style="23" bestFit="1" customWidth="1"/>
    <col min="13573" max="13573" width="2.7109375" style="23" customWidth="1"/>
    <col min="13574" max="13574" width="19" style="23" customWidth="1"/>
    <col min="13575" max="13575" width="9.140625" style="23"/>
    <col min="13576" max="13576" width="4.7109375" style="23" customWidth="1"/>
    <col min="13577" max="13577" width="0" style="23" hidden="1" customWidth="1"/>
    <col min="13578" max="13578" width="6.140625" style="23" customWidth="1"/>
    <col min="13579" max="13579" width="16.42578125" style="23" customWidth="1"/>
    <col min="13580" max="13822" width="9.140625" style="23"/>
    <col min="13823" max="13823" width="3.140625" style="23" customWidth="1"/>
    <col min="13824" max="13824" width="4.140625" style="23" customWidth="1"/>
    <col min="13825" max="13825" width="57.42578125" style="23" customWidth="1"/>
    <col min="13826" max="13826" width="3.28515625" style="23" customWidth="1"/>
    <col min="13827" max="13827" width="3.42578125" style="23" customWidth="1"/>
    <col min="13828" max="13828" width="20" style="23" bestFit="1" customWidth="1"/>
    <col min="13829" max="13829" width="2.7109375" style="23" customWidth="1"/>
    <col min="13830" max="13830" width="19" style="23" customWidth="1"/>
    <col min="13831" max="13831" width="9.140625" style="23"/>
    <col min="13832" max="13832" width="4.7109375" style="23" customWidth="1"/>
    <col min="13833" max="13833" width="0" style="23" hidden="1" customWidth="1"/>
    <col min="13834" max="13834" width="6.140625" style="23" customWidth="1"/>
    <col min="13835" max="13835" width="16.42578125" style="23" customWidth="1"/>
    <col min="13836" max="14078" width="9.140625" style="23"/>
    <col min="14079" max="14079" width="3.140625" style="23" customWidth="1"/>
    <col min="14080" max="14080" width="4.140625" style="23" customWidth="1"/>
    <col min="14081" max="14081" width="57.42578125" style="23" customWidth="1"/>
    <col min="14082" max="14082" width="3.28515625" style="23" customWidth="1"/>
    <col min="14083" max="14083" width="3.42578125" style="23" customWidth="1"/>
    <col min="14084" max="14084" width="20" style="23" bestFit="1" customWidth="1"/>
    <col min="14085" max="14085" width="2.7109375" style="23" customWidth="1"/>
    <col min="14086" max="14086" width="19" style="23" customWidth="1"/>
    <col min="14087" max="14087" width="9.140625" style="23"/>
    <col min="14088" max="14088" width="4.7109375" style="23" customWidth="1"/>
    <col min="14089" max="14089" width="0" style="23" hidden="1" customWidth="1"/>
    <col min="14090" max="14090" width="6.140625" style="23" customWidth="1"/>
    <col min="14091" max="14091" width="16.42578125" style="23" customWidth="1"/>
    <col min="14092" max="14334" width="9.140625" style="23"/>
    <col min="14335" max="14335" width="3.140625" style="23" customWidth="1"/>
    <col min="14336" max="14336" width="4.140625" style="23" customWidth="1"/>
    <col min="14337" max="14337" width="57.42578125" style="23" customWidth="1"/>
    <col min="14338" max="14338" width="3.28515625" style="23" customWidth="1"/>
    <col min="14339" max="14339" width="3.42578125" style="23" customWidth="1"/>
    <col min="14340" max="14340" width="20" style="23" bestFit="1" customWidth="1"/>
    <col min="14341" max="14341" width="2.7109375" style="23" customWidth="1"/>
    <col min="14342" max="14342" width="19" style="23" customWidth="1"/>
    <col min="14343" max="14343" width="9.140625" style="23"/>
    <col min="14344" max="14344" width="4.7109375" style="23" customWidth="1"/>
    <col min="14345" max="14345" width="0" style="23" hidden="1" customWidth="1"/>
    <col min="14346" max="14346" width="6.140625" style="23" customWidth="1"/>
    <col min="14347" max="14347" width="16.42578125" style="23" customWidth="1"/>
    <col min="14348" max="14590" width="9.140625" style="23"/>
    <col min="14591" max="14591" width="3.140625" style="23" customWidth="1"/>
    <col min="14592" max="14592" width="4.140625" style="23" customWidth="1"/>
    <col min="14593" max="14593" width="57.42578125" style="23" customWidth="1"/>
    <col min="14594" max="14594" width="3.28515625" style="23" customWidth="1"/>
    <col min="14595" max="14595" width="3.42578125" style="23" customWidth="1"/>
    <col min="14596" max="14596" width="20" style="23" bestFit="1" customWidth="1"/>
    <col min="14597" max="14597" width="2.7109375" style="23" customWidth="1"/>
    <col min="14598" max="14598" width="19" style="23" customWidth="1"/>
    <col min="14599" max="14599" width="9.140625" style="23"/>
    <col min="14600" max="14600" width="4.7109375" style="23" customWidth="1"/>
    <col min="14601" max="14601" width="0" style="23" hidden="1" customWidth="1"/>
    <col min="14602" max="14602" width="6.140625" style="23" customWidth="1"/>
    <col min="14603" max="14603" width="16.42578125" style="23" customWidth="1"/>
    <col min="14604" max="14846" width="9.140625" style="23"/>
    <col min="14847" max="14847" width="3.140625" style="23" customWidth="1"/>
    <col min="14848" max="14848" width="4.140625" style="23" customWidth="1"/>
    <col min="14849" max="14849" width="57.42578125" style="23" customWidth="1"/>
    <col min="14850" max="14850" width="3.28515625" style="23" customWidth="1"/>
    <col min="14851" max="14851" width="3.42578125" style="23" customWidth="1"/>
    <col min="14852" max="14852" width="20" style="23" bestFit="1" customWidth="1"/>
    <col min="14853" max="14853" width="2.7109375" style="23" customWidth="1"/>
    <col min="14854" max="14854" width="19" style="23" customWidth="1"/>
    <col min="14855" max="14855" width="9.140625" style="23"/>
    <col min="14856" max="14856" width="4.7109375" style="23" customWidth="1"/>
    <col min="14857" max="14857" width="0" style="23" hidden="1" customWidth="1"/>
    <col min="14858" max="14858" width="6.140625" style="23" customWidth="1"/>
    <col min="14859" max="14859" width="16.42578125" style="23" customWidth="1"/>
    <col min="14860" max="15102" width="9.140625" style="23"/>
    <col min="15103" max="15103" width="3.140625" style="23" customWidth="1"/>
    <col min="15104" max="15104" width="4.140625" style="23" customWidth="1"/>
    <col min="15105" max="15105" width="57.42578125" style="23" customWidth="1"/>
    <col min="15106" max="15106" width="3.28515625" style="23" customWidth="1"/>
    <col min="15107" max="15107" width="3.42578125" style="23" customWidth="1"/>
    <col min="15108" max="15108" width="20" style="23" bestFit="1" customWidth="1"/>
    <col min="15109" max="15109" width="2.7109375" style="23" customWidth="1"/>
    <col min="15110" max="15110" width="19" style="23" customWidth="1"/>
    <col min="15111" max="15111" width="9.140625" style="23"/>
    <col min="15112" max="15112" width="4.7109375" style="23" customWidth="1"/>
    <col min="15113" max="15113" width="0" style="23" hidden="1" customWidth="1"/>
    <col min="15114" max="15114" width="6.140625" style="23" customWidth="1"/>
    <col min="15115" max="15115" width="16.42578125" style="23" customWidth="1"/>
    <col min="15116" max="15358" width="9.140625" style="23"/>
    <col min="15359" max="15359" width="3.140625" style="23" customWidth="1"/>
    <col min="15360" max="15360" width="4.140625" style="23" customWidth="1"/>
    <col min="15361" max="15361" width="57.42578125" style="23" customWidth="1"/>
    <col min="15362" max="15362" width="3.28515625" style="23" customWidth="1"/>
    <col min="15363" max="15363" width="3.42578125" style="23" customWidth="1"/>
    <col min="15364" max="15364" width="20" style="23" bestFit="1" customWidth="1"/>
    <col min="15365" max="15365" width="2.7109375" style="23" customWidth="1"/>
    <col min="15366" max="15366" width="19" style="23" customWidth="1"/>
    <col min="15367" max="15367" width="9.140625" style="23"/>
    <col min="15368" max="15368" width="4.7109375" style="23" customWidth="1"/>
    <col min="15369" max="15369" width="0" style="23" hidden="1" customWidth="1"/>
    <col min="15370" max="15370" width="6.140625" style="23" customWidth="1"/>
    <col min="15371" max="15371" width="16.42578125" style="23" customWidth="1"/>
    <col min="15372" max="15614" width="9.140625" style="23"/>
    <col min="15615" max="15615" width="3.140625" style="23" customWidth="1"/>
    <col min="15616" max="15616" width="4.140625" style="23" customWidth="1"/>
    <col min="15617" max="15617" width="57.42578125" style="23" customWidth="1"/>
    <col min="15618" max="15618" width="3.28515625" style="23" customWidth="1"/>
    <col min="15619" max="15619" width="3.42578125" style="23" customWidth="1"/>
    <col min="15620" max="15620" width="20" style="23" bestFit="1" customWidth="1"/>
    <col min="15621" max="15621" width="2.7109375" style="23" customWidth="1"/>
    <col min="15622" max="15622" width="19" style="23" customWidth="1"/>
    <col min="15623" max="15623" width="9.140625" style="23"/>
    <col min="15624" max="15624" width="4.7109375" style="23" customWidth="1"/>
    <col min="15625" max="15625" width="0" style="23" hidden="1" customWidth="1"/>
    <col min="15626" max="15626" width="6.140625" style="23" customWidth="1"/>
    <col min="15627" max="15627" width="16.42578125" style="23" customWidth="1"/>
    <col min="15628" max="15870" width="9.140625" style="23"/>
    <col min="15871" max="15871" width="3.140625" style="23" customWidth="1"/>
    <col min="15872" max="15872" width="4.140625" style="23" customWidth="1"/>
    <col min="15873" max="15873" width="57.42578125" style="23" customWidth="1"/>
    <col min="15874" max="15874" width="3.28515625" style="23" customWidth="1"/>
    <col min="15875" max="15875" width="3.42578125" style="23" customWidth="1"/>
    <col min="15876" max="15876" width="20" style="23" bestFit="1" customWidth="1"/>
    <col min="15877" max="15877" width="2.7109375" style="23" customWidth="1"/>
    <col min="15878" max="15878" width="19" style="23" customWidth="1"/>
    <col min="15879" max="15879" width="9.140625" style="23"/>
    <col min="15880" max="15880" width="4.7109375" style="23" customWidth="1"/>
    <col min="15881" max="15881" width="0" style="23" hidden="1" customWidth="1"/>
    <col min="15882" max="15882" width="6.140625" style="23" customWidth="1"/>
    <col min="15883" max="15883" width="16.42578125" style="23" customWidth="1"/>
    <col min="15884" max="16126" width="9.140625" style="23"/>
    <col min="16127" max="16127" width="3.140625" style="23" customWidth="1"/>
    <col min="16128" max="16128" width="4.140625" style="23" customWidth="1"/>
    <col min="16129" max="16129" width="57.42578125" style="23" customWidth="1"/>
    <col min="16130" max="16130" width="3.28515625" style="23" customWidth="1"/>
    <col min="16131" max="16131" width="3.42578125" style="23" customWidth="1"/>
    <col min="16132" max="16132" width="20" style="23" bestFit="1" customWidth="1"/>
    <col min="16133" max="16133" width="2.7109375" style="23" customWidth="1"/>
    <col min="16134" max="16134" width="19" style="23" customWidth="1"/>
    <col min="16135" max="16135" width="9.140625" style="23"/>
    <col min="16136" max="16136" width="4.7109375" style="23" customWidth="1"/>
    <col min="16137" max="16137" width="0" style="23" hidden="1" customWidth="1"/>
    <col min="16138" max="16138" width="6.140625" style="23" customWidth="1"/>
    <col min="16139" max="16139" width="16.42578125" style="23" customWidth="1"/>
    <col min="16140" max="16384" width="9.140625" style="23"/>
  </cols>
  <sheetData>
    <row r="1" spans="1:11" ht="14.25" customHeight="1" x14ac:dyDescent="0.25">
      <c r="A1" s="186" t="s">
        <v>22</v>
      </c>
      <c r="B1" s="1020" t="s">
        <v>22</v>
      </c>
      <c r="C1" s="1020"/>
      <c r="D1" s="186"/>
      <c r="E1" s="186"/>
      <c r="F1" s="183"/>
    </row>
    <row r="2" spans="1:11" ht="14.25" customHeight="1" x14ac:dyDescent="0.25">
      <c r="A2" s="185"/>
      <c r="B2" s="1021" t="s">
        <v>38</v>
      </c>
      <c r="C2" s="1021"/>
    </row>
    <row r="3" spans="1:11" ht="14.1" customHeight="1" x14ac:dyDescent="0.2">
      <c r="A3" s="6"/>
      <c r="B3" s="1023" t="s">
        <v>1120</v>
      </c>
      <c r="C3" s="1023"/>
      <c r="D3" s="1023"/>
      <c r="E3" s="1023"/>
      <c r="F3" s="1023"/>
      <c r="G3" s="1023"/>
      <c r="H3" s="1023"/>
      <c r="I3" s="1023"/>
      <c r="J3" s="1023"/>
      <c r="K3" s="7"/>
    </row>
    <row r="4" spans="1:11" ht="14.1" customHeight="1" x14ac:dyDescent="0.25">
      <c r="A4" s="6"/>
      <c r="B4" s="1022"/>
      <c r="C4" s="1022"/>
      <c r="D4" s="6"/>
      <c r="F4" s="7"/>
      <c r="G4" s="7"/>
      <c r="H4" s="7"/>
      <c r="I4" s="8"/>
      <c r="J4" s="7"/>
      <c r="K4" s="7"/>
    </row>
    <row r="5" spans="1:11" ht="18.75" customHeight="1" thickBot="1" x14ac:dyDescent="0.3">
      <c r="A5" s="7"/>
      <c r="B5" s="25"/>
      <c r="C5" s="25"/>
      <c r="D5" s="25"/>
      <c r="E5" s="36"/>
      <c r="F5" s="25"/>
      <c r="G5" s="7"/>
      <c r="H5" s="7"/>
      <c r="I5" s="8"/>
      <c r="J5" s="1024"/>
      <c r="K5" s="1024"/>
    </row>
    <row r="6" spans="1:11" s="1" customFormat="1" ht="15" customHeight="1" x14ac:dyDescent="0.25">
      <c r="B6" s="12" t="s">
        <v>4</v>
      </c>
      <c r="C6" s="12"/>
      <c r="D6" s="12"/>
      <c r="E6" s="352"/>
      <c r="F6" s="13" t="s">
        <v>941</v>
      </c>
      <c r="G6" s="180"/>
      <c r="H6" s="9" t="s">
        <v>4</v>
      </c>
      <c r="I6" s="10" t="s">
        <v>5</v>
      </c>
      <c r="J6" s="9"/>
    </row>
    <row r="7" spans="1:11" ht="12.75" customHeight="1" x14ac:dyDescent="0.25">
      <c r="E7" s="37"/>
      <c r="F7" s="56"/>
      <c r="G7" s="26"/>
    </row>
    <row r="8" spans="1:11" ht="12.75" customHeight="1" x14ac:dyDescent="0.25">
      <c r="A8" s="185" t="s">
        <v>14</v>
      </c>
      <c r="B8" s="1018" t="s">
        <v>14</v>
      </c>
      <c r="C8" s="1025"/>
      <c r="D8" s="185"/>
      <c r="E8" s="37"/>
      <c r="F8" s="56"/>
      <c r="G8" s="26"/>
    </row>
    <row r="9" spans="1:11" ht="12.75" customHeight="1" x14ac:dyDescent="0.25">
      <c r="A9" s="185"/>
      <c r="B9" s="182"/>
      <c r="C9" s="176"/>
      <c r="D9" s="185"/>
      <c r="E9" s="37"/>
      <c r="F9" s="56"/>
      <c r="G9" s="26"/>
    </row>
    <row r="10" spans="1:11" ht="17.25" customHeight="1" x14ac:dyDescent="0.25">
      <c r="A10" s="185"/>
      <c r="B10" s="185" t="s">
        <v>1117</v>
      </c>
      <c r="C10" s="341"/>
      <c r="D10" s="185"/>
      <c r="E10" s="37"/>
      <c r="F10" s="56"/>
      <c r="G10" s="26"/>
    </row>
    <row r="11" spans="1:11" ht="15" customHeight="1" x14ac:dyDescent="0.25">
      <c r="A11" s="185"/>
      <c r="B11" s="23" t="s">
        <v>26</v>
      </c>
      <c r="E11" s="44">
        <v>202083273</v>
      </c>
      <c r="F11" s="57">
        <v>192105188</v>
      </c>
      <c r="G11" s="26"/>
    </row>
    <row r="12" spans="1:11" ht="15" customHeight="1" x14ac:dyDescent="0.25">
      <c r="A12" s="185"/>
      <c r="B12" s="23" t="s">
        <v>37</v>
      </c>
      <c r="C12" s="185"/>
      <c r="D12" s="185"/>
      <c r="E12" s="44">
        <v>31253194</v>
      </c>
      <c r="F12" s="57">
        <v>28069985</v>
      </c>
      <c r="G12" s="26"/>
    </row>
    <row r="13" spans="1:11" ht="16.5" customHeight="1" x14ac:dyDescent="0.25">
      <c r="A13" s="185"/>
      <c r="B13" s="23" t="s">
        <v>16</v>
      </c>
      <c r="E13" s="44">
        <v>12810584</v>
      </c>
      <c r="F13" s="57">
        <v>3219637</v>
      </c>
      <c r="G13" s="26"/>
    </row>
    <row r="14" spans="1:11" ht="14.25" customHeight="1" x14ac:dyDescent="0.25">
      <c r="B14" s="23" t="s">
        <v>15</v>
      </c>
      <c r="E14" s="44">
        <v>3739838</v>
      </c>
      <c r="F14" s="57">
        <v>2508300</v>
      </c>
      <c r="G14" s="26"/>
    </row>
    <row r="15" spans="1:11" ht="14.25" customHeight="1" x14ac:dyDescent="0.25">
      <c r="B15" s="23" t="s">
        <v>27</v>
      </c>
      <c r="E15" s="44">
        <v>471350</v>
      </c>
      <c r="F15" s="57">
        <v>2873341</v>
      </c>
      <c r="G15" s="26"/>
    </row>
    <row r="16" spans="1:11" ht="14.25" hidden="1" customHeight="1" x14ac:dyDescent="0.2">
      <c r="E16" s="23"/>
      <c r="G16" s="26"/>
    </row>
    <row r="17" spans="1:11" ht="14.25" customHeight="1" x14ac:dyDescent="0.25">
      <c r="B17" s="346" t="s">
        <v>945</v>
      </c>
      <c r="C17" s="346"/>
      <c r="D17" s="338"/>
      <c r="E17" s="340">
        <f>SUM(E11:E16)</f>
        <v>250358239</v>
      </c>
      <c r="F17" s="339">
        <f>SUM(F11:F16)</f>
        <v>228776451</v>
      </c>
      <c r="G17" s="26"/>
    </row>
    <row r="18" spans="1:11" ht="14.25" customHeight="1" x14ac:dyDescent="0.25">
      <c r="E18" s="342"/>
      <c r="F18" s="343"/>
      <c r="G18" s="26"/>
    </row>
    <row r="19" spans="1:11" ht="14.25" customHeight="1" x14ac:dyDescent="0.25">
      <c r="B19" s="185" t="s">
        <v>1118</v>
      </c>
      <c r="E19" s="23"/>
      <c r="G19" s="26"/>
    </row>
    <row r="20" spans="1:11" ht="15.75" customHeight="1" x14ac:dyDescent="0.25">
      <c r="B20" s="23" t="s">
        <v>29</v>
      </c>
      <c r="E20" s="44">
        <v>-72530637</v>
      </c>
      <c r="F20" s="57">
        <v>-95877153</v>
      </c>
      <c r="G20" s="26"/>
    </row>
    <row r="21" spans="1:11" ht="16.5" customHeight="1" x14ac:dyDescent="0.25">
      <c r="B21" s="23" t="s">
        <v>30</v>
      </c>
      <c r="E21" s="44">
        <f>-84494894+80000</f>
        <v>-84414894</v>
      </c>
      <c r="F21" s="57">
        <v>-66925730</v>
      </c>
      <c r="G21" s="26"/>
      <c r="K21" s="23" t="s">
        <v>4</v>
      </c>
    </row>
    <row r="22" spans="1:11" ht="15" customHeight="1" x14ac:dyDescent="0.25">
      <c r="B22" s="23" t="s">
        <v>28</v>
      </c>
      <c r="E22" s="44">
        <v>-28144220</v>
      </c>
      <c r="F22" s="57">
        <v>-26788352</v>
      </c>
      <c r="G22" s="26"/>
    </row>
    <row r="23" spans="1:11" ht="17.25" customHeight="1" x14ac:dyDescent="0.25">
      <c r="B23" s="346" t="s">
        <v>946</v>
      </c>
      <c r="C23" s="115"/>
      <c r="D23" s="110"/>
      <c r="E23" s="111">
        <f>SUM(E20:E22)</f>
        <v>-185089751</v>
      </c>
      <c r="F23" s="112">
        <f>SUM(F20:F22)</f>
        <v>-189591235</v>
      </c>
      <c r="G23" s="26"/>
    </row>
    <row r="24" spans="1:11" ht="21.75" customHeight="1" x14ac:dyDescent="0.25">
      <c r="B24" s="347" t="s">
        <v>990</v>
      </c>
      <c r="C24" s="109"/>
      <c r="D24" s="27"/>
      <c r="E24" s="344">
        <f>E17+E23</f>
        <v>65268488</v>
      </c>
      <c r="F24" s="345">
        <f>F17+F23</f>
        <v>39185216</v>
      </c>
      <c r="G24" s="26"/>
    </row>
    <row r="25" spans="1:11" ht="17.25" customHeight="1" x14ac:dyDescent="0.25">
      <c r="E25" s="46"/>
      <c r="F25" s="24"/>
      <c r="G25" s="26"/>
    </row>
    <row r="26" spans="1:11" ht="15" customHeight="1" x14ac:dyDescent="0.25">
      <c r="B26" s="1018" t="s">
        <v>17</v>
      </c>
      <c r="C26" s="1018"/>
      <c r="E26" s="46"/>
      <c r="F26" s="24"/>
      <c r="G26" s="26"/>
    </row>
    <row r="27" spans="1:11" ht="15" customHeight="1" x14ac:dyDescent="0.25">
      <c r="B27" s="182"/>
      <c r="C27" s="182"/>
      <c r="E27" s="46"/>
      <c r="F27" s="24"/>
      <c r="G27" s="26"/>
    </row>
    <row r="28" spans="1:11" ht="15" customHeight="1" x14ac:dyDescent="0.25">
      <c r="B28" s="185" t="s">
        <v>1117</v>
      </c>
      <c r="C28" s="182"/>
      <c r="E28" s="46"/>
      <c r="F28" s="24"/>
      <c r="G28" s="26"/>
    </row>
    <row r="29" spans="1:11" ht="15.75" customHeight="1" x14ac:dyDescent="0.25">
      <c r="A29" s="185"/>
      <c r="B29" s="164" t="s">
        <v>910</v>
      </c>
      <c r="C29" s="164"/>
      <c r="D29" s="185"/>
      <c r="E29" s="43">
        <v>168078876</v>
      </c>
      <c r="F29" s="59">
        <v>759167490</v>
      </c>
      <c r="G29" s="26"/>
    </row>
    <row r="30" spans="1:11" ht="18" customHeight="1" x14ac:dyDescent="0.25">
      <c r="B30" s="164" t="s">
        <v>31</v>
      </c>
      <c r="C30" s="164"/>
      <c r="D30" s="164"/>
      <c r="E30" s="105">
        <v>1203882</v>
      </c>
      <c r="F30" s="106">
        <v>1575</v>
      </c>
      <c r="G30" s="26"/>
    </row>
    <row r="31" spans="1:11" ht="15" customHeight="1" x14ac:dyDescent="0.25">
      <c r="A31" s="185"/>
      <c r="B31" s="23" t="s">
        <v>36</v>
      </c>
      <c r="D31" s="185"/>
      <c r="E31" s="4">
        <v>714888</v>
      </c>
      <c r="F31" s="19">
        <v>341051</v>
      </c>
      <c r="G31" s="26"/>
    </row>
    <row r="32" spans="1:11" ht="15" customHeight="1" x14ac:dyDescent="0.25">
      <c r="A32" s="185"/>
      <c r="B32" s="346" t="s">
        <v>945</v>
      </c>
      <c r="C32" s="115"/>
      <c r="D32" s="347"/>
      <c r="E32" s="348">
        <f>SUM(E29:E31)</f>
        <v>169997646</v>
      </c>
      <c r="F32" s="349">
        <f>SUM(F29:F31)</f>
        <v>759510116</v>
      </c>
      <c r="G32" s="26"/>
    </row>
    <row r="33" spans="1:11" s="185" customFormat="1" ht="26.25" customHeight="1" x14ac:dyDescent="0.25">
      <c r="B33" s="347" t="s">
        <v>802</v>
      </c>
      <c r="C33" s="347"/>
      <c r="D33" s="350"/>
      <c r="E33" s="178">
        <f>SUM(E29:E31)</f>
        <v>169997646</v>
      </c>
      <c r="F33" s="209">
        <f>SUM(F29:F31)</f>
        <v>759510116</v>
      </c>
      <c r="G33" s="34"/>
      <c r="I33" s="46"/>
    </row>
    <row r="34" spans="1:11" ht="16.899999999999999" customHeight="1" x14ac:dyDescent="0.25">
      <c r="E34" s="4"/>
      <c r="F34" s="19"/>
      <c r="G34" s="34"/>
    </row>
    <row r="35" spans="1:11" ht="12.75" customHeight="1" x14ac:dyDescent="0.25">
      <c r="B35" s="1018" t="s">
        <v>18</v>
      </c>
      <c r="C35" s="1018"/>
      <c r="E35" s="47"/>
      <c r="F35" s="60"/>
      <c r="G35" s="26"/>
    </row>
    <row r="36" spans="1:11" ht="12.75" customHeight="1" x14ac:dyDescent="0.25">
      <c r="B36" s="182"/>
      <c r="C36" s="182"/>
      <c r="E36" s="47"/>
      <c r="F36" s="60"/>
      <c r="G36" s="26"/>
    </row>
    <row r="37" spans="1:11" ht="12.75" customHeight="1" x14ac:dyDescent="0.25">
      <c r="B37" s="185" t="s">
        <v>1118</v>
      </c>
      <c r="C37" s="182"/>
      <c r="E37" s="47"/>
      <c r="F37" s="60"/>
      <c r="G37" s="26"/>
    </row>
    <row r="38" spans="1:11" ht="12.75" customHeight="1" x14ac:dyDescent="0.25">
      <c r="B38" s="23" t="s">
        <v>32</v>
      </c>
      <c r="E38" s="177">
        <v>-102075925</v>
      </c>
      <c r="F38" s="210">
        <v>-720000000</v>
      </c>
      <c r="G38" s="26"/>
    </row>
    <row r="39" spans="1:11" ht="15.75" customHeight="1" x14ac:dyDescent="0.25">
      <c r="B39" s="27" t="s">
        <v>52</v>
      </c>
      <c r="C39" s="27"/>
      <c r="D39" s="27"/>
      <c r="E39" s="113">
        <v>0</v>
      </c>
      <c r="F39" s="114">
        <v>-116282858</v>
      </c>
      <c r="G39" s="26"/>
    </row>
    <row r="40" spans="1:11" ht="15.75" customHeight="1" x14ac:dyDescent="0.25">
      <c r="B40" s="346" t="s">
        <v>946</v>
      </c>
      <c r="C40" s="115"/>
      <c r="D40" s="115"/>
      <c r="E40" s="348">
        <f>SUM(E38:E39)</f>
        <v>-102075925</v>
      </c>
      <c r="F40" s="349">
        <f>SUM(F38:F39)</f>
        <v>-836282858</v>
      </c>
      <c r="G40" s="26"/>
    </row>
    <row r="41" spans="1:11" s="185" customFormat="1" ht="20.25" customHeight="1" x14ac:dyDescent="0.25">
      <c r="B41" s="109" t="s">
        <v>40</v>
      </c>
      <c r="C41" s="109"/>
      <c r="D41" s="29"/>
      <c r="E41" s="45">
        <f>SUM(E38:E39)</f>
        <v>-102075925</v>
      </c>
      <c r="F41" s="58">
        <f>SUM(F38:F39)</f>
        <v>-836282858</v>
      </c>
      <c r="G41" s="351"/>
      <c r="I41" s="46" t="s">
        <v>4</v>
      </c>
    </row>
    <row r="42" spans="1:11" ht="20.25" customHeight="1" x14ac:dyDescent="0.25">
      <c r="A42" s="28" t="s">
        <v>4</v>
      </c>
      <c r="B42" s="1018" t="s">
        <v>42</v>
      </c>
      <c r="C42" s="1018"/>
      <c r="D42" s="28"/>
      <c r="E42" s="47"/>
      <c r="F42" s="60"/>
      <c r="G42" s="26"/>
    </row>
    <row r="43" spans="1:11" ht="16.5" customHeight="1" x14ac:dyDescent="0.25">
      <c r="A43" s="185"/>
      <c r="B43" s="29" t="s">
        <v>41</v>
      </c>
      <c r="C43" s="29"/>
      <c r="D43" s="29"/>
      <c r="E43" s="45">
        <v>-62760</v>
      </c>
      <c r="F43" s="58">
        <v>-7398</v>
      </c>
      <c r="G43" s="26"/>
    </row>
    <row r="44" spans="1:11" ht="18.75" customHeight="1" x14ac:dyDescent="0.25">
      <c r="A44" s="185" t="s">
        <v>19</v>
      </c>
      <c r="B44" s="30" t="s">
        <v>989</v>
      </c>
      <c r="C44" s="30"/>
      <c r="D44" s="30"/>
      <c r="E44" s="46">
        <f>E24+E33+E41+E43</f>
        <v>133127449</v>
      </c>
      <c r="F44" s="24">
        <f>F24+F33+F41+F43</f>
        <v>-37594924</v>
      </c>
      <c r="G44" s="26"/>
    </row>
    <row r="45" spans="1:11" ht="18.75" customHeight="1" x14ac:dyDescent="0.25">
      <c r="A45" s="185" t="s">
        <v>20</v>
      </c>
      <c r="B45" s="1018" t="s">
        <v>20</v>
      </c>
      <c r="C45" s="1018"/>
      <c r="D45" s="30"/>
      <c r="E45" s="46">
        <v>121621670</v>
      </c>
      <c r="F45" s="24">
        <v>159216594</v>
      </c>
      <c r="G45" s="26"/>
    </row>
    <row r="46" spans="1:11" ht="20.25" customHeight="1" thickBot="1" x14ac:dyDescent="0.3">
      <c r="A46" s="185" t="s">
        <v>21</v>
      </c>
      <c r="B46" s="1019" t="s">
        <v>21</v>
      </c>
      <c r="C46" s="1019"/>
      <c r="D46" s="138"/>
      <c r="E46" s="139">
        <f>SUM(E44:E45)</f>
        <v>254749119</v>
      </c>
      <c r="F46" s="140">
        <f>F44+F45</f>
        <v>121621670</v>
      </c>
      <c r="G46" s="26"/>
    </row>
    <row r="47" spans="1:11" ht="15.6" customHeight="1" thickTop="1" thickBot="1" x14ac:dyDescent="0.3">
      <c r="B47" s="31"/>
      <c r="C47" s="31"/>
      <c r="D47" s="31"/>
      <c r="E47" s="38"/>
      <c r="F47" s="211"/>
      <c r="G47" s="26"/>
      <c r="I47" s="24" t="s">
        <v>4</v>
      </c>
    </row>
    <row r="48" spans="1:11" s="185" customFormat="1" ht="12.75" customHeight="1" x14ac:dyDescent="0.25">
      <c r="A48" s="23"/>
      <c r="B48" s="41"/>
      <c r="C48" s="20"/>
      <c r="D48" s="6"/>
      <c r="E48" s="35"/>
      <c r="F48" s="23"/>
      <c r="G48" s="23"/>
      <c r="H48" s="23"/>
      <c r="I48" s="24"/>
      <c r="J48" s="23"/>
      <c r="K48" s="23"/>
    </row>
    <row r="49" spans="1:11" s="185" customFormat="1" ht="12.75" customHeight="1" x14ac:dyDescent="0.25">
      <c r="A49" s="23"/>
      <c r="B49" s="6"/>
      <c r="C49" s="6"/>
      <c r="D49" s="6"/>
      <c r="E49" s="39"/>
      <c r="F49" s="23"/>
      <c r="G49" s="23"/>
      <c r="H49" s="23"/>
      <c r="I49" s="24"/>
      <c r="J49" s="23"/>
      <c r="K49" s="23"/>
    </row>
    <row r="50" spans="1:11" s="185" customFormat="1" ht="12.75" customHeight="1" x14ac:dyDescent="0.25">
      <c r="A50" s="23"/>
      <c r="B50" s="6"/>
      <c r="C50" s="6"/>
      <c r="D50" s="6"/>
      <c r="E50" s="35"/>
      <c r="F50" s="23"/>
      <c r="G50" s="23"/>
      <c r="H50" s="23"/>
      <c r="I50" s="24"/>
      <c r="J50" s="23"/>
      <c r="K50" s="23"/>
    </row>
    <row r="51" spans="1:11" s="185" customFormat="1" ht="12.75" customHeight="1" x14ac:dyDescent="0.25">
      <c r="A51" s="23"/>
      <c r="D51" s="6"/>
      <c r="E51" s="35"/>
      <c r="F51" s="23"/>
      <c r="G51" s="23"/>
      <c r="H51" s="23"/>
      <c r="I51" s="24"/>
      <c r="J51" s="23"/>
      <c r="K51" s="23"/>
    </row>
    <row r="52" spans="1:11" s="185" customFormat="1" ht="12.75" customHeight="1" x14ac:dyDescent="0.25">
      <c r="A52" s="23"/>
      <c r="B52" s="6"/>
      <c r="C52" s="6"/>
      <c r="D52" s="6"/>
      <c r="E52" s="35"/>
      <c r="F52" s="23"/>
      <c r="G52" s="23"/>
      <c r="H52" s="23"/>
      <c r="I52" s="24"/>
      <c r="J52" s="23"/>
      <c r="K52" s="23"/>
    </row>
    <row r="53" spans="1:11" s="185" customFormat="1" ht="12.75" customHeight="1" x14ac:dyDescent="0.25">
      <c r="A53" s="23"/>
      <c r="B53" s="6"/>
      <c r="C53" s="6"/>
      <c r="D53" s="6"/>
      <c r="E53" s="35"/>
      <c r="F53" s="23"/>
      <c r="G53" s="23"/>
      <c r="H53" s="23"/>
      <c r="I53" s="24"/>
      <c r="J53" s="23"/>
      <c r="K53" s="23"/>
    </row>
    <row r="54" spans="1:11" s="185" customFormat="1" ht="12.75" customHeight="1" x14ac:dyDescent="0.25">
      <c r="A54" s="23"/>
      <c r="B54" s="23"/>
      <c r="C54" s="23"/>
      <c r="D54" s="23"/>
      <c r="E54" s="35"/>
      <c r="F54" s="23"/>
      <c r="G54" s="23"/>
      <c r="H54" s="23"/>
      <c r="I54" s="24"/>
      <c r="J54" s="23"/>
      <c r="K54" s="23"/>
    </row>
    <row r="55" spans="1:11" ht="12.75" customHeight="1" x14ac:dyDescent="0.25"/>
    <row r="56" spans="1:11" ht="12.75" customHeight="1" x14ac:dyDescent="0.25"/>
    <row r="57" spans="1:11" ht="12.75" customHeight="1" x14ac:dyDescent="0.25"/>
    <row r="58" spans="1:11" ht="12.75" customHeight="1" x14ac:dyDescent="0.25"/>
    <row r="59" spans="1:11" ht="12.75" customHeight="1" x14ac:dyDescent="0.25"/>
    <row r="60" spans="1:11" ht="16.5" customHeight="1" x14ac:dyDescent="0.25"/>
    <row r="61" spans="1:11" ht="12.75" customHeight="1" x14ac:dyDescent="0.25"/>
    <row r="62" spans="1:11" ht="12.75" customHeight="1" x14ac:dyDescent="0.25"/>
    <row r="63" spans="1:11" ht="12.75" customHeight="1" x14ac:dyDescent="0.25">
      <c r="F63" s="23" t="s">
        <v>24</v>
      </c>
    </row>
    <row r="64" spans="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</sheetData>
  <sheetProtection selectLockedCells="1" selectUnlockedCells="1"/>
  <mergeCells count="11">
    <mergeCell ref="B45:C45"/>
    <mergeCell ref="B46:C46"/>
    <mergeCell ref="B1:C1"/>
    <mergeCell ref="B2:C2"/>
    <mergeCell ref="B4:C4"/>
    <mergeCell ref="B3:J3"/>
    <mergeCell ref="J5:K5"/>
    <mergeCell ref="B8:C8"/>
    <mergeCell ref="B26:C26"/>
    <mergeCell ref="B35:C35"/>
    <mergeCell ref="B42:C42"/>
  </mergeCells>
  <pageMargins left="1.0629921259842521" right="0.59055118110236227" top="0.98425196850393704" bottom="0.98425196850393704" header="0.51181102362204722" footer="0.70866141732283472"/>
  <pageSetup scale="80" firstPageNumber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D170-6747-4FF5-AC7C-62F3110DCFDF}">
  <sheetPr codeName="Sheet13">
    <tabColor rgb="FF00B0F0"/>
  </sheetPr>
  <dimension ref="A1:O181"/>
  <sheetViews>
    <sheetView workbookViewId="0">
      <selection activeCell="G108" sqref="G108"/>
    </sheetView>
  </sheetViews>
  <sheetFormatPr defaultRowHeight="15" x14ac:dyDescent="0.25"/>
  <cols>
    <col min="1" max="1" width="4.85546875" customWidth="1"/>
    <col min="2" max="2" width="7.42578125" customWidth="1"/>
    <col min="3" max="3" width="54.85546875" customWidth="1"/>
    <col min="4" max="4" width="35.42578125" customWidth="1"/>
    <col min="5" max="5" width="15.7109375" customWidth="1"/>
    <col min="6" max="6" width="20" customWidth="1"/>
    <col min="7" max="7" width="23.42578125" customWidth="1"/>
    <col min="8" max="8" width="20.7109375" customWidth="1"/>
    <col min="9" max="9" width="20.85546875" hidden="1" customWidth="1"/>
    <col min="10" max="10" width="20.28515625" hidden="1" customWidth="1"/>
    <col min="11" max="11" width="22.28515625" hidden="1" customWidth="1"/>
    <col min="12" max="12" width="17.42578125" hidden="1" customWidth="1"/>
    <col min="13" max="13" width="22" customWidth="1"/>
    <col min="14" max="14" width="13.28515625" customWidth="1"/>
    <col min="15" max="15" width="26" customWidth="1"/>
  </cols>
  <sheetData>
    <row r="1" spans="1:13" x14ac:dyDescent="0.25">
      <c r="A1" s="133" t="s">
        <v>22</v>
      </c>
      <c r="B1" s="133"/>
      <c r="C1" s="133"/>
      <c r="D1" s="52"/>
      <c r="E1" s="52"/>
      <c r="F1" s="52"/>
      <c r="G1" s="52"/>
      <c r="H1" s="52"/>
      <c r="I1" s="52"/>
      <c r="J1" s="52"/>
      <c r="K1" s="52"/>
      <c r="L1" s="52"/>
    </row>
    <row r="2" spans="1:13" x14ac:dyDescent="0.25">
      <c r="A2" s="133" t="s">
        <v>794</v>
      </c>
      <c r="B2" s="133"/>
      <c r="C2" s="133"/>
      <c r="D2" s="52"/>
      <c r="E2" s="52"/>
      <c r="F2" s="52"/>
      <c r="G2" s="52"/>
      <c r="H2" s="52"/>
      <c r="I2" s="52"/>
      <c r="J2" s="52"/>
      <c r="K2" s="52"/>
      <c r="L2" s="52"/>
    </row>
    <row r="3" spans="1:13" x14ac:dyDescent="0.25">
      <c r="A3" s="133" t="s">
        <v>1106</v>
      </c>
      <c r="B3" s="133"/>
      <c r="C3" s="133"/>
      <c r="D3" s="52"/>
      <c r="E3" s="52"/>
      <c r="F3" s="52"/>
      <c r="G3" s="52"/>
      <c r="H3" s="52"/>
      <c r="I3" s="52"/>
      <c r="J3" s="52"/>
      <c r="K3" s="52"/>
      <c r="L3" s="52"/>
    </row>
    <row r="4" spans="1:13" ht="15.75" thickBot="1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3" ht="15" customHeight="1" thickBot="1" x14ac:dyDescent="0.3">
      <c r="A5" s="141" t="s">
        <v>902</v>
      </c>
      <c r="B5" s="1014" t="s">
        <v>856</v>
      </c>
      <c r="C5" s="1006" t="s">
        <v>711</v>
      </c>
      <c r="D5" s="1000" t="s">
        <v>712</v>
      </c>
      <c r="E5" s="1006" t="s">
        <v>713</v>
      </c>
      <c r="F5" s="1000" t="s">
        <v>1107</v>
      </c>
      <c r="G5" s="1000" t="s">
        <v>1108</v>
      </c>
      <c r="H5" s="1006" t="s">
        <v>797</v>
      </c>
      <c r="I5" s="142" t="s">
        <v>797</v>
      </c>
      <c r="J5" s="117"/>
      <c r="K5" s="117"/>
      <c r="L5" s="143" t="s">
        <v>858</v>
      </c>
    </row>
    <row r="6" spans="1:13" ht="15.75" customHeight="1" thickBot="1" x14ac:dyDescent="0.3">
      <c r="A6" s="144" t="s">
        <v>878</v>
      </c>
      <c r="B6" s="1015"/>
      <c r="C6" s="1007"/>
      <c r="D6" s="1001"/>
      <c r="E6" s="1007"/>
      <c r="F6" s="1001"/>
      <c r="G6" s="1001"/>
      <c r="H6" s="1007"/>
      <c r="I6" s="145"/>
      <c r="J6" s="117"/>
      <c r="K6" s="117"/>
      <c r="L6" s="143">
        <v>2019</v>
      </c>
    </row>
    <row r="7" spans="1:13" ht="15.75" thickBot="1" x14ac:dyDescent="0.3">
      <c r="A7" s="52"/>
      <c r="B7" s="52"/>
      <c r="C7" s="118" t="s">
        <v>180</v>
      </c>
      <c r="D7" s="86"/>
      <c r="E7" s="86"/>
      <c r="F7" s="52"/>
      <c r="G7" s="52"/>
      <c r="H7" s="52"/>
      <c r="I7" s="117"/>
      <c r="J7" s="117"/>
      <c r="K7" s="117"/>
      <c r="L7" s="117"/>
    </row>
    <row r="8" spans="1:13" ht="15.75" thickBot="1" x14ac:dyDescent="0.3">
      <c r="A8" s="52"/>
      <c r="B8" s="212"/>
      <c r="C8" s="119" t="s">
        <v>914</v>
      </c>
      <c r="D8" s="86"/>
      <c r="E8" s="86"/>
      <c r="F8" s="52"/>
      <c r="G8" s="52"/>
      <c r="H8" s="52"/>
      <c r="I8" s="117"/>
      <c r="J8" s="117"/>
      <c r="K8" s="117"/>
      <c r="L8" s="117"/>
    </row>
    <row r="9" spans="1:13" ht="12" customHeight="1" thickBot="1" x14ac:dyDescent="0.3">
      <c r="A9" s="52"/>
      <c r="B9" s="212"/>
      <c r="C9" s="212"/>
      <c r="D9" s="86"/>
      <c r="E9" s="86"/>
      <c r="F9" s="52"/>
      <c r="G9" s="52"/>
      <c r="H9" s="52"/>
      <c r="I9" s="52"/>
      <c r="J9" s="52"/>
      <c r="K9" s="52"/>
      <c r="L9" s="52"/>
    </row>
    <row r="10" spans="1:13" ht="15.75" thickBot="1" x14ac:dyDescent="0.3">
      <c r="A10" s="52"/>
      <c r="B10" s="212"/>
      <c r="C10" s="119" t="s">
        <v>895</v>
      </c>
      <c r="D10" s="86"/>
      <c r="E10" s="86"/>
      <c r="F10" s="52"/>
      <c r="G10" s="52"/>
      <c r="H10" s="52"/>
      <c r="I10" s="52"/>
      <c r="J10" s="52"/>
      <c r="K10" s="52"/>
      <c r="L10" s="52"/>
    </row>
    <row r="11" spans="1:13" x14ac:dyDescent="0.25">
      <c r="A11" s="124">
        <v>1</v>
      </c>
      <c r="B11" s="124">
        <v>7067</v>
      </c>
      <c r="C11" s="213" t="s">
        <v>815</v>
      </c>
      <c r="D11" s="214">
        <v>121218</v>
      </c>
      <c r="E11" s="215">
        <v>50137.95</v>
      </c>
      <c r="F11" s="216">
        <v>2082000000</v>
      </c>
      <c r="G11" s="217">
        <v>2266240000</v>
      </c>
      <c r="H11" s="218">
        <f>G11-F11</f>
        <v>184240000</v>
      </c>
      <c r="I11" s="219"/>
      <c r="J11" s="219"/>
      <c r="K11" s="219"/>
      <c r="L11" s="219"/>
      <c r="M11" s="179"/>
    </row>
    <row r="12" spans="1:13" x14ac:dyDescent="0.25">
      <c r="A12" s="124">
        <v>2</v>
      </c>
      <c r="B12" s="124">
        <v>7043</v>
      </c>
      <c r="C12" s="220" t="s">
        <v>820</v>
      </c>
      <c r="D12" s="221" t="s">
        <v>817</v>
      </c>
      <c r="E12" s="222">
        <v>49856</v>
      </c>
      <c r="F12" s="216">
        <v>14996211</v>
      </c>
      <c r="G12" s="217">
        <v>14996211</v>
      </c>
      <c r="H12" s="218">
        <f>G12-F12</f>
        <v>0</v>
      </c>
      <c r="I12" s="55"/>
      <c r="J12" s="52"/>
      <c r="K12" s="52"/>
      <c r="L12" s="52"/>
    </row>
    <row r="13" spans="1:13" x14ac:dyDescent="0.25">
      <c r="A13" s="124">
        <v>3</v>
      </c>
      <c r="B13" s="124">
        <v>7068</v>
      </c>
      <c r="C13" s="220" t="s">
        <v>816</v>
      </c>
      <c r="D13" s="214" t="s">
        <v>737</v>
      </c>
      <c r="E13" s="215">
        <v>1318</v>
      </c>
      <c r="F13" s="216">
        <v>146960000</v>
      </c>
      <c r="G13" s="217">
        <v>144980000</v>
      </c>
      <c r="H13" s="218">
        <f>G13-F13</f>
        <v>-1980000</v>
      </c>
      <c r="I13" s="55"/>
      <c r="J13" s="52"/>
      <c r="K13" s="52"/>
      <c r="L13" s="52"/>
    </row>
    <row r="14" spans="1:13" ht="15.75" thickBot="1" x14ac:dyDescent="0.3">
      <c r="A14" s="124"/>
      <c r="B14" s="223"/>
      <c r="C14" s="224"/>
      <c r="D14" s="225"/>
      <c r="E14" s="215"/>
      <c r="F14" s="226"/>
      <c r="G14" s="226"/>
      <c r="H14" s="218"/>
      <c r="I14" s="50"/>
    </row>
    <row r="15" spans="1:13" ht="15.75" thickBot="1" x14ac:dyDescent="0.3">
      <c r="A15" s="124"/>
      <c r="B15" s="223"/>
      <c r="C15" s="137" t="s">
        <v>913</v>
      </c>
      <c r="D15" s="225"/>
      <c r="E15" s="215"/>
      <c r="F15" s="226"/>
      <c r="G15" s="226"/>
      <c r="H15" s="218"/>
    </row>
    <row r="16" spans="1:13" x14ac:dyDescent="0.25">
      <c r="A16" s="124">
        <v>4</v>
      </c>
      <c r="B16" s="124">
        <v>7041</v>
      </c>
      <c r="C16" s="213" t="s">
        <v>803</v>
      </c>
      <c r="D16" s="221" t="s">
        <v>818</v>
      </c>
      <c r="E16" s="227">
        <v>2579</v>
      </c>
      <c r="F16" s="216">
        <v>815738000</v>
      </c>
      <c r="G16" s="217">
        <v>885370000</v>
      </c>
      <c r="H16" s="218">
        <f>G16-F16</f>
        <v>69632000</v>
      </c>
    </row>
    <row r="17" spans="1:13" x14ac:dyDescent="0.25">
      <c r="A17" s="124">
        <v>5</v>
      </c>
      <c r="B17" s="124">
        <v>7042</v>
      </c>
      <c r="C17" s="220" t="s">
        <v>804</v>
      </c>
      <c r="D17" s="214" t="s">
        <v>819</v>
      </c>
      <c r="E17" s="215">
        <v>1002</v>
      </c>
      <c r="F17" s="216">
        <v>386970000</v>
      </c>
      <c r="G17" s="217">
        <v>386970000</v>
      </c>
      <c r="H17" s="218">
        <f>G17-F17</f>
        <v>0</v>
      </c>
    </row>
    <row r="18" spans="1:13" x14ac:dyDescent="0.25">
      <c r="A18" s="124">
        <v>6</v>
      </c>
      <c r="B18" s="124">
        <v>7065</v>
      </c>
      <c r="C18" s="220" t="s">
        <v>826</v>
      </c>
      <c r="D18" s="221" t="s">
        <v>903</v>
      </c>
      <c r="E18" s="222">
        <v>1526</v>
      </c>
      <c r="F18" s="216">
        <v>370670000</v>
      </c>
      <c r="G18" s="217">
        <v>400120000</v>
      </c>
      <c r="H18" s="218">
        <f>G18-F18</f>
        <v>29450000</v>
      </c>
    </row>
    <row r="19" spans="1:13" x14ac:dyDescent="0.25">
      <c r="A19" s="124">
        <v>7</v>
      </c>
      <c r="B19" s="124">
        <v>7064</v>
      </c>
      <c r="C19" s="220" t="s">
        <v>806</v>
      </c>
      <c r="D19" s="214" t="s">
        <v>837</v>
      </c>
      <c r="E19" s="215">
        <f>570+686</f>
        <v>1256</v>
      </c>
      <c r="F19" s="216">
        <v>206990000</v>
      </c>
      <c r="G19" s="217">
        <v>207240000</v>
      </c>
      <c r="H19" s="218">
        <f>G19-F19</f>
        <v>250000</v>
      </c>
      <c r="I19" s="102"/>
      <c r="J19" s="102"/>
      <c r="K19" s="102"/>
      <c r="L19" s="102"/>
    </row>
    <row r="20" spans="1:13" ht="15.75" thickBot="1" x14ac:dyDescent="0.3">
      <c r="A20" s="124"/>
      <c r="B20" s="223"/>
      <c r="C20" s="224"/>
      <c r="D20" s="225"/>
      <c r="E20" s="215"/>
      <c r="F20" s="226"/>
      <c r="G20" s="226"/>
      <c r="H20" s="218"/>
    </row>
    <row r="21" spans="1:13" ht="15.75" thickBot="1" x14ac:dyDescent="0.3">
      <c r="A21" s="124"/>
      <c r="B21" s="223"/>
      <c r="C21" s="137" t="s">
        <v>896</v>
      </c>
      <c r="D21" s="225"/>
      <c r="E21" s="215"/>
      <c r="F21" s="226"/>
      <c r="G21" s="226"/>
      <c r="H21" s="218"/>
    </row>
    <row r="22" spans="1:13" x14ac:dyDescent="0.25">
      <c r="A22" s="124">
        <v>8</v>
      </c>
      <c r="B22" s="124">
        <v>7088</v>
      </c>
      <c r="C22" s="228" t="s">
        <v>821</v>
      </c>
      <c r="D22" s="221" t="s">
        <v>822</v>
      </c>
      <c r="E22" s="222">
        <v>12687</v>
      </c>
      <c r="F22" s="216">
        <v>4686580000</v>
      </c>
      <c r="G22" s="217">
        <v>6165880000</v>
      </c>
      <c r="H22" s="218">
        <f>G22-F22</f>
        <v>1479300000</v>
      </c>
    </row>
    <row r="23" spans="1:13" ht="15.75" thickBot="1" x14ac:dyDescent="0.3">
      <c r="A23" s="124"/>
      <c r="B23" s="223"/>
      <c r="C23" s="224"/>
      <c r="D23" s="229"/>
      <c r="E23" s="222"/>
      <c r="F23" s="226"/>
      <c r="G23" s="226"/>
      <c r="H23" s="218"/>
      <c r="M23" s="51"/>
    </row>
    <row r="24" spans="1:13" ht="15.75" thickBot="1" x14ac:dyDescent="0.3">
      <c r="A24" s="70"/>
      <c r="B24" s="127"/>
      <c r="C24" s="137" t="s">
        <v>897</v>
      </c>
      <c r="D24" s="136"/>
      <c r="E24" s="70"/>
      <c r="F24" s="195"/>
      <c r="G24" s="195"/>
      <c r="H24" s="195"/>
      <c r="M24" s="179"/>
    </row>
    <row r="25" spans="1:13" x14ac:dyDescent="0.25">
      <c r="A25" s="124">
        <v>9</v>
      </c>
      <c r="B25" s="124">
        <v>7066</v>
      </c>
      <c r="C25" s="213" t="s">
        <v>828</v>
      </c>
      <c r="D25" s="221" t="s">
        <v>717</v>
      </c>
      <c r="E25" s="222">
        <v>1895</v>
      </c>
      <c r="F25" s="216">
        <v>545000000</v>
      </c>
      <c r="G25" s="217">
        <v>547280000</v>
      </c>
      <c r="H25" s="218">
        <f t="shared" ref="H25:H100" si="0">G25-F25</f>
        <v>2280000</v>
      </c>
    </row>
    <row r="26" spans="1:13" ht="15.75" thickBot="1" x14ac:dyDescent="0.3">
      <c r="A26" s="124"/>
      <c r="B26" s="124"/>
      <c r="C26" s="230"/>
      <c r="D26" s="221"/>
      <c r="E26" s="222"/>
      <c r="F26" s="226"/>
      <c r="G26" s="226"/>
      <c r="H26" s="218"/>
    </row>
    <row r="27" spans="1:13" ht="15.75" thickBot="1" x14ac:dyDescent="0.3">
      <c r="A27" s="70"/>
      <c r="B27" s="127"/>
      <c r="C27" s="137" t="s">
        <v>898</v>
      </c>
      <c r="D27" s="136"/>
      <c r="E27" s="70"/>
      <c r="F27" s="195"/>
      <c r="G27" s="195"/>
      <c r="H27" s="195"/>
    </row>
    <row r="28" spans="1:13" x14ac:dyDescent="0.25">
      <c r="A28" s="124">
        <v>10</v>
      </c>
      <c r="B28" s="124">
        <v>7072</v>
      </c>
      <c r="C28" s="213" t="s">
        <v>827</v>
      </c>
      <c r="D28" s="221">
        <v>218982</v>
      </c>
      <c r="E28" s="231">
        <v>1012.5</v>
      </c>
      <c r="F28" s="216">
        <v>234900000</v>
      </c>
      <c r="G28" s="217">
        <v>190350000</v>
      </c>
      <c r="H28" s="218">
        <f>G28-F28</f>
        <v>-44550000</v>
      </c>
    </row>
    <row r="29" spans="1:13" x14ac:dyDescent="0.25">
      <c r="A29" s="124">
        <v>11</v>
      </c>
      <c r="B29" s="124">
        <v>9148</v>
      </c>
      <c r="C29" s="232" t="s">
        <v>810</v>
      </c>
      <c r="D29" s="233">
        <v>69615</v>
      </c>
      <c r="E29" s="215">
        <v>623</v>
      </c>
      <c r="F29" s="216">
        <v>37190000</v>
      </c>
      <c r="G29" s="217">
        <v>37010000</v>
      </c>
      <c r="H29" s="218">
        <f>G29-F29</f>
        <v>-180000</v>
      </c>
      <c r="I29" s="50"/>
    </row>
    <row r="30" spans="1:13" ht="15.75" thickBot="1" x14ac:dyDescent="0.3">
      <c r="A30" s="124"/>
      <c r="B30" s="124"/>
      <c r="C30" s="234"/>
      <c r="D30" s="233"/>
      <c r="E30" s="215"/>
      <c r="F30" s="226"/>
      <c r="G30" s="226"/>
      <c r="H30" s="218"/>
      <c r="I30" s="50"/>
    </row>
    <row r="31" spans="1:13" ht="15.75" customHeight="1" thickBot="1" x14ac:dyDescent="0.3">
      <c r="A31" s="70"/>
      <c r="B31" s="127"/>
      <c r="C31" s="137" t="s">
        <v>899</v>
      </c>
      <c r="D31" s="136"/>
      <c r="E31" s="70"/>
      <c r="F31" s="195"/>
      <c r="G31" s="195"/>
      <c r="H31" s="195"/>
    </row>
    <row r="32" spans="1:13" ht="15.75" customHeight="1" x14ac:dyDescent="0.25">
      <c r="A32" s="124">
        <v>12</v>
      </c>
      <c r="B32" s="124">
        <v>7071</v>
      </c>
      <c r="C32" s="213" t="s">
        <v>829</v>
      </c>
      <c r="D32" s="221" t="s">
        <v>904</v>
      </c>
      <c r="E32" s="222">
        <v>824</v>
      </c>
      <c r="F32" s="216">
        <v>156560000</v>
      </c>
      <c r="G32" s="217">
        <v>182100000</v>
      </c>
      <c r="H32" s="218">
        <f t="shared" si="0"/>
        <v>25540000</v>
      </c>
      <c r="I32" s="50"/>
    </row>
    <row r="33" spans="1:15" ht="15.75" customHeight="1" thickBot="1" x14ac:dyDescent="0.3">
      <c r="A33" s="124"/>
      <c r="B33" s="124"/>
      <c r="C33" s="230"/>
      <c r="D33" s="221"/>
      <c r="E33" s="222"/>
      <c r="F33" s="226"/>
      <c r="G33" s="226"/>
      <c r="H33" s="218"/>
      <c r="I33" s="50"/>
    </row>
    <row r="34" spans="1:15" ht="15.75" customHeight="1" thickBot="1" x14ac:dyDescent="0.3">
      <c r="A34" s="124"/>
      <c r="B34" s="223"/>
      <c r="C34" s="137" t="s">
        <v>900</v>
      </c>
      <c r="D34" s="229"/>
      <c r="E34" s="222"/>
      <c r="F34" s="226"/>
      <c r="G34" s="226"/>
      <c r="H34" s="218"/>
      <c r="I34" s="50"/>
    </row>
    <row r="35" spans="1:15" ht="45.75" customHeight="1" x14ac:dyDescent="0.25">
      <c r="A35" s="124">
        <v>13</v>
      </c>
      <c r="B35" s="124">
        <v>7046</v>
      </c>
      <c r="C35" s="228" t="s">
        <v>824</v>
      </c>
      <c r="D35" s="235" t="s">
        <v>825</v>
      </c>
      <c r="E35" s="215">
        <v>25319</v>
      </c>
      <c r="F35" s="1004">
        <v>1553680000</v>
      </c>
      <c r="G35" s="236">
        <v>1596760000</v>
      </c>
      <c r="H35" s="1026">
        <f t="shared" si="0"/>
        <v>43080000</v>
      </c>
      <c r="I35" s="50"/>
      <c r="O35" s="179"/>
    </row>
    <row r="36" spans="1:15" ht="17.25" customHeight="1" thickBot="1" x14ac:dyDescent="0.3">
      <c r="A36" s="124"/>
      <c r="B36" s="223"/>
      <c r="C36" s="220"/>
      <c r="D36" s="237"/>
      <c r="E36" s="238">
        <v>14532</v>
      </c>
      <c r="F36" s="1005"/>
      <c r="G36" s="239"/>
      <c r="H36" s="1027"/>
      <c r="I36" s="50"/>
      <c r="O36" s="179"/>
    </row>
    <row r="37" spans="1:15" ht="15.75" customHeight="1" thickBot="1" x14ac:dyDescent="0.3">
      <c r="A37" s="124"/>
      <c r="B37" s="223"/>
      <c r="C37" s="220"/>
      <c r="D37" s="237"/>
      <c r="E37" s="240">
        <f>SUM(E35:E36)</f>
        <v>39851</v>
      </c>
      <c r="F37" s="226"/>
      <c r="G37" s="226"/>
      <c r="H37" s="218"/>
      <c r="I37" s="50"/>
      <c r="O37" s="179"/>
    </row>
    <row r="38" spans="1:15" ht="15.75" customHeight="1" thickBot="1" x14ac:dyDescent="0.3">
      <c r="A38" s="124"/>
      <c r="B38" s="223"/>
      <c r="C38" s="241"/>
      <c r="D38" s="242"/>
      <c r="E38" s="243"/>
      <c r="F38" s="226"/>
      <c r="G38" s="226"/>
      <c r="H38" s="218"/>
      <c r="I38" s="50"/>
    </row>
    <row r="39" spans="1:15" ht="17.25" customHeight="1" thickBot="1" x14ac:dyDescent="0.3">
      <c r="A39" s="124"/>
      <c r="B39" s="223"/>
      <c r="C39" s="137" t="s">
        <v>901</v>
      </c>
      <c r="D39" s="237"/>
      <c r="E39" s="215"/>
      <c r="F39" s="226"/>
      <c r="G39" s="226"/>
      <c r="H39" s="218"/>
      <c r="I39" s="50"/>
    </row>
    <row r="40" spans="1:15" ht="15" customHeight="1" x14ac:dyDescent="0.25">
      <c r="A40" s="124">
        <v>14</v>
      </c>
      <c r="B40" s="124">
        <v>9146</v>
      </c>
      <c r="C40" s="232" t="s">
        <v>809</v>
      </c>
      <c r="D40" s="233" t="s">
        <v>729</v>
      </c>
      <c r="E40" s="215">
        <v>1426</v>
      </c>
      <c r="F40" s="216">
        <v>44060000</v>
      </c>
      <c r="G40" s="217">
        <v>49770000</v>
      </c>
      <c r="H40" s="218">
        <f t="shared" si="0"/>
        <v>5710000</v>
      </c>
      <c r="I40" s="50"/>
    </row>
    <row r="41" spans="1:15" ht="15" customHeight="1" thickBot="1" x14ac:dyDescent="0.3">
      <c r="A41" s="124"/>
      <c r="B41" s="124"/>
      <c r="C41" s="244"/>
      <c r="D41" s="221"/>
      <c r="E41" s="222"/>
      <c r="F41" s="226"/>
      <c r="G41" s="226"/>
      <c r="H41" s="218">
        <f t="shared" si="0"/>
        <v>0</v>
      </c>
      <c r="I41" s="50"/>
    </row>
    <row r="42" spans="1:15" ht="16.5" customHeight="1" thickBot="1" x14ac:dyDescent="0.3">
      <c r="A42" s="124"/>
      <c r="B42" s="223"/>
      <c r="C42" s="245" t="s">
        <v>840</v>
      </c>
      <c r="D42" s="229"/>
      <c r="E42" s="222"/>
      <c r="F42" s="226"/>
      <c r="G42" s="226"/>
      <c r="H42" s="218">
        <f t="shared" si="0"/>
        <v>0</v>
      </c>
      <c r="I42" s="50"/>
    </row>
    <row r="43" spans="1:15" ht="15" customHeight="1" x14ac:dyDescent="0.25">
      <c r="A43" s="124">
        <v>15</v>
      </c>
      <c r="B43" s="124">
        <v>7061</v>
      </c>
      <c r="C43" s="246" t="s">
        <v>830</v>
      </c>
      <c r="D43" s="214">
        <v>96851</v>
      </c>
      <c r="E43" s="215">
        <v>6277</v>
      </c>
      <c r="F43" s="216">
        <v>6920000</v>
      </c>
      <c r="G43" s="217">
        <v>7500000</v>
      </c>
      <c r="H43" s="218">
        <f t="shared" si="0"/>
        <v>580000</v>
      </c>
      <c r="I43" s="50"/>
    </row>
    <row r="44" spans="1:15" ht="15" customHeight="1" thickBot="1" x14ac:dyDescent="0.3">
      <c r="A44" s="124"/>
      <c r="B44" s="124"/>
      <c r="C44" s="244"/>
      <c r="D44" s="214"/>
      <c r="E44" s="215"/>
      <c r="F44" s="226"/>
      <c r="G44" s="226"/>
      <c r="H44" s="218">
        <f t="shared" si="0"/>
        <v>0</v>
      </c>
      <c r="I44" s="50"/>
    </row>
    <row r="45" spans="1:15" ht="15" customHeight="1" thickBot="1" x14ac:dyDescent="0.3">
      <c r="A45" s="124"/>
      <c r="B45" s="223"/>
      <c r="C45" s="245" t="s">
        <v>857</v>
      </c>
      <c r="D45" s="229"/>
      <c r="E45" s="222"/>
      <c r="F45" s="226"/>
      <c r="G45" s="226"/>
      <c r="H45" s="218">
        <f t="shared" si="0"/>
        <v>0</v>
      </c>
      <c r="I45" s="50"/>
    </row>
    <row r="46" spans="1:15" ht="15" customHeight="1" x14ac:dyDescent="0.25">
      <c r="A46" s="124">
        <v>16</v>
      </c>
      <c r="B46" s="124">
        <v>8457</v>
      </c>
      <c r="C46" s="246" t="s">
        <v>722</v>
      </c>
      <c r="D46" s="214" t="s">
        <v>723</v>
      </c>
      <c r="E46" s="215">
        <v>5231</v>
      </c>
      <c r="F46" s="216">
        <v>41850000</v>
      </c>
      <c r="G46" s="217">
        <v>50740000</v>
      </c>
      <c r="H46" s="218">
        <f t="shared" si="0"/>
        <v>8890000</v>
      </c>
      <c r="I46" s="50"/>
    </row>
    <row r="47" spans="1:15" ht="33" customHeight="1" x14ac:dyDescent="0.25">
      <c r="A47" s="124">
        <v>17</v>
      </c>
      <c r="B47" s="124">
        <v>7076</v>
      </c>
      <c r="C47" s="214" t="s">
        <v>879</v>
      </c>
      <c r="D47" s="247" t="s">
        <v>862</v>
      </c>
      <c r="E47" s="215">
        <v>877</v>
      </c>
      <c r="F47" s="1004">
        <v>12850000</v>
      </c>
      <c r="G47" s="1028">
        <v>13600000</v>
      </c>
      <c r="H47" s="1026">
        <f>G47+G48+G49+G50-F47</f>
        <v>750000</v>
      </c>
      <c r="I47" s="50"/>
      <c r="L47" s="1016"/>
      <c r="M47" s="248">
        <v>1360000</v>
      </c>
      <c r="N47" s="249"/>
    </row>
    <row r="48" spans="1:15" ht="24" customHeight="1" x14ac:dyDescent="0.25">
      <c r="A48" s="124"/>
      <c r="B48" s="124"/>
      <c r="C48" s="214" t="s">
        <v>880</v>
      </c>
      <c r="D48" s="247" t="s">
        <v>758</v>
      </c>
      <c r="E48" s="215">
        <v>600</v>
      </c>
      <c r="F48" s="1017"/>
      <c r="G48" s="1029"/>
      <c r="H48" s="1031"/>
      <c r="I48" s="50"/>
      <c r="L48" s="1016"/>
      <c r="M48" s="248">
        <v>1920000</v>
      </c>
      <c r="N48" s="249"/>
    </row>
    <row r="49" spans="1:14" ht="18.75" customHeight="1" x14ac:dyDescent="0.25">
      <c r="A49" s="124"/>
      <c r="B49" s="124"/>
      <c r="C49" s="214" t="s">
        <v>881</v>
      </c>
      <c r="D49" s="247" t="s">
        <v>863</v>
      </c>
      <c r="E49" s="215">
        <v>340</v>
      </c>
      <c r="F49" s="1017"/>
      <c r="G49" s="1029"/>
      <c r="H49" s="1031"/>
      <c r="I49" s="50"/>
      <c r="L49" s="1016"/>
      <c r="M49" s="248">
        <v>1090000</v>
      </c>
      <c r="N49" s="249"/>
    </row>
    <row r="50" spans="1:14" ht="21.75" customHeight="1" x14ac:dyDescent="0.25">
      <c r="A50" s="124"/>
      <c r="B50" s="124"/>
      <c r="C50" s="214" t="s">
        <v>882</v>
      </c>
      <c r="D50" s="247" t="s">
        <v>864</v>
      </c>
      <c r="E50" s="215">
        <v>1139</v>
      </c>
      <c r="F50" s="1005"/>
      <c r="G50" s="1030"/>
      <c r="H50" s="1027"/>
      <c r="I50" s="50"/>
      <c r="L50" s="1016"/>
      <c r="M50" s="248">
        <v>9230000</v>
      </c>
      <c r="N50" s="249"/>
    </row>
    <row r="51" spans="1:14" ht="21.75" customHeight="1" x14ac:dyDescent="0.25">
      <c r="A51" s="124"/>
      <c r="B51" s="124"/>
      <c r="C51" s="214"/>
      <c r="D51" s="247"/>
      <c r="E51" s="215"/>
      <c r="F51" s="226"/>
      <c r="G51" s="226"/>
      <c r="H51" s="250"/>
      <c r="I51" s="50"/>
      <c r="L51" s="98"/>
    </row>
    <row r="52" spans="1:14" ht="18" customHeight="1" x14ac:dyDescent="0.25">
      <c r="A52" s="124">
        <v>18</v>
      </c>
      <c r="B52" s="124">
        <v>7070</v>
      </c>
      <c r="C52" s="251" t="s">
        <v>740</v>
      </c>
      <c r="D52" s="221" t="s">
        <v>741</v>
      </c>
      <c r="E52" s="252">
        <v>1526</v>
      </c>
      <c r="F52" s="216">
        <v>30670000</v>
      </c>
      <c r="G52" s="217">
        <v>31970000</v>
      </c>
      <c r="H52" s="218">
        <f t="shared" si="0"/>
        <v>1300000</v>
      </c>
      <c r="I52" s="50"/>
      <c r="N52" s="249"/>
    </row>
    <row r="53" spans="1:14" ht="19.5" customHeight="1" x14ac:dyDescent="0.25">
      <c r="A53" s="124">
        <v>19</v>
      </c>
      <c r="B53" s="124">
        <v>9154</v>
      </c>
      <c r="C53" s="214" t="s">
        <v>811</v>
      </c>
      <c r="D53" s="233" t="s">
        <v>730</v>
      </c>
      <c r="E53" s="215">
        <v>480</v>
      </c>
      <c r="F53" s="216">
        <v>310000</v>
      </c>
      <c r="G53" s="217">
        <v>380000</v>
      </c>
      <c r="H53" s="218">
        <f t="shared" si="0"/>
        <v>70000</v>
      </c>
      <c r="I53" s="50"/>
      <c r="N53" s="249"/>
    </row>
    <row r="54" spans="1:14" ht="15" customHeight="1" thickBot="1" x14ac:dyDescent="0.3">
      <c r="A54" s="124"/>
      <c r="B54" s="124"/>
      <c r="C54" s="253"/>
      <c r="D54" s="233"/>
      <c r="E54" s="215"/>
      <c r="F54" s="226"/>
      <c r="G54" s="226"/>
      <c r="H54" s="218">
        <f t="shared" si="0"/>
        <v>0</v>
      </c>
      <c r="I54" s="50"/>
    </row>
    <row r="55" spans="1:14" ht="15" customHeight="1" thickBot="1" x14ac:dyDescent="0.3">
      <c r="A55" s="124"/>
      <c r="B55" s="223"/>
      <c r="C55" s="245" t="s">
        <v>841</v>
      </c>
      <c r="D55" s="229"/>
      <c r="E55" s="222"/>
      <c r="F55" s="226"/>
      <c r="G55" s="226"/>
      <c r="H55" s="218">
        <f t="shared" si="0"/>
        <v>0</v>
      </c>
      <c r="I55" s="50"/>
      <c r="N55" s="101"/>
    </row>
    <row r="56" spans="1:14" ht="15" customHeight="1" x14ac:dyDescent="0.25">
      <c r="A56" s="124">
        <v>20</v>
      </c>
      <c r="B56" s="124">
        <v>7079</v>
      </c>
      <c r="C56" s="254" t="s">
        <v>831</v>
      </c>
      <c r="D56" s="233" t="s">
        <v>726</v>
      </c>
      <c r="E56" s="215">
        <v>54892</v>
      </c>
      <c r="F56" s="216">
        <v>40000000</v>
      </c>
      <c r="G56" s="217">
        <v>40000000</v>
      </c>
      <c r="H56" s="218">
        <f t="shared" si="0"/>
        <v>0</v>
      </c>
      <c r="I56" s="50"/>
    </row>
    <row r="57" spans="1:14" ht="15" customHeight="1" x14ac:dyDescent="0.25">
      <c r="A57" s="124">
        <v>21</v>
      </c>
      <c r="B57" s="124">
        <v>7078</v>
      </c>
      <c r="C57" s="214" t="s">
        <v>832</v>
      </c>
      <c r="D57" s="247" t="s">
        <v>735</v>
      </c>
      <c r="E57" s="215">
        <f>1000+1000</f>
        <v>2000</v>
      </c>
      <c r="F57" s="216">
        <v>980000</v>
      </c>
      <c r="G57" s="217">
        <v>1000000</v>
      </c>
      <c r="H57" s="218">
        <f t="shared" si="0"/>
        <v>20000</v>
      </c>
      <c r="I57" s="50"/>
    </row>
    <row r="58" spans="1:14" ht="18.75" customHeight="1" x14ac:dyDescent="0.25">
      <c r="A58" s="124">
        <v>22</v>
      </c>
      <c r="B58" s="124">
        <v>9152</v>
      </c>
      <c r="C58" s="214" t="s">
        <v>866</v>
      </c>
      <c r="D58" s="233" t="s">
        <v>867</v>
      </c>
      <c r="E58" s="255">
        <v>10071</v>
      </c>
      <c r="F58" s="1004">
        <f>9060000+810000+3810000+4970000</f>
        <v>18650000</v>
      </c>
      <c r="G58" s="1028">
        <f>M58+M59+M60+M61</f>
        <v>19390000</v>
      </c>
      <c r="H58" s="1026">
        <f>G58+G59+G60+G61-F58</f>
        <v>740000</v>
      </c>
      <c r="I58" s="50"/>
      <c r="M58" s="256">
        <v>9060000</v>
      </c>
      <c r="N58" s="249"/>
    </row>
    <row r="59" spans="1:14" ht="18.75" customHeight="1" x14ac:dyDescent="0.25">
      <c r="A59" s="124"/>
      <c r="B59" s="124"/>
      <c r="C59" s="214" t="s">
        <v>865</v>
      </c>
      <c r="D59" s="233" t="s">
        <v>868</v>
      </c>
      <c r="E59" s="255">
        <v>621</v>
      </c>
      <c r="F59" s="1017"/>
      <c r="G59" s="1029"/>
      <c r="H59" s="1031"/>
      <c r="I59" s="50"/>
      <c r="M59" s="248">
        <v>870000</v>
      </c>
      <c r="N59" s="249"/>
    </row>
    <row r="60" spans="1:14" ht="18.75" customHeight="1" x14ac:dyDescent="0.25">
      <c r="A60" s="124"/>
      <c r="B60" s="124"/>
      <c r="C60" s="253"/>
      <c r="D60" s="233"/>
      <c r="E60" s="255">
        <v>2928</v>
      </c>
      <c r="F60" s="1017"/>
      <c r="G60" s="1029"/>
      <c r="H60" s="1031"/>
      <c r="I60" s="50"/>
      <c r="M60" s="248">
        <v>4100000</v>
      </c>
      <c r="N60" s="249"/>
    </row>
    <row r="61" spans="1:14" ht="18.75" customHeight="1" thickBot="1" x14ac:dyDescent="0.3">
      <c r="A61" s="124"/>
      <c r="B61" s="124"/>
      <c r="C61" s="253"/>
      <c r="D61" s="233"/>
      <c r="E61" s="257">
        <v>4125</v>
      </c>
      <c r="F61" s="1005"/>
      <c r="G61" s="1030"/>
      <c r="H61" s="1027"/>
      <c r="I61" s="50"/>
      <c r="M61" s="248">
        <v>5360000</v>
      </c>
      <c r="N61" s="249"/>
    </row>
    <row r="62" spans="1:14" ht="18" customHeight="1" thickBot="1" x14ac:dyDescent="0.3">
      <c r="A62" s="124"/>
      <c r="B62" s="124"/>
      <c r="C62" s="253"/>
      <c r="D62" s="233"/>
      <c r="E62" s="258">
        <f>SUM(E59:E61)</f>
        <v>7674</v>
      </c>
      <c r="F62" s="259"/>
      <c r="G62" s="259"/>
      <c r="H62" s="250"/>
      <c r="I62" s="50"/>
    </row>
    <row r="63" spans="1:14" ht="15" customHeight="1" thickBot="1" x14ac:dyDescent="0.3">
      <c r="A63" s="124"/>
      <c r="B63" s="124"/>
      <c r="C63" s="244"/>
      <c r="D63" s="221"/>
      <c r="E63" s="260"/>
      <c r="F63" s="226"/>
      <c r="G63" s="226"/>
      <c r="H63" s="218">
        <f t="shared" si="0"/>
        <v>0</v>
      </c>
      <c r="I63" s="50"/>
    </row>
    <row r="64" spans="1:14" ht="15" customHeight="1" thickBot="1" x14ac:dyDescent="0.3">
      <c r="A64" s="124"/>
      <c r="B64" s="223"/>
      <c r="C64" s="245" t="s">
        <v>842</v>
      </c>
      <c r="D64" s="229"/>
      <c r="E64" s="222"/>
      <c r="F64" s="226"/>
      <c r="G64" s="226"/>
      <c r="H64" s="218">
        <f t="shared" si="0"/>
        <v>0</v>
      </c>
      <c r="I64" s="50"/>
    </row>
    <row r="65" spans="1:14" ht="15" customHeight="1" x14ac:dyDescent="0.25">
      <c r="A65" s="124">
        <v>23</v>
      </c>
      <c r="B65" s="124">
        <v>7074</v>
      </c>
      <c r="C65" s="246" t="s">
        <v>833</v>
      </c>
      <c r="D65" s="221" t="s">
        <v>724</v>
      </c>
      <c r="E65" s="231">
        <v>1155</v>
      </c>
      <c r="F65" s="216">
        <v>28410000</v>
      </c>
      <c r="G65" s="217">
        <v>29680000</v>
      </c>
      <c r="H65" s="218">
        <f t="shared" si="0"/>
        <v>1270000</v>
      </c>
      <c r="I65" s="50"/>
    </row>
    <row r="66" spans="1:14" ht="15" customHeight="1" thickBot="1" x14ac:dyDescent="0.3">
      <c r="A66" s="124"/>
      <c r="B66" s="124"/>
      <c r="C66" s="244"/>
      <c r="D66" s="221"/>
      <c r="E66" s="231"/>
      <c r="F66" s="226"/>
      <c r="G66" s="226"/>
      <c r="H66" s="218">
        <f t="shared" si="0"/>
        <v>0</v>
      </c>
      <c r="I66" s="50"/>
    </row>
    <row r="67" spans="1:14" ht="15.75" customHeight="1" thickBot="1" x14ac:dyDescent="0.3">
      <c r="A67" s="124"/>
      <c r="B67" s="223"/>
      <c r="C67" s="245" t="s">
        <v>843</v>
      </c>
      <c r="D67" s="229"/>
      <c r="E67" s="222"/>
      <c r="F67" s="226"/>
      <c r="G67" s="226"/>
      <c r="H67" s="218">
        <f t="shared" si="0"/>
        <v>0</v>
      </c>
      <c r="I67" s="50"/>
    </row>
    <row r="68" spans="1:14" ht="15" customHeight="1" x14ac:dyDescent="0.25">
      <c r="A68" s="124">
        <v>24</v>
      </c>
      <c r="B68" s="124">
        <v>7083</v>
      </c>
      <c r="C68" s="261" t="s">
        <v>808</v>
      </c>
      <c r="D68" s="233" t="s">
        <v>905</v>
      </c>
      <c r="E68" s="215">
        <v>8952</v>
      </c>
      <c r="F68" s="216">
        <v>1610000</v>
      </c>
      <c r="G68" s="217">
        <v>2140000</v>
      </c>
      <c r="H68" s="218">
        <f t="shared" si="0"/>
        <v>530000</v>
      </c>
      <c r="I68" s="50"/>
    </row>
    <row r="69" spans="1:14" ht="15" customHeight="1" thickBot="1" x14ac:dyDescent="0.3">
      <c r="A69" s="124"/>
      <c r="B69" s="124"/>
      <c r="C69" s="262"/>
      <c r="D69" s="233"/>
      <c r="E69" s="215"/>
      <c r="F69" s="226"/>
      <c r="G69" s="226"/>
      <c r="H69" s="218">
        <f t="shared" si="0"/>
        <v>0</v>
      </c>
      <c r="I69" s="50"/>
    </row>
    <row r="70" spans="1:14" ht="15" customHeight="1" thickBot="1" x14ac:dyDescent="0.3">
      <c r="A70" s="124"/>
      <c r="B70" s="223"/>
      <c r="C70" s="245" t="s">
        <v>844</v>
      </c>
      <c r="D70" s="263"/>
      <c r="E70" s="215"/>
      <c r="F70" s="226"/>
      <c r="G70" s="226"/>
      <c r="H70" s="218">
        <f t="shared" si="0"/>
        <v>0</v>
      </c>
      <c r="I70" s="50"/>
    </row>
    <row r="71" spans="1:14" ht="15" customHeight="1" x14ac:dyDescent="0.25">
      <c r="A71" s="124">
        <v>25</v>
      </c>
      <c r="B71" s="124">
        <v>7081</v>
      </c>
      <c r="C71" s="261" t="s">
        <v>884</v>
      </c>
      <c r="D71" s="233" t="s">
        <v>727</v>
      </c>
      <c r="E71" s="215">
        <v>4112</v>
      </c>
      <c r="F71" s="216">
        <v>990000</v>
      </c>
      <c r="G71" s="217">
        <v>1360000</v>
      </c>
      <c r="H71" s="218">
        <f t="shared" si="0"/>
        <v>370000</v>
      </c>
      <c r="I71" s="50"/>
    </row>
    <row r="72" spans="1:14" ht="15" customHeight="1" x14ac:dyDescent="0.25">
      <c r="A72" s="124">
        <v>26</v>
      </c>
      <c r="B72" s="124">
        <v>7087</v>
      </c>
      <c r="C72" s="251" t="s">
        <v>869</v>
      </c>
      <c r="D72" s="214" t="s">
        <v>739</v>
      </c>
      <c r="E72" s="215">
        <v>250</v>
      </c>
      <c r="F72" s="216">
        <v>950000</v>
      </c>
      <c r="G72" s="217">
        <v>975000</v>
      </c>
      <c r="H72" s="218">
        <f t="shared" si="0"/>
        <v>25000</v>
      </c>
      <c r="I72" s="50"/>
    </row>
    <row r="73" spans="1:14" ht="32.25" customHeight="1" x14ac:dyDescent="0.25">
      <c r="A73" s="124">
        <v>27</v>
      </c>
      <c r="B73" s="124">
        <v>9149</v>
      </c>
      <c r="C73" s="214" t="s">
        <v>870</v>
      </c>
      <c r="D73" s="247" t="s">
        <v>906</v>
      </c>
      <c r="E73" s="215">
        <v>716</v>
      </c>
      <c r="F73" s="1004">
        <v>740000</v>
      </c>
      <c r="G73" s="236">
        <f>1060000</f>
        <v>1060000</v>
      </c>
      <c r="H73" s="1026">
        <f t="shared" si="0"/>
        <v>320000</v>
      </c>
      <c r="I73" s="50"/>
      <c r="L73" s="1016"/>
      <c r="M73" s="264">
        <v>600000</v>
      </c>
      <c r="N73" s="249"/>
    </row>
    <row r="74" spans="1:14" ht="30.75" customHeight="1" x14ac:dyDescent="0.25">
      <c r="A74" s="124"/>
      <c r="B74" s="124"/>
      <c r="C74" s="253" t="s">
        <v>871</v>
      </c>
      <c r="D74" s="247" t="s">
        <v>907</v>
      </c>
      <c r="E74" s="215">
        <v>550</v>
      </c>
      <c r="F74" s="1005"/>
      <c r="G74" s="239"/>
      <c r="H74" s="1027"/>
      <c r="I74" s="50"/>
      <c r="L74" s="1016"/>
      <c r="M74" s="264">
        <v>460000</v>
      </c>
      <c r="N74" s="249"/>
    </row>
    <row r="75" spans="1:14" ht="15" customHeight="1" x14ac:dyDescent="0.25">
      <c r="A75" s="124"/>
      <c r="B75" s="124"/>
      <c r="C75" s="262"/>
      <c r="D75" s="233"/>
      <c r="E75" s="215"/>
      <c r="F75" s="226"/>
      <c r="G75" s="226"/>
      <c r="H75" s="218">
        <f t="shared" si="0"/>
        <v>0</v>
      </c>
      <c r="I75" s="50"/>
    </row>
    <row r="76" spans="1:14" ht="15" customHeight="1" thickBot="1" x14ac:dyDescent="0.3">
      <c r="A76" s="124"/>
      <c r="B76" s="223"/>
      <c r="C76" s="265"/>
      <c r="D76" s="263"/>
      <c r="E76" s="215"/>
      <c r="F76" s="226"/>
      <c r="G76" s="226"/>
      <c r="H76" s="218"/>
      <c r="I76" s="50"/>
    </row>
    <row r="77" spans="1:14" ht="18" customHeight="1" thickBot="1" x14ac:dyDescent="0.3">
      <c r="A77" s="124"/>
      <c r="B77" s="223"/>
      <c r="C77" s="245" t="s">
        <v>845</v>
      </c>
      <c r="D77" s="263"/>
      <c r="E77" s="215"/>
      <c r="F77" s="226"/>
      <c r="G77" s="226"/>
      <c r="H77" s="218">
        <f t="shared" si="0"/>
        <v>0</v>
      </c>
      <c r="I77" s="50"/>
    </row>
    <row r="78" spans="1:14" ht="15" customHeight="1" x14ac:dyDescent="0.25">
      <c r="A78" s="124">
        <v>28</v>
      </c>
      <c r="B78" s="124">
        <v>7063</v>
      </c>
      <c r="C78" s="246" t="s">
        <v>872</v>
      </c>
      <c r="D78" s="214">
        <v>47955</v>
      </c>
      <c r="E78" s="215">
        <v>244</v>
      </c>
      <c r="F78" s="216">
        <v>7150000</v>
      </c>
      <c r="G78" s="217">
        <v>8490000</v>
      </c>
      <c r="H78" s="218">
        <f t="shared" si="0"/>
        <v>1340000</v>
      </c>
      <c r="I78" s="50"/>
      <c r="M78" s="266"/>
    </row>
    <row r="79" spans="1:14" ht="15" customHeight="1" x14ac:dyDescent="0.25">
      <c r="A79" s="124">
        <v>29</v>
      </c>
      <c r="B79" s="124">
        <v>7039</v>
      </c>
      <c r="C79" s="251" t="s">
        <v>738</v>
      </c>
      <c r="D79" s="214">
        <v>120017</v>
      </c>
      <c r="E79" s="215">
        <v>8901</v>
      </c>
      <c r="F79" s="216">
        <v>28860000</v>
      </c>
      <c r="G79" s="217">
        <v>29380000</v>
      </c>
      <c r="H79" s="218">
        <f t="shared" si="0"/>
        <v>520000</v>
      </c>
      <c r="I79" s="50"/>
      <c r="M79" s="266"/>
    </row>
    <row r="80" spans="1:14" ht="15" customHeight="1" x14ac:dyDescent="0.25">
      <c r="A80" s="124"/>
      <c r="B80" s="124"/>
      <c r="C80" s="244"/>
      <c r="D80" s="214"/>
      <c r="E80" s="215"/>
      <c r="F80" s="226"/>
      <c r="G80" s="226"/>
      <c r="H80" s="218"/>
      <c r="I80" s="50"/>
      <c r="M80" s="266"/>
    </row>
    <row r="81" spans="1:13" ht="15" customHeight="1" thickBot="1" x14ac:dyDescent="0.3">
      <c r="A81" s="124"/>
      <c r="B81" s="124"/>
      <c r="C81" s="244"/>
      <c r="D81" s="214"/>
      <c r="E81" s="215"/>
      <c r="F81" s="226"/>
      <c r="G81" s="226"/>
      <c r="H81" s="218">
        <f t="shared" si="0"/>
        <v>0</v>
      </c>
      <c r="I81" s="50"/>
    </row>
    <row r="82" spans="1:13" ht="21.75" customHeight="1" thickBot="1" x14ac:dyDescent="0.3">
      <c r="A82" s="124"/>
      <c r="B82" s="223"/>
      <c r="C82" s="245" t="s">
        <v>846</v>
      </c>
      <c r="D82" s="225"/>
      <c r="E82" s="215"/>
      <c r="F82" s="226"/>
      <c r="G82" s="226"/>
      <c r="H82" s="218">
        <f t="shared" si="0"/>
        <v>0</v>
      </c>
      <c r="I82" s="50"/>
    </row>
    <row r="83" spans="1:13" ht="33.75" customHeight="1" x14ac:dyDescent="0.25">
      <c r="A83" s="124">
        <v>30</v>
      </c>
      <c r="B83" s="124">
        <v>7036</v>
      </c>
      <c r="C83" s="246" t="s">
        <v>859</v>
      </c>
      <c r="D83" s="214" t="s">
        <v>908</v>
      </c>
      <c r="E83" s="255">
        <v>191773</v>
      </c>
      <c r="F83" s="267">
        <v>345190000</v>
      </c>
      <c r="G83" s="236">
        <v>421900000</v>
      </c>
      <c r="H83" s="218">
        <f t="shared" si="0"/>
        <v>76710000</v>
      </c>
      <c r="I83" s="50"/>
      <c r="M83" s="266"/>
    </row>
    <row r="84" spans="1:13" ht="34.5" customHeight="1" x14ac:dyDescent="0.25">
      <c r="A84" s="124"/>
      <c r="B84" s="124">
        <v>7036</v>
      </c>
      <c r="C84" s="246" t="s">
        <v>860</v>
      </c>
      <c r="D84" s="235" t="s">
        <v>909</v>
      </c>
      <c r="E84" s="255" t="s">
        <v>861</v>
      </c>
      <c r="F84" s="216">
        <v>202740000</v>
      </c>
      <c r="G84" s="217">
        <v>210540000</v>
      </c>
      <c r="H84" s="218">
        <f t="shared" si="0"/>
        <v>7800000</v>
      </c>
      <c r="I84" s="50"/>
      <c r="M84" s="266"/>
    </row>
    <row r="85" spans="1:13" ht="34.5" customHeight="1" x14ac:dyDescent="0.25">
      <c r="A85" s="124">
        <v>31</v>
      </c>
      <c r="B85" s="124">
        <v>9344</v>
      </c>
      <c r="C85" s="268" t="s">
        <v>1109</v>
      </c>
      <c r="D85" s="235"/>
      <c r="E85" s="255" t="s">
        <v>1110</v>
      </c>
      <c r="F85" s="216">
        <v>480000</v>
      </c>
      <c r="G85" s="217">
        <v>510000</v>
      </c>
      <c r="H85" s="218">
        <f t="shared" si="0"/>
        <v>30000</v>
      </c>
      <c r="I85" s="50"/>
      <c r="M85" s="266"/>
    </row>
    <row r="86" spans="1:13" ht="15" customHeight="1" thickBot="1" x14ac:dyDescent="0.3">
      <c r="A86" s="124"/>
      <c r="B86" s="124"/>
      <c r="C86" s="244"/>
      <c r="D86" s="214"/>
      <c r="E86" s="255"/>
      <c r="F86" s="226"/>
      <c r="G86" s="226"/>
      <c r="H86" s="218">
        <f t="shared" si="0"/>
        <v>0</v>
      </c>
      <c r="I86" s="50"/>
    </row>
    <row r="87" spans="1:13" ht="15.75" customHeight="1" thickBot="1" x14ac:dyDescent="0.3">
      <c r="A87" s="124"/>
      <c r="B87" s="223"/>
      <c r="C87" s="245" t="s">
        <v>847</v>
      </c>
      <c r="D87" s="225"/>
      <c r="E87" s="215"/>
      <c r="F87" s="226"/>
      <c r="G87" s="226"/>
      <c r="H87" s="218">
        <f t="shared" si="0"/>
        <v>0</v>
      </c>
      <c r="I87" s="50"/>
    </row>
    <row r="88" spans="1:13" ht="15" customHeight="1" x14ac:dyDescent="0.25">
      <c r="A88" s="124">
        <v>32</v>
      </c>
      <c r="B88" s="124">
        <v>9155</v>
      </c>
      <c r="C88" s="254" t="s">
        <v>812</v>
      </c>
      <c r="D88" s="233" t="s">
        <v>731</v>
      </c>
      <c r="E88" s="215">
        <v>1131</v>
      </c>
      <c r="F88" s="216">
        <v>2490000</v>
      </c>
      <c r="G88" s="217">
        <v>2490000</v>
      </c>
      <c r="H88" s="218">
        <f t="shared" si="0"/>
        <v>0</v>
      </c>
      <c r="I88" s="50"/>
      <c r="M88" s="266"/>
    </row>
    <row r="89" spans="1:13" ht="17.25" customHeight="1" thickBot="1" x14ac:dyDescent="0.3">
      <c r="A89" s="124"/>
      <c r="B89" s="124"/>
      <c r="C89" s="244"/>
      <c r="D89" s="214"/>
      <c r="E89" s="215"/>
      <c r="F89" s="226"/>
      <c r="G89" s="226"/>
      <c r="H89" s="218">
        <f t="shared" si="0"/>
        <v>0</v>
      </c>
      <c r="I89" s="50"/>
    </row>
    <row r="90" spans="1:13" ht="15" customHeight="1" thickBot="1" x14ac:dyDescent="0.3">
      <c r="A90" s="85"/>
      <c r="B90" s="269"/>
      <c r="C90" s="245" t="s">
        <v>848</v>
      </c>
      <c r="D90" s="136"/>
      <c r="E90" s="70"/>
      <c r="F90" s="195"/>
      <c r="G90" s="195"/>
      <c r="H90" s="218">
        <f t="shared" si="0"/>
        <v>0</v>
      </c>
      <c r="I90" s="50">
        <f>H22</f>
        <v>1479300000</v>
      </c>
    </row>
    <row r="91" spans="1:13" ht="15" customHeight="1" x14ac:dyDescent="0.25">
      <c r="A91" s="124">
        <v>33</v>
      </c>
      <c r="B91" s="124">
        <v>9151</v>
      </c>
      <c r="C91" s="254" t="s">
        <v>814</v>
      </c>
      <c r="D91" s="270" t="s">
        <v>734</v>
      </c>
      <c r="E91" s="215">
        <v>400</v>
      </c>
      <c r="F91" s="216">
        <v>2880000</v>
      </c>
      <c r="G91" s="217">
        <v>3120000</v>
      </c>
      <c r="H91" s="218">
        <f t="shared" si="0"/>
        <v>240000</v>
      </c>
      <c r="I91" s="50">
        <f>H115</f>
        <v>0</v>
      </c>
      <c r="J91" s="72"/>
      <c r="K91" s="108"/>
      <c r="M91" s="266"/>
    </row>
    <row r="92" spans="1:13" ht="16.5" customHeight="1" thickBot="1" x14ac:dyDescent="0.3">
      <c r="A92" s="124"/>
      <c r="B92" s="124"/>
      <c r="C92" s="253"/>
      <c r="D92" s="270"/>
      <c r="E92" s="215"/>
      <c r="F92" s="226"/>
      <c r="G92" s="226"/>
      <c r="H92" s="218">
        <f t="shared" si="0"/>
        <v>0</v>
      </c>
      <c r="I92" s="50"/>
      <c r="J92" s="72"/>
      <c r="K92" s="108"/>
    </row>
    <row r="93" spans="1:13" ht="23.25" customHeight="1" thickBot="1" x14ac:dyDescent="0.3">
      <c r="A93" s="85"/>
      <c r="B93" s="269"/>
      <c r="C93" s="245" t="s">
        <v>888</v>
      </c>
      <c r="D93" s="136"/>
      <c r="E93" s="70"/>
      <c r="F93" s="195"/>
      <c r="G93" s="195"/>
      <c r="H93" s="218">
        <f t="shared" si="0"/>
        <v>0</v>
      </c>
      <c r="I93" s="50">
        <f>H16</f>
        <v>69632000</v>
      </c>
      <c r="J93" s="72"/>
      <c r="K93" s="108"/>
    </row>
    <row r="94" spans="1:13" ht="15" customHeight="1" x14ac:dyDescent="0.25">
      <c r="A94" s="124">
        <v>34</v>
      </c>
      <c r="B94" s="124">
        <v>7049</v>
      </c>
      <c r="C94" s="246" t="s">
        <v>745</v>
      </c>
      <c r="D94" s="221" t="s">
        <v>719</v>
      </c>
      <c r="E94" s="231">
        <v>1583</v>
      </c>
      <c r="F94" s="216">
        <v>102900000</v>
      </c>
      <c r="G94" s="217">
        <v>104480000</v>
      </c>
      <c r="H94" s="218">
        <f t="shared" si="0"/>
        <v>1580000</v>
      </c>
      <c r="I94" s="50">
        <f>H99</f>
        <v>206130000</v>
      </c>
      <c r="J94" s="72"/>
      <c r="K94" s="108"/>
      <c r="M94" s="266"/>
    </row>
    <row r="95" spans="1:13" ht="36" customHeight="1" x14ac:dyDescent="0.25">
      <c r="A95" s="124">
        <v>35</v>
      </c>
      <c r="B95" s="124">
        <v>7051</v>
      </c>
      <c r="C95" s="251" t="s">
        <v>805</v>
      </c>
      <c r="D95" s="214" t="s">
        <v>718</v>
      </c>
      <c r="E95" s="215">
        <v>13197</v>
      </c>
      <c r="F95" s="216">
        <v>299570000</v>
      </c>
      <c r="G95" s="217">
        <v>298250000</v>
      </c>
      <c r="H95" s="218">
        <f t="shared" si="0"/>
        <v>-1320000</v>
      </c>
      <c r="I95" s="50">
        <f>H124</f>
        <v>59903000</v>
      </c>
      <c r="J95" s="72"/>
      <c r="K95" s="108"/>
      <c r="M95" s="266"/>
    </row>
    <row r="96" spans="1:13" ht="18.75" customHeight="1" thickBot="1" x14ac:dyDescent="0.3">
      <c r="A96" s="124"/>
      <c r="B96" s="124"/>
      <c r="C96" s="244"/>
      <c r="D96" s="214"/>
      <c r="E96" s="215"/>
      <c r="F96" s="226"/>
      <c r="G96" s="226"/>
      <c r="H96" s="218">
        <f t="shared" si="0"/>
        <v>0</v>
      </c>
      <c r="I96" s="50"/>
      <c r="J96" s="72"/>
      <c r="K96" s="108"/>
    </row>
    <row r="97" spans="1:13" ht="23.25" customHeight="1" thickBot="1" x14ac:dyDescent="0.3">
      <c r="A97" s="85"/>
      <c r="B97" s="269"/>
      <c r="C97" s="245" t="s">
        <v>849</v>
      </c>
      <c r="D97" s="136"/>
      <c r="E97" s="70"/>
      <c r="F97" s="195"/>
      <c r="G97" s="195"/>
      <c r="H97" s="218">
        <f t="shared" si="0"/>
        <v>0</v>
      </c>
      <c r="I97" s="50">
        <f>H83</f>
        <v>76710000</v>
      </c>
      <c r="J97" s="72"/>
      <c r="K97" s="108"/>
    </row>
    <row r="98" spans="1:13" ht="17.25" customHeight="1" x14ac:dyDescent="0.25">
      <c r="A98" s="124">
        <v>36</v>
      </c>
      <c r="B98" s="124">
        <v>7053</v>
      </c>
      <c r="C98" s="246" t="s">
        <v>721</v>
      </c>
      <c r="D98" s="271" t="s">
        <v>834</v>
      </c>
      <c r="E98" s="222">
        <v>5297</v>
      </c>
      <c r="F98" s="216">
        <v>37610000</v>
      </c>
      <c r="G98" s="217">
        <v>40260000</v>
      </c>
      <c r="H98" s="218">
        <f t="shared" si="0"/>
        <v>2650000</v>
      </c>
      <c r="I98" s="50">
        <f>H17</f>
        <v>0</v>
      </c>
      <c r="J98" s="72"/>
      <c r="K98" s="108"/>
      <c r="M98" s="266"/>
    </row>
    <row r="99" spans="1:13" ht="18" customHeight="1" x14ac:dyDescent="0.25">
      <c r="A99" s="124">
        <v>37</v>
      </c>
      <c r="B99" s="124">
        <v>7055</v>
      </c>
      <c r="C99" s="251" t="s">
        <v>894</v>
      </c>
      <c r="D99" s="221" t="s">
        <v>716</v>
      </c>
      <c r="E99" s="222">
        <v>50276</v>
      </c>
      <c r="F99" s="216">
        <v>759170000</v>
      </c>
      <c r="G99" s="217">
        <v>965300000</v>
      </c>
      <c r="H99" s="218">
        <f t="shared" si="0"/>
        <v>206130000</v>
      </c>
      <c r="I99" s="50">
        <f>H25</f>
        <v>2280000</v>
      </c>
      <c r="J99" s="72"/>
      <c r="K99" s="108"/>
      <c r="M99" s="266"/>
    </row>
    <row r="100" spans="1:13" ht="16.5" customHeight="1" x14ac:dyDescent="0.25">
      <c r="A100" s="124">
        <v>38</v>
      </c>
      <c r="B100" s="124">
        <v>9150</v>
      </c>
      <c r="C100" s="214" t="s">
        <v>873</v>
      </c>
      <c r="D100" s="270" t="s">
        <v>732</v>
      </c>
      <c r="E100" s="215">
        <v>613</v>
      </c>
      <c r="F100" s="216">
        <v>36900000</v>
      </c>
      <c r="G100" s="217">
        <v>37580000</v>
      </c>
      <c r="H100" s="218">
        <f t="shared" si="0"/>
        <v>680000</v>
      </c>
      <c r="I100" s="50"/>
      <c r="J100" s="72"/>
      <c r="K100" s="108"/>
      <c r="M100" s="266"/>
    </row>
    <row r="101" spans="1:13" ht="20.25" customHeight="1" x14ac:dyDescent="0.25">
      <c r="A101" s="124">
        <v>39</v>
      </c>
      <c r="B101" s="124">
        <v>7085</v>
      </c>
      <c r="C101" s="214" t="s">
        <v>838</v>
      </c>
      <c r="D101" s="233" t="s">
        <v>728</v>
      </c>
      <c r="E101" s="215">
        <v>232</v>
      </c>
      <c r="F101" s="216">
        <v>3040000</v>
      </c>
      <c r="G101" s="217">
        <v>3340000</v>
      </c>
      <c r="H101" s="218">
        <f t="shared" ref="H101:H127" si="1">G101-F101</f>
        <v>300000</v>
      </c>
      <c r="I101" s="50"/>
      <c r="J101" s="72"/>
      <c r="K101" s="108"/>
      <c r="M101" s="266"/>
    </row>
    <row r="102" spans="1:13" ht="20.25" customHeight="1" thickBot="1" x14ac:dyDescent="0.3">
      <c r="A102" s="124"/>
      <c r="B102" s="124"/>
      <c r="C102" s="253"/>
      <c r="D102" s="233"/>
      <c r="E102" s="215"/>
      <c r="F102" s="226"/>
      <c r="G102" s="226"/>
      <c r="H102" s="218">
        <f t="shared" si="1"/>
        <v>0</v>
      </c>
      <c r="I102" s="50"/>
      <c r="J102" s="72"/>
      <c r="K102" s="108"/>
    </row>
    <row r="103" spans="1:13" ht="15" customHeight="1" thickBot="1" x14ac:dyDescent="0.3">
      <c r="A103" s="85"/>
      <c r="B103" s="269"/>
      <c r="C103" s="245" t="s">
        <v>850</v>
      </c>
      <c r="D103" s="136"/>
      <c r="E103" s="70"/>
      <c r="F103" s="195"/>
      <c r="G103" s="195"/>
      <c r="H103" s="218">
        <f t="shared" si="1"/>
        <v>0</v>
      </c>
      <c r="I103" s="50"/>
      <c r="J103" s="72"/>
      <c r="K103" s="108"/>
    </row>
    <row r="104" spans="1:13" ht="15" customHeight="1" x14ac:dyDescent="0.25">
      <c r="A104" s="124">
        <v>40</v>
      </c>
      <c r="B104" s="124">
        <v>8881</v>
      </c>
      <c r="C104" s="246" t="s">
        <v>874</v>
      </c>
      <c r="D104" s="214">
        <v>8619</v>
      </c>
      <c r="E104" s="215">
        <v>3850</v>
      </c>
      <c r="F104" s="216">
        <v>13030000</v>
      </c>
      <c r="G104" s="217">
        <v>13770000</v>
      </c>
      <c r="H104" s="218">
        <f t="shared" si="1"/>
        <v>740000</v>
      </c>
      <c r="I104" s="50"/>
      <c r="J104" s="72"/>
      <c r="K104" s="108"/>
      <c r="M104" s="266"/>
    </row>
    <row r="105" spans="1:13" ht="15" customHeight="1" thickBot="1" x14ac:dyDescent="0.3">
      <c r="A105" s="124"/>
      <c r="B105" s="124"/>
      <c r="C105" s="244"/>
      <c r="D105" s="214"/>
      <c r="E105" s="215"/>
      <c r="F105" s="249"/>
      <c r="G105" s="249"/>
      <c r="H105" s="218">
        <f>G109-F105</f>
        <v>0</v>
      </c>
      <c r="I105" s="50"/>
      <c r="J105" s="72"/>
      <c r="K105" s="108"/>
      <c r="M105" s="108"/>
    </row>
    <row r="106" spans="1:13" ht="17.25" customHeight="1" thickBot="1" x14ac:dyDescent="0.3">
      <c r="A106" s="85"/>
      <c r="B106" s="269"/>
      <c r="C106" s="245" t="s">
        <v>851</v>
      </c>
      <c r="D106" s="136"/>
      <c r="E106" s="70"/>
      <c r="F106" s="195"/>
      <c r="G106" s="195"/>
      <c r="H106" s="218">
        <f t="shared" si="1"/>
        <v>0</v>
      </c>
      <c r="I106" s="50"/>
      <c r="J106" s="72"/>
      <c r="K106" s="108"/>
    </row>
    <row r="107" spans="1:13" ht="18" customHeight="1" x14ac:dyDescent="0.25">
      <c r="A107" s="124">
        <v>41</v>
      </c>
      <c r="B107" s="124">
        <v>7040</v>
      </c>
      <c r="C107" s="246" t="s">
        <v>836</v>
      </c>
      <c r="D107" s="247" t="s">
        <v>720</v>
      </c>
      <c r="E107" s="227">
        <v>631913</v>
      </c>
      <c r="F107" s="216">
        <v>853082550</v>
      </c>
      <c r="G107" s="272">
        <f>E107*1200</f>
        <v>758295600</v>
      </c>
      <c r="H107" s="218">
        <f t="shared" si="1"/>
        <v>-94786950</v>
      </c>
      <c r="I107" s="50"/>
      <c r="J107" s="72"/>
      <c r="K107" s="108"/>
      <c r="M107" s="266"/>
    </row>
    <row r="108" spans="1:13" ht="32.25" customHeight="1" thickBot="1" x14ac:dyDescent="0.3">
      <c r="A108" s="124">
        <v>42</v>
      </c>
      <c r="B108" s="124">
        <v>5346</v>
      </c>
      <c r="C108" s="251" t="s">
        <v>885</v>
      </c>
      <c r="D108" s="247" t="s">
        <v>720</v>
      </c>
      <c r="E108" s="273">
        <v>1723900.2</v>
      </c>
      <c r="F108" s="216">
        <v>2413460280</v>
      </c>
      <c r="G108" s="272">
        <f>E108*1700</f>
        <v>2930630340</v>
      </c>
      <c r="H108" s="218">
        <f t="shared" si="1"/>
        <v>517170060</v>
      </c>
      <c r="I108" s="50">
        <f>H95</f>
        <v>-1320000</v>
      </c>
      <c r="J108" s="72"/>
      <c r="K108" s="108"/>
      <c r="M108" s="266"/>
    </row>
    <row r="109" spans="1:13" ht="18" customHeight="1" thickBot="1" x14ac:dyDescent="0.3">
      <c r="A109" s="124"/>
      <c r="B109" s="124"/>
      <c r="C109" s="244"/>
      <c r="D109" s="274" t="s">
        <v>915</v>
      </c>
      <c r="E109" s="275">
        <f>SUM(E107:E108)</f>
        <v>2355813.2000000002</v>
      </c>
      <c r="F109" s="226"/>
      <c r="G109" s="226"/>
      <c r="H109" s="218"/>
      <c r="I109" s="50"/>
      <c r="J109" s="72"/>
      <c r="K109" s="108"/>
      <c r="M109" s="51"/>
    </row>
    <row r="110" spans="1:13" ht="19.5" customHeight="1" thickBot="1" x14ac:dyDescent="0.3">
      <c r="A110" s="124"/>
      <c r="B110" s="223"/>
      <c r="C110" s="245" t="s">
        <v>886</v>
      </c>
      <c r="D110" s="263"/>
      <c r="E110" s="276"/>
      <c r="F110" s="226"/>
      <c r="G110" s="226"/>
      <c r="H110" s="218">
        <f t="shared" si="1"/>
        <v>0</v>
      </c>
      <c r="I110" s="50"/>
      <c r="J110" s="72"/>
      <c r="K110" s="108"/>
      <c r="M110" s="51"/>
    </row>
    <row r="111" spans="1:13" ht="21.75" customHeight="1" x14ac:dyDescent="0.25">
      <c r="A111" s="124">
        <v>43</v>
      </c>
      <c r="B111" s="124">
        <v>7075</v>
      </c>
      <c r="C111" s="246" t="s">
        <v>875</v>
      </c>
      <c r="D111" s="214" t="s">
        <v>736</v>
      </c>
      <c r="E111" s="215">
        <v>6594</v>
      </c>
      <c r="F111" s="216">
        <v>25240000</v>
      </c>
      <c r="G111" s="217">
        <v>26716000</v>
      </c>
      <c r="H111" s="218">
        <f t="shared" si="1"/>
        <v>1476000</v>
      </c>
      <c r="I111" s="277"/>
      <c r="J111" s="278"/>
      <c r="K111" s="277"/>
      <c r="L111" s="279"/>
    </row>
    <row r="112" spans="1:13" ht="21" customHeight="1" x14ac:dyDescent="0.25">
      <c r="A112" s="124">
        <v>44</v>
      </c>
      <c r="B112" s="124">
        <v>7052</v>
      </c>
      <c r="C112" s="251" t="s">
        <v>876</v>
      </c>
      <c r="D112" s="235" t="s">
        <v>742</v>
      </c>
      <c r="E112" s="280">
        <v>6933</v>
      </c>
      <c r="F112" s="216">
        <v>7890000</v>
      </c>
      <c r="G112" s="217">
        <v>7890000</v>
      </c>
      <c r="H112" s="218">
        <f t="shared" si="1"/>
        <v>0</v>
      </c>
      <c r="I112" s="50"/>
      <c r="J112" s="72"/>
      <c r="K112" s="108"/>
      <c r="M112" s="266"/>
    </row>
    <row r="113" spans="1:14" ht="16.5" customHeight="1" thickBot="1" x14ac:dyDescent="0.3">
      <c r="A113" s="124"/>
      <c r="B113" s="124"/>
      <c r="C113" s="244"/>
      <c r="D113" s="235"/>
      <c r="E113" s="280"/>
      <c r="F113" s="226"/>
      <c r="G113" s="226"/>
      <c r="H113" s="218">
        <f t="shared" si="1"/>
        <v>0</v>
      </c>
      <c r="I113" s="50"/>
      <c r="J113" s="72"/>
      <c r="K113" s="108"/>
    </row>
    <row r="114" spans="1:14" ht="20.25" customHeight="1" thickBot="1" x14ac:dyDescent="0.3">
      <c r="A114" s="124"/>
      <c r="B114" s="223"/>
      <c r="C114" s="245" t="s">
        <v>887</v>
      </c>
      <c r="D114" s="263"/>
      <c r="E114" s="281"/>
      <c r="F114" s="226"/>
      <c r="G114" s="226"/>
      <c r="H114" s="218">
        <f t="shared" si="1"/>
        <v>0</v>
      </c>
      <c r="I114" s="50"/>
      <c r="J114" s="72"/>
      <c r="K114" s="108"/>
    </row>
    <row r="115" spans="1:14" ht="21.75" customHeight="1" x14ac:dyDescent="0.25">
      <c r="A115" s="124">
        <v>45</v>
      </c>
      <c r="B115" s="124">
        <v>7034</v>
      </c>
      <c r="C115" s="246" t="s">
        <v>714</v>
      </c>
      <c r="D115" s="221" t="s">
        <v>715</v>
      </c>
      <c r="E115" s="231">
        <v>28900139</v>
      </c>
      <c r="F115" s="216">
        <v>1300090000</v>
      </c>
      <c r="G115" s="272">
        <v>1300090000</v>
      </c>
      <c r="H115" s="218">
        <f t="shared" si="1"/>
        <v>0</v>
      </c>
      <c r="I115" s="282"/>
      <c r="J115" s="283"/>
      <c r="K115" s="282"/>
      <c r="L115" s="102"/>
      <c r="N115" s="284"/>
    </row>
    <row r="116" spans="1:14" ht="20.25" customHeight="1" x14ac:dyDescent="0.25">
      <c r="A116" s="124">
        <v>46</v>
      </c>
      <c r="B116" s="124">
        <v>7035</v>
      </c>
      <c r="C116" s="251" t="s">
        <v>807</v>
      </c>
      <c r="D116" s="271" t="s">
        <v>835</v>
      </c>
      <c r="E116" s="231">
        <v>13719</v>
      </c>
      <c r="F116" s="216">
        <v>135870000</v>
      </c>
      <c r="G116" s="272">
        <v>144990000</v>
      </c>
      <c r="H116" s="218">
        <f t="shared" si="1"/>
        <v>9120000</v>
      </c>
      <c r="I116" s="50"/>
      <c r="J116" s="72"/>
      <c r="K116" s="108"/>
      <c r="M116" s="266"/>
    </row>
    <row r="117" spans="1:14" ht="19.5" customHeight="1" x14ac:dyDescent="0.25">
      <c r="A117" s="124">
        <v>47</v>
      </c>
      <c r="B117" s="124">
        <v>9156</v>
      </c>
      <c r="C117" s="214" t="s">
        <v>813</v>
      </c>
      <c r="D117" s="270" t="s">
        <v>733</v>
      </c>
      <c r="E117" s="215">
        <v>450</v>
      </c>
      <c r="F117" s="216">
        <v>810000</v>
      </c>
      <c r="G117" s="217">
        <v>860000</v>
      </c>
      <c r="H117" s="218">
        <f t="shared" si="1"/>
        <v>50000</v>
      </c>
      <c r="I117" s="50"/>
      <c r="J117" s="72"/>
      <c r="K117" s="108"/>
      <c r="M117" s="266"/>
    </row>
    <row r="118" spans="1:14" ht="31.5" customHeight="1" x14ac:dyDescent="0.25">
      <c r="A118" s="124">
        <v>48</v>
      </c>
      <c r="B118" s="124">
        <v>9147</v>
      </c>
      <c r="C118" s="235" t="s">
        <v>839</v>
      </c>
      <c r="D118" s="247" t="s">
        <v>1111</v>
      </c>
      <c r="E118" s="215">
        <v>669</v>
      </c>
      <c r="F118" s="216">
        <f>800400+2340000-400-800400</f>
        <v>2339600</v>
      </c>
      <c r="G118" s="217">
        <v>2410000</v>
      </c>
      <c r="H118" s="218">
        <f>G118-F118</f>
        <v>70400</v>
      </c>
      <c r="I118" s="277">
        <f>H116</f>
        <v>9120000</v>
      </c>
      <c r="J118" s="278"/>
      <c r="K118" s="277"/>
      <c r="L118" s="279"/>
      <c r="M118" s="108"/>
      <c r="N118" s="285"/>
    </row>
    <row r="119" spans="1:14" ht="31.5" customHeight="1" x14ac:dyDescent="0.25">
      <c r="A119" s="286"/>
      <c r="B119" s="286"/>
      <c r="C119" s="287" t="s">
        <v>1112</v>
      </c>
      <c r="D119" s="288" t="s">
        <v>1113</v>
      </c>
      <c r="E119" s="289">
        <v>502</v>
      </c>
      <c r="F119" s="290"/>
      <c r="G119" s="290"/>
      <c r="H119" s="291"/>
      <c r="I119" s="282"/>
      <c r="J119" s="283"/>
      <c r="K119" s="282"/>
      <c r="L119" s="102"/>
      <c r="M119" s="282" t="s">
        <v>1114</v>
      </c>
      <c r="N119" s="292"/>
    </row>
    <row r="120" spans="1:14" ht="18.75" customHeight="1" x14ac:dyDescent="0.25">
      <c r="A120" s="124">
        <v>49</v>
      </c>
      <c r="B120" s="124">
        <v>7059</v>
      </c>
      <c r="C120" s="251" t="s">
        <v>890</v>
      </c>
      <c r="D120" s="221" t="s">
        <v>725</v>
      </c>
      <c r="E120" s="231">
        <v>798</v>
      </c>
      <c r="F120" s="216">
        <v>24580000</v>
      </c>
      <c r="G120" s="217">
        <v>27130000</v>
      </c>
      <c r="H120" s="218">
        <f t="shared" si="1"/>
        <v>2550000</v>
      </c>
      <c r="I120" s="50">
        <f>H107</f>
        <v>-94786950</v>
      </c>
      <c r="J120" s="72"/>
      <c r="K120" s="108"/>
    </row>
    <row r="121" spans="1:14" ht="18.75" customHeight="1" x14ac:dyDescent="0.25">
      <c r="A121" s="124">
        <v>50</v>
      </c>
      <c r="B121" s="124">
        <v>9285</v>
      </c>
      <c r="C121" s="244" t="s">
        <v>911</v>
      </c>
      <c r="D121" s="221" t="s">
        <v>912</v>
      </c>
      <c r="E121" s="231">
        <v>3352</v>
      </c>
      <c r="F121" s="216">
        <v>7710000</v>
      </c>
      <c r="G121" s="272">
        <v>11060000</v>
      </c>
      <c r="H121" s="218">
        <f t="shared" si="1"/>
        <v>3350000</v>
      </c>
      <c r="I121" s="50"/>
      <c r="J121" s="72"/>
      <c r="K121" s="108"/>
    </row>
    <row r="122" spans="1:14" ht="15" customHeight="1" thickBot="1" x14ac:dyDescent="0.3">
      <c r="A122" s="124"/>
      <c r="B122" s="124"/>
      <c r="C122" s="244"/>
      <c r="D122" s="221"/>
      <c r="E122" s="231"/>
      <c r="F122" s="226"/>
      <c r="G122" s="226"/>
      <c r="H122" s="218">
        <f t="shared" si="1"/>
        <v>0</v>
      </c>
      <c r="I122" s="50"/>
      <c r="J122" s="72"/>
      <c r="K122" s="108"/>
    </row>
    <row r="123" spans="1:14" ht="15" customHeight="1" thickBot="1" x14ac:dyDescent="0.3">
      <c r="A123" s="124"/>
      <c r="B123" s="223"/>
      <c r="C123" s="245" t="s">
        <v>853</v>
      </c>
      <c r="D123" s="229"/>
      <c r="E123" s="231"/>
      <c r="F123" s="226"/>
      <c r="G123" s="226"/>
      <c r="H123" s="218">
        <f t="shared" si="1"/>
        <v>0</v>
      </c>
      <c r="I123" s="50"/>
      <c r="J123" s="72"/>
      <c r="K123" s="108"/>
    </row>
    <row r="124" spans="1:14" ht="15" customHeight="1" x14ac:dyDescent="0.25">
      <c r="A124" s="124">
        <v>51</v>
      </c>
      <c r="B124" s="124">
        <v>7037</v>
      </c>
      <c r="C124" s="246" t="s">
        <v>877</v>
      </c>
      <c r="D124" s="235" t="s">
        <v>795</v>
      </c>
      <c r="E124" s="215">
        <v>249595</v>
      </c>
      <c r="F124" s="216">
        <v>464247000</v>
      </c>
      <c r="G124" s="217">
        <v>524150000</v>
      </c>
      <c r="H124" s="218">
        <f t="shared" si="1"/>
        <v>59903000</v>
      </c>
      <c r="I124" s="50">
        <f>H28</f>
        <v>-44550000</v>
      </c>
      <c r="J124" s="72"/>
      <c r="K124" s="108"/>
    </row>
    <row r="125" spans="1:14" ht="15" customHeight="1" thickBot="1" x14ac:dyDescent="0.3">
      <c r="A125" s="124"/>
      <c r="B125" s="124"/>
      <c r="C125" s="244"/>
      <c r="D125" s="235"/>
      <c r="E125" s="215"/>
      <c r="F125" s="226"/>
      <c r="G125" s="226"/>
      <c r="H125" s="218">
        <f t="shared" si="1"/>
        <v>0</v>
      </c>
      <c r="I125" s="50"/>
      <c r="J125" s="72"/>
      <c r="K125" s="108"/>
    </row>
    <row r="126" spans="1:14" ht="15" customHeight="1" thickBot="1" x14ac:dyDescent="0.3">
      <c r="A126" s="85"/>
      <c r="B126" s="269"/>
      <c r="C126" s="245" t="s">
        <v>852</v>
      </c>
      <c r="D126" s="136"/>
      <c r="E126" s="70"/>
      <c r="F126" s="195"/>
      <c r="G126" s="195"/>
      <c r="H126" s="218">
        <f t="shared" si="1"/>
        <v>0</v>
      </c>
      <c r="I126" s="50">
        <f>H32</f>
        <v>25540000</v>
      </c>
      <c r="J126" s="72"/>
      <c r="K126" s="108"/>
    </row>
    <row r="127" spans="1:14" ht="18" customHeight="1" x14ac:dyDescent="0.25">
      <c r="A127" s="124">
        <v>52</v>
      </c>
      <c r="B127" s="124">
        <v>7057</v>
      </c>
      <c r="C127" s="246" t="s">
        <v>893</v>
      </c>
      <c r="D127" s="214">
        <v>3106</v>
      </c>
      <c r="E127" s="215">
        <v>9982</v>
      </c>
      <c r="F127" s="216">
        <v>8980000</v>
      </c>
      <c r="G127" s="272">
        <v>8980000</v>
      </c>
      <c r="H127" s="218">
        <f t="shared" si="1"/>
        <v>0</v>
      </c>
      <c r="I127" s="50">
        <f>H98</f>
        <v>2650000</v>
      </c>
      <c r="J127" s="72"/>
      <c r="K127" s="108"/>
    </row>
    <row r="128" spans="1:14" ht="18" customHeight="1" thickBot="1" x14ac:dyDescent="0.3">
      <c r="A128" s="293"/>
      <c r="B128" s="293"/>
      <c r="C128" s="244"/>
      <c r="D128" s="253"/>
      <c r="E128" s="294"/>
      <c r="F128" s="295"/>
      <c r="G128" s="295"/>
      <c r="H128" s="296"/>
      <c r="I128" s="50"/>
      <c r="J128" s="72"/>
      <c r="K128" s="108"/>
    </row>
    <row r="129" spans="1:13" ht="15" customHeight="1" thickBot="1" x14ac:dyDescent="0.3">
      <c r="A129" s="121"/>
      <c r="B129" s="297"/>
      <c r="C129" s="298" t="s">
        <v>854</v>
      </c>
      <c r="D129" s="299"/>
      <c r="E129" s="299"/>
      <c r="F129" s="300">
        <f>SUM(F11:F127)</f>
        <v>18553533641</v>
      </c>
      <c r="G129" s="300">
        <f>SUM(G11:G127)</f>
        <v>21157473151</v>
      </c>
      <c r="H129" s="301">
        <f>SUM(H11:H127)</f>
        <v>2603939510</v>
      </c>
    </row>
    <row r="130" spans="1:13" ht="15" customHeight="1" x14ac:dyDescent="0.25">
      <c r="A130" s="128"/>
      <c r="B130" s="302"/>
      <c r="C130" s="303"/>
      <c r="D130" s="304"/>
      <c r="E130" s="304"/>
      <c r="F130" s="305"/>
      <c r="G130" s="305"/>
      <c r="H130" s="306"/>
    </row>
    <row r="131" spans="1:13" ht="15" customHeight="1" x14ac:dyDescent="0.25">
      <c r="A131" s="122"/>
      <c r="B131" s="123"/>
      <c r="C131" s="307" t="s">
        <v>796</v>
      </c>
      <c r="D131" s="308"/>
      <c r="E131" s="308"/>
      <c r="F131" s="309"/>
      <c r="G131" s="309"/>
      <c r="H131" s="291"/>
    </row>
    <row r="132" spans="1:13" ht="15" customHeight="1" x14ac:dyDescent="0.25">
      <c r="A132" s="124"/>
      <c r="B132" s="310"/>
      <c r="C132" s="311"/>
      <c r="D132" s="312"/>
      <c r="E132" s="312"/>
      <c r="F132" s="313"/>
      <c r="G132" s="313"/>
      <c r="H132" s="218"/>
    </row>
    <row r="133" spans="1:13" ht="28.5" customHeight="1" x14ac:dyDescent="0.25">
      <c r="A133" s="124">
        <v>53</v>
      </c>
      <c r="B133" s="124">
        <v>8489</v>
      </c>
      <c r="C133" s="251" t="s">
        <v>891</v>
      </c>
      <c r="D133" s="312"/>
      <c r="E133" s="314">
        <v>9584</v>
      </c>
      <c r="F133" s="216">
        <v>139037908.69</v>
      </c>
      <c r="G133" s="217">
        <f>149840000+14870000</f>
        <v>164710000</v>
      </c>
      <c r="H133" s="218">
        <f>G133-F133</f>
        <v>25672091.310000002</v>
      </c>
      <c r="M133" t="s">
        <v>972</v>
      </c>
    </row>
    <row r="134" spans="1:13" ht="29.25" customHeight="1" x14ac:dyDescent="0.25">
      <c r="A134" s="124">
        <v>54</v>
      </c>
      <c r="B134" s="124">
        <v>8488</v>
      </c>
      <c r="C134" s="251" t="s">
        <v>892</v>
      </c>
      <c r="D134" s="214"/>
      <c r="E134" s="215">
        <v>7012</v>
      </c>
      <c r="F134" s="216">
        <v>96916055.920000002</v>
      </c>
      <c r="G134" s="217">
        <v>96870000</v>
      </c>
      <c r="H134" s="218">
        <f>G134-F134</f>
        <v>-46055.920000001788</v>
      </c>
      <c r="M134" t="s">
        <v>972</v>
      </c>
    </row>
    <row r="135" spans="1:13" ht="45.75" customHeight="1" x14ac:dyDescent="0.25">
      <c r="A135" s="124">
        <v>55</v>
      </c>
      <c r="B135" s="124">
        <v>8834</v>
      </c>
      <c r="C135" s="251" t="s">
        <v>823</v>
      </c>
      <c r="D135" s="271" t="s">
        <v>743</v>
      </c>
      <c r="E135" s="315">
        <v>193.5</v>
      </c>
      <c r="F135" s="216">
        <v>15340000</v>
      </c>
      <c r="G135" s="217">
        <v>15840000</v>
      </c>
      <c r="H135" s="218">
        <f>G135-F135</f>
        <v>500000</v>
      </c>
      <c r="I135" s="87"/>
      <c r="M135" t="s">
        <v>972</v>
      </c>
    </row>
    <row r="136" spans="1:13" ht="36.75" customHeight="1" x14ac:dyDescent="0.25">
      <c r="A136" s="124">
        <v>56</v>
      </c>
      <c r="B136" s="124">
        <v>8487</v>
      </c>
      <c r="C136" s="251" t="s">
        <v>1115</v>
      </c>
      <c r="D136" s="90" t="s">
        <v>720</v>
      </c>
      <c r="E136" s="312"/>
      <c r="F136" s="316">
        <v>1419375.02</v>
      </c>
      <c r="G136" s="317">
        <v>1060000</v>
      </c>
      <c r="H136" s="218">
        <f>G136-F136</f>
        <v>-359375.02</v>
      </c>
      <c r="M136" t="s">
        <v>972</v>
      </c>
    </row>
    <row r="137" spans="1:13" ht="24" customHeight="1" thickBot="1" x14ac:dyDescent="0.3">
      <c r="A137" s="128">
        <v>57</v>
      </c>
      <c r="B137" s="302">
        <v>9344</v>
      </c>
      <c r="C137" s="268" t="s">
        <v>1116</v>
      </c>
      <c r="D137" s="318"/>
      <c r="E137" s="319"/>
      <c r="F137" s="320">
        <v>240000</v>
      </c>
      <c r="G137" s="321">
        <v>250000</v>
      </c>
      <c r="H137" s="218">
        <f>G137-F137</f>
        <v>10000</v>
      </c>
      <c r="M137" t="s">
        <v>972</v>
      </c>
    </row>
    <row r="138" spans="1:13" ht="18.75" customHeight="1" thickBot="1" x14ac:dyDescent="0.3">
      <c r="A138" s="125"/>
      <c r="B138" s="322"/>
      <c r="C138" s="323" t="s">
        <v>855</v>
      </c>
      <c r="D138" s="324"/>
      <c r="E138" s="325"/>
      <c r="F138" s="326">
        <f>SUM(F133:F137)</f>
        <v>252953339.63000003</v>
      </c>
      <c r="G138" s="326">
        <f>SUM(G133:G137)</f>
        <v>278730000</v>
      </c>
      <c r="H138" s="327">
        <f>SUM(H132:H137)</f>
        <v>25776660.370000001</v>
      </c>
    </row>
    <row r="139" spans="1:13" ht="24" customHeight="1" thickBot="1" x14ac:dyDescent="0.3">
      <c r="A139" s="135"/>
      <c r="B139" s="328"/>
      <c r="C139" s="329"/>
      <c r="D139" s="330"/>
      <c r="E139" s="331"/>
      <c r="F139" s="332"/>
      <c r="G139" s="332"/>
      <c r="H139" s="333"/>
    </row>
    <row r="140" spans="1:13" ht="17.25" customHeight="1" thickBot="1" x14ac:dyDescent="0.3">
      <c r="A140" s="126"/>
      <c r="B140" s="334"/>
      <c r="C140" s="134"/>
      <c r="D140" s="335" t="s">
        <v>889</v>
      </c>
      <c r="E140" s="336"/>
      <c r="F140" s="120">
        <f>F129+F138</f>
        <v>18806486980.630001</v>
      </c>
      <c r="G140" s="120">
        <f>G129+G138</f>
        <v>21436203151</v>
      </c>
      <c r="H140" s="337">
        <f>H129+H138</f>
        <v>2629716170.3699999</v>
      </c>
      <c r="I140" s="53">
        <f>SUM(I32:I136)</f>
        <v>1790608050</v>
      </c>
    </row>
    <row r="141" spans="1:13" x14ac:dyDescent="0.25">
      <c r="C141" s="91"/>
      <c r="D141" s="999"/>
      <c r="E141" s="187"/>
      <c r="F141" s="116"/>
      <c r="G141" s="55"/>
      <c r="H141" s="55"/>
    </row>
    <row r="142" spans="1:13" ht="17.25" hidden="1" x14ac:dyDescent="0.4">
      <c r="C142" s="91"/>
      <c r="D142" s="999"/>
      <c r="E142" s="187"/>
      <c r="F142" s="89"/>
      <c r="H142" s="92"/>
    </row>
    <row r="143" spans="1:13" hidden="1" x14ac:dyDescent="0.25"/>
    <row r="144" spans="1:13" hidden="1" x14ac:dyDescent="0.25"/>
    <row r="145" spans="7:8" hidden="1" x14ac:dyDescent="0.25"/>
    <row r="146" spans="7:8" hidden="1" x14ac:dyDescent="0.25"/>
    <row r="147" spans="7:8" hidden="1" x14ac:dyDescent="0.25">
      <c r="G147" s="93"/>
      <c r="H147" s="94"/>
    </row>
    <row r="148" spans="7:8" hidden="1" x14ac:dyDescent="0.25">
      <c r="G148" s="95"/>
    </row>
    <row r="149" spans="7:8" hidden="1" x14ac:dyDescent="0.25">
      <c r="G149" s="95"/>
    </row>
    <row r="150" spans="7:8" hidden="1" x14ac:dyDescent="0.25">
      <c r="G150" s="95"/>
    </row>
    <row r="151" spans="7:8" hidden="1" x14ac:dyDescent="0.25">
      <c r="G151" s="95"/>
      <c r="H151" s="87"/>
    </row>
    <row r="152" spans="7:8" hidden="1" x14ac:dyDescent="0.25">
      <c r="G152" s="95"/>
    </row>
    <row r="153" spans="7:8" ht="15.75" hidden="1" thickBot="1" x14ac:dyDescent="0.3">
      <c r="G153" s="96"/>
      <c r="H153" s="97"/>
    </row>
    <row r="154" spans="7:8" hidden="1" x14ac:dyDescent="0.25"/>
    <row r="155" spans="7:8" hidden="1" x14ac:dyDescent="0.25"/>
    <row r="156" spans="7:8" hidden="1" x14ac:dyDescent="0.25"/>
    <row r="157" spans="7:8" hidden="1" x14ac:dyDescent="0.25">
      <c r="G157" s="98"/>
      <c r="H157" s="88"/>
    </row>
    <row r="158" spans="7:8" hidden="1" x14ac:dyDescent="0.25"/>
    <row r="159" spans="7:8" hidden="1" x14ac:dyDescent="0.25"/>
    <row r="160" spans="7:8" hidden="1" x14ac:dyDescent="0.25">
      <c r="H160" s="88"/>
    </row>
    <row r="161" spans="3:8" ht="15.75" hidden="1" thickBot="1" x14ac:dyDescent="0.3">
      <c r="H161" s="99"/>
    </row>
    <row r="162" spans="3:8" hidden="1" x14ac:dyDescent="0.25"/>
    <row r="163" spans="3:8" hidden="1" x14ac:dyDescent="0.25"/>
    <row r="164" spans="3:8" hidden="1" x14ac:dyDescent="0.25"/>
    <row r="165" spans="3:8" hidden="1" x14ac:dyDescent="0.25"/>
    <row r="166" spans="3:8" hidden="1" x14ac:dyDescent="0.25">
      <c r="H166" s="88"/>
    </row>
    <row r="167" spans="3:8" ht="15.75" hidden="1" thickBot="1" x14ac:dyDescent="0.3">
      <c r="H167" s="100"/>
    </row>
    <row r="168" spans="3:8" hidden="1" x14ac:dyDescent="0.25"/>
    <row r="169" spans="3:8" x14ac:dyDescent="0.25">
      <c r="G169" s="103"/>
    </row>
    <row r="170" spans="3:8" x14ac:dyDescent="0.25">
      <c r="G170" s="179"/>
    </row>
    <row r="171" spans="3:8" x14ac:dyDescent="0.25">
      <c r="E171" s="108"/>
      <c r="F171" s="51"/>
      <c r="G171" s="50"/>
      <c r="H171" s="50"/>
    </row>
    <row r="172" spans="3:8" hidden="1" x14ac:dyDescent="0.25">
      <c r="C172" t="s">
        <v>924</v>
      </c>
      <c r="E172" s="51"/>
      <c r="F172" s="87"/>
      <c r="G172" s="104"/>
      <c r="H172" s="50"/>
    </row>
    <row r="173" spans="3:8" hidden="1" x14ac:dyDescent="0.25">
      <c r="H173" s="51"/>
    </row>
    <row r="174" spans="3:8" ht="30.75" hidden="1" thickBot="1" x14ac:dyDescent="0.3">
      <c r="C174" s="148" t="s">
        <v>916</v>
      </c>
      <c r="D174" s="149" t="s">
        <v>921</v>
      </c>
      <c r="E174" s="150" t="s">
        <v>922</v>
      </c>
      <c r="F174" s="151" t="s">
        <v>923</v>
      </c>
      <c r="H174" s="51"/>
    </row>
    <row r="175" spans="3:8" hidden="1" x14ac:dyDescent="0.25">
      <c r="C175" t="s">
        <v>917</v>
      </c>
      <c r="D175" s="50">
        <v>1164572</v>
      </c>
      <c r="E175" s="50">
        <f>25000+811307</f>
        <v>836307</v>
      </c>
      <c r="F175" s="51">
        <f>D175-E175</f>
        <v>328265</v>
      </c>
      <c r="H175" s="51"/>
    </row>
    <row r="176" spans="3:8" hidden="1" x14ac:dyDescent="0.25">
      <c r="C176" t="s">
        <v>918</v>
      </c>
      <c r="D176" s="50">
        <v>646313</v>
      </c>
      <c r="E176" s="50">
        <v>14400</v>
      </c>
      <c r="F176" s="51">
        <f>D176-E176</f>
        <v>631913</v>
      </c>
      <c r="H176" s="51"/>
    </row>
    <row r="177" spans="3:6" hidden="1" x14ac:dyDescent="0.25">
      <c r="C177" t="s">
        <v>919</v>
      </c>
      <c r="D177" s="50">
        <v>1384885</v>
      </c>
      <c r="E177" s="50">
        <v>25000</v>
      </c>
      <c r="F177" s="51">
        <f>D177-E177</f>
        <v>1359885</v>
      </c>
    </row>
    <row r="178" spans="3:6" hidden="1" x14ac:dyDescent="0.25">
      <c r="C178" t="s">
        <v>920</v>
      </c>
      <c r="D178" s="147">
        <v>15726</v>
      </c>
      <c r="E178" s="83"/>
      <c r="F178" s="51">
        <f>D178</f>
        <v>15726</v>
      </c>
    </row>
    <row r="179" spans="3:6" hidden="1" x14ac:dyDescent="0.25">
      <c r="F179" s="51">
        <f>SUM(F175:F178)</f>
        <v>2335789</v>
      </c>
    </row>
    <row r="180" spans="3:6" hidden="1" x14ac:dyDescent="0.25">
      <c r="D180" s="83"/>
      <c r="E180" s="83"/>
      <c r="F180" s="152"/>
    </row>
    <row r="181" spans="3:6" hidden="1" x14ac:dyDescent="0.25">
      <c r="E181" s="154"/>
      <c r="F181" s="153"/>
    </row>
  </sheetData>
  <mergeCells count="20">
    <mergeCell ref="D141:D142"/>
    <mergeCell ref="L47:L50"/>
    <mergeCell ref="F58:F61"/>
    <mergeCell ref="G58:G61"/>
    <mergeCell ref="H58:H61"/>
    <mergeCell ref="F73:F74"/>
    <mergeCell ref="H73:H74"/>
    <mergeCell ref="L73:L74"/>
    <mergeCell ref="H5:H6"/>
    <mergeCell ref="F35:F36"/>
    <mergeCell ref="H35:H36"/>
    <mergeCell ref="F47:F50"/>
    <mergeCell ref="G47:G50"/>
    <mergeCell ref="H47:H50"/>
    <mergeCell ref="G5:G6"/>
    <mergeCell ref="B5:B6"/>
    <mergeCell ref="C5:C6"/>
    <mergeCell ref="D5:D6"/>
    <mergeCell ref="E5:E6"/>
    <mergeCell ref="F5:F6"/>
  </mergeCells>
  <pageMargins left="2.0866141732283467" right="0.70866141732283472" top="0.62992125984251968" bottom="0.74803149606299213" header="0.31496062992125984" footer="0.31496062992125984"/>
  <pageSetup paperSize="5" scale="6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F5C9-8E35-4B29-888A-74A7D1D73701}">
  <sheetPr codeName="Sheet14">
    <tabColor rgb="FF92D050"/>
    <pageSetUpPr fitToPage="1"/>
  </sheetPr>
  <dimension ref="A1:Q56"/>
  <sheetViews>
    <sheetView topLeftCell="A10" zoomScaleNormal="100" workbookViewId="0">
      <selection activeCell="L21" sqref="L21"/>
    </sheetView>
  </sheetViews>
  <sheetFormatPr defaultRowHeight="15" x14ac:dyDescent="0.25"/>
  <cols>
    <col min="1" max="1" width="34.85546875" bestFit="1" customWidth="1"/>
    <col min="2" max="2" width="1.85546875" customWidth="1"/>
    <col min="3" max="3" width="22.7109375" style="50" hidden="1" customWidth="1"/>
    <col min="4" max="4" width="21.85546875" style="50" hidden="1" customWidth="1"/>
    <col min="5" max="5" width="23" style="50" hidden="1" customWidth="1"/>
    <col min="6" max="6" width="22.7109375" hidden="1" customWidth="1"/>
    <col min="7" max="10" width="22.7109375" customWidth="1"/>
    <col min="11" max="11" width="17.85546875" customWidth="1"/>
    <col min="12" max="12" width="32.42578125" customWidth="1"/>
    <col min="13" max="13" width="10.5703125" customWidth="1"/>
    <col min="14" max="14" width="29.5703125" customWidth="1"/>
    <col min="15" max="15" width="16.85546875" bestFit="1" customWidth="1"/>
    <col min="16" max="16" width="22.140625" customWidth="1"/>
    <col min="17" max="17" width="17.28515625" customWidth="1"/>
    <col min="20" max="20" width="9.28515625" customWidth="1"/>
  </cols>
  <sheetData>
    <row r="1" spans="1:12" x14ac:dyDescent="0.25">
      <c r="A1" s="48" t="s">
        <v>22</v>
      </c>
    </row>
    <row r="2" spans="1:12" x14ac:dyDescent="0.25">
      <c r="A2" s="48" t="s">
        <v>1408</v>
      </c>
    </row>
    <row r="3" spans="1:12" x14ac:dyDescent="0.25">
      <c r="A3" s="48" t="s">
        <v>1464</v>
      </c>
    </row>
    <row r="4" spans="1:12" x14ac:dyDescent="0.25">
      <c r="E4" s="428"/>
      <c r="G4" s="429" t="s">
        <v>1409</v>
      </c>
      <c r="H4" s="429" t="s">
        <v>1409</v>
      </c>
      <c r="I4" s="429" t="s">
        <v>1409</v>
      </c>
    </row>
    <row r="5" spans="1:12" x14ac:dyDescent="0.25">
      <c r="A5" s="399" t="s">
        <v>1410</v>
      </c>
      <c r="B5" s="399"/>
      <c r="C5" s="430" t="s">
        <v>1411</v>
      </c>
      <c r="D5" s="430" t="s">
        <v>1412</v>
      </c>
      <c r="E5" s="430" t="s">
        <v>1413</v>
      </c>
      <c r="F5" s="430" t="s">
        <v>1414</v>
      </c>
      <c r="G5" s="430" t="s">
        <v>1415</v>
      </c>
      <c r="H5" s="430" t="s">
        <v>1416</v>
      </c>
      <c r="I5" s="430" t="s">
        <v>1417</v>
      </c>
      <c r="J5" s="430" t="s">
        <v>1418</v>
      </c>
      <c r="L5" s="431"/>
    </row>
    <row r="6" spans="1:12" x14ac:dyDescent="0.25">
      <c r="A6" s="48"/>
      <c r="B6" s="48"/>
      <c r="C6" s="432"/>
      <c r="D6" s="432"/>
      <c r="E6" s="432"/>
      <c r="F6" s="432"/>
      <c r="G6" s="432"/>
      <c r="H6" s="432"/>
      <c r="I6" s="432"/>
      <c r="J6" s="432"/>
    </row>
    <row r="7" spans="1:12" x14ac:dyDescent="0.25">
      <c r="A7" t="s">
        <v>1419</v>
      </c>
      <c r="C7" s="433">
        <v>69607030</v>
      </c>
      <c r="D7" s="433">
        <v>64713952</v>
      </c>
      <c r="E7" s="433">
        <f>84232591-17750911.57</f>
        <v>66481679.43</v>
      </c>
      <c r="F7" s="433">
        <v>36745567</v>
      </c>
      <c r="G7" s="433">
        <v>67039665</v>
      </c>
      <c r="H7" s="433">
        <f>46388274.38+9242099</f>
        <v>55630373.380000003</v>
      </c>
      <c r="I7" s="433">
        <v>63577545</v>
      </c>
      <c r="J7" s="433">
        <f>'TRIAL BALANCE '!$I$58</f>
        <v>64158614.710000001</v>
      </c>
      <c r="K7" s="51"/>
    </row>
    <row r="8" spans="1:12" x14ac:dyDescent="0.25">
      <c r="A8" t="s">
        <v>1420</v>
      </c>
      <c r="C8" s="50">
        <f>87037676+1267205538</f>
        <v>1354243214</v>
      </c>
      <c r="D8" s="50">
        <f>86542457+799464556</f>
        <v>886007013</v>
      </c>
      <c r="E8" s="50">
        <f>102212660+331723574</f>
        <v>433936234</v>
      </c>
      <c r="F8" s="50">
        <v>99180122</v>
      </c>
      <c r="G8" s="50">
        <v>73487166</v>
      </c>
      <c r="H8" s="50">
        <v>77091339</v>
      </c>
      <c r="I8" s="50">
        <v>74085886</v>
      </c>
      <c r="J8" s="50">
        <f>'TRIAL BALANCE '!$I$40+'TRIAL BALANCE '!$I$41+'TRIAL BALANCE '!$I$42</f>
        <v>65320021.450000003</v>
      </c>
      <c r="K8" s="50"/>
    </row>
    <row r="9" spans="1:12" x14ac:dyDescent="0.25">
      <c r="A9" t="s">
        <v>1421</v>
      </c>
      <c r="C9" s="50">
        <v>1655654</v>
      </c>
      <c r="D9" s="50">
        <v>953754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</row>
    <row r="10" spans="1:12" x14ac:dyDescent="0.25">
      <c r="F10" s="50"/>
      <c r="G10" s="50"/>
      <c r="H10" s="50"/>
      <c r="I10" s="50"/>
      <c r="J10" s="50"/>
    </row>
    <row r="11" spans="1:12" x14ac:dyDescent="0.25">
      <c r="A11" t="s">
        <v>1422</v>
      </c>
      <c r="C11" s="50">
        <v>2438743965</v>
      </c>
      <c r="D11" s="50">
        <v>2457424933</v>
      </c>
      <c r="E11" s="50">
        <v>2468680927</v>
      </c>
      <c r="F11" s="108">
        <v>2439488797</v>
      </c>
      <c r="G11" s="108">
        <v>2442846844.52</v>
      </c>
      <c r="H11" s="108">
        <v>2448401809</v>
      </c>
      <c r="I11" s="108">
        <v>2454977749</v>
      </c>
      <c r="J11" s="108">
        <f>'TRIAL BALANCE '!$J$39+'TRIAL BALANCE '!$J$43+'TRIAL BALANCE '!$J$44+'TRIAL BALANCE '!$J$48+'TRIAL BALANCE '!$J$49+'TRIAL BALANCE '!$J$55+'TRIAL BALANCE '!$J$57+'TRIAL BALANCE '!$J$59+'TRIAL BALANCE '!$J$64</f>
        <v>2456154584.7100005</v>
      </c>
      <c r="K11" s="51"/>
    </row>
    <row r="12" spans="1:12" x14ac:dyDescent="0.25">
      <c r="A12" t="s">
        <v>1423</v>
      </c>
      <c r="C12" s="50">
        <v>6373361</v>
      </c>
      <c r="D12" s="50">
        <v>758097</v>
      </c>
      <c r="E12" s="50">
        <f>D12+10885798</f>
        <v>11643895</v>
      </c>
      <c r="F12" s="50">
        <f>E12+-6740246</f>
        <v>4903649</v>
      </c>
      <c r="G12" s="50">
        <v>-11018399.68</v>
      </c>
      <c r="H12" s="50">
        <v>9758786.6400000006</v>
      </c>
      <c r="I12" s="50">
        <v>23487524.18</v>
      </c>
      <c r="J12" s="50">
        <f>'TRIAL BALANCE '!$J$192-'TRIAL BALANCE '!$I$305</f>
        <v>11562445.299999999</v>
      </c>
      <c r="K12" s="51"/>
    </row>
    <row r="13" spans="1:12" x14ac:dyDescent="0.25">
      <c r="A13" t="s">
        <v>1424</v>
      </c>
      <c r="C13" s="50">
        <v>5630491362.7076883</v>
      </c>
      <c r="D13" s="50">
        <v>8590094687.7076874</v>
      </c>
      <c r="E13" s="50">
        <f>D13+2557742659+3+3367448226.9-1330174523.38+3791000</f>
        <v>13188902053.227688</v>
      </c>
      <c r="F13" s="277">
        <f>13188902053.23+'[5]Trial Balance - 2019'!$I$326+21655.98</f>
        <v>14522882407.23</v>
      </c>
      <c r="G13" s="108">
        <f>F13+'[6]INVESTMENT PROPERTY 2020'!$H$137+431455-21655</f>
        <v>16771162221.23</v>
      </c>
      <c r="H13" s="108">
        <f>G13+2629716170.37</f>
        <v>19400878391.599998</v>
      </c>
      <c r="I13" s="108">
        <f>H13+5300964870</f>
        <v>24701843261.599998</v>
      </c>
      <c r="J13" s="108">
        <f>I13+'INVESTMENT PROPERTY 2023'!$K$146</f>
        <v>29131857800.233097</v>
      </c>
      <c r="K13" s="51">
        <f>I13-J13</f>
        <v>-4430014538.6330986</v>
      </c>
      <c r="L13" s="51"/>
    </row>
    <row r="14" spans="1:12" x14ac:dyDescent="0.25">
      <c r="A14" t="s">
        <v>1425</v>
      </c>
      <c r="C14" s="50">
        <v>1315359745.1772437</v>
      </c>
      <c r="D14" s="50">
        <v>1319895974.1267991</v>
      </c>
      <c r="E14" s="50">
        <v>1364448841.3599999</v>
      </c>
      <c r="F14" s="50">
        <f>'[7]DEPRECIATION SCHEDULE'!FK100</f>
        <v>1370713520.6518521</v>
      </c>
      <c r="G14" s="50">
        <v>1376301637.79</v>
      </c>
      <c r="H14" s="50">
        <f>G14+'[7]DEPRECIATION SCHEDULE'!GP102</f>
        <v>1381617772.4895556</v>
      </c>
      <c r="I14" s="50">
        <f>H14+'[7]DEPRECIATION SCHEDULE'!HF102</f>
        <v>1391050279.2060666</v>
      </c>
      <c r="J14" s="50">
        <f>I14+'[7]DEPRECIATION SCHEDULE'!HV102</f>
        <v>1402734723.4229333</v>
      </c>
      <c r="K14" s="179">
        <f>I14-J14</f>
        <v>-11684444.216866732</v>
      </c>
    </row>
    <row r="15" spans="1:12" x14ac:dyDescent="0.25">
      <c r="F15" s="50"/>
      <c r="G15" s="50"/>
      <c r="H15" s="50"/>
      <c r="I15" s="50"/>
      <c r="J15" s="50"/>
    </row>
    <row r="16" spans="1:12" x14ac:dyDescent="0.25">
      <c r="F16" s="50"/>
      <c r="G16" s="50"/>
      <c r="H16" s="50"/>
      <c r="I16" s="50"/>
      <c r="J16" s="50"/>
    </row>
    <row r="17" spans="1:17" ht="15.75" thickBot="1" x14ac:dyDescent="0.3">
      <c r="F17" s="50"/>
      <c r="G17" s="50"/>
      <c r="H17" s="50"/>
      <c r="I17" s="50"/>
      <c r="J17" s="50"/>
      <c r="N17" s="50"/>
    </row>
    <row r="18" spans="1:17" ht="15.75" thickBot="1" x14ac:dyDescent="0.3">
      <c r="A18" s="434" t="s">
        <v>1426</v>
      </c>
      <c r="F18" s="50"/>
      <c r="G18" s="50"/>
      <c r="H18" s="50"/>
      <c r="I18" s="50"/>
      <c r="J18" s="50"/>
    </row>
    <row r="19" spans="1:17" x14ac:dyDescent="0.25">
      <c r="A19" s="48"/>
      <c r="F19" s="50"/>
      <c r="G19" s="50"/>
      <c r="H19" s="50"/>
      <c r="I19" s="50"/>
      <c r="J19" s="50"/>
    </row>
    <row r="20" spans="1:17" x14ac:dyDescent="0.25">
      <c r="A20" s="399" t="s">
        <v>1427</v>
      </c>
      <c r="B20" s="399"/>
      <c r="C20" s="435" t="s">
        <v>1411</v>
      </c>
      <c r="D20" s="435" t="s">
        <v>1412</v>
      </c>
      <c r="E20" s="436" t="s">
        <v>1413</v>
      </c>
      <c r="F20" s="436" t="s">
        <v>1414</v>
      </c>
      <c r="G20" s="436" t="s">
        <v>1415</v>
      </c>
      <c r="H20" s="436" t="s">
        <v>1416</v>
      </c>
      <c r="I20" s="436" t="s">
        <v>1417</v>
      </c>
      <c r="J20" s="436" t="s">
        <v>1418</v>
      </c>
      <c r="N20" s="175"/>
      <c r="O20" s="437"/>
      <c r="P20" s="437"/>
    </row>
    <row r="21" spans="1:17" x14ac:dyDescent="0.25">
      <c r="A21" t="s">
        <v>1428</v>
      </c>
      <c r="C21" s="427">
        <f t="shared" ref="C21:J23" si="0">C7*-0.3</f>
        <v>-20882109</v>
      </c>
      <c r="D21" s="427">
        <f t="shared" si="0"/>
        <v>-19414185.599999998</v>
      </c>
      <c r="E21" s="194">
        <f t="shared" si="0"/>
        <v>-19944503.829</v>
      </c>
      <c r="F21" s="194">
        <f t="shared" si="0"/>
        <v>-11023670.1</v>
      </c>
      <c r="G21" s="194">
        <f>G7*-0.275</f>
        <v>-18435907.875</v>
      </c>
      <c r="H21" s="194">
        <f t="shared" ref="H21:J22" si="1">H7*-0.25</f>
        <v>-13907593.345000001</v>
      </c>
      <c r="I21" s="194">
        <f t="shared" si="1"/>
        <v>-15894386.25</v>
      </c>
      <c r="J21" s="194">
        <f t="shared" si="1"/>
        <v>-16039653.6775</v>
      </c>
      <c r="O21" s="51"/>
      <c r="Q21" s="51"/>
    </row>
    <row r="22" spans="1:17" x14ac:dyDescent="0.25">
      <c r="A22" t="s">
        <v>1429</v>
      </c>
      <c r="C22" s="427">
        <f t="shared" si="0"/>
        <v>-406272964.19999999</v>
      </c>
      <c r="D22" s="427">
        <f t="shared" si="0"/>
        <v>-265802103.89999998</v>
      </c>
      <c r="E22" s="194">
        <f t="shared" si="0"/>
        <v>-130180870.19999999</v>
      </c>
      <c r="F22" s="194">
        <f t="shared" si="0"/>
        <v>-29754036.599999998</v>
      </c>
      <c r="G22" s="194">
        <f>G8*-0.275</f>
        <v>-20208970.650000002</v>
      </c>
      <c r="H22" s="194">
        <f t="shared" si="1"/>
        <v>-19272834.75</v>
      </c>
      <c r="I22" s="194">
        <f t="shared" si="1"/>
        <v>-18521471.5</v>
      </c>
      <c r="J22" s="194">
        <f t="shared" si="1"/>
        <v>-16330005.362500001</v>
      </c>
      <c r="Q22" s="51"/>
    </row>
    <row r="23" spans="1:17" x14ac:dyDescent="0.25">
      <c r="A23" t="s">
        <v>1430</v>
      </c>
      <c r="C23" s="427">
        <f t="shared" si="0"/>
        <v>-496696.19999999995</v>
      </c>
      <c r="D23" s="427">
        <f t="shared" si="0"/>
        <v>-286126.2</v>
      </c>
      <c r="E23" s="194">
        <f t="shared" si="0"/>
        <v>0</v>
      </c>
      <c r="F23" s="194">
        <f t="shared" si="0"/>
        <v>0</v>
      </c>
      <c r="G23" s="194">
        <f t="shared" si="0"/>
        <v>0</v>
      </c>
      <c r="H23" s="194">
        <f t="shared" si="0"/>
        <v>0</v>
      </c>
      <c r="I23" s="194">
        <f t="shared" si="0"/>
        <v>0</v>
      </c>
      <c r="J23" s="194">
        <f t="shared" si="0"/>
        <v>0</v>
      </c>
      <c r="L23" s="438"/>
      <c r="O23" s="51"/>
      <c r="Q23" s="51"/>
    </row>
    <row r="24" spans="1:17" x14ac:dyDescent="0.25">
      <c r="A24" t="s">
        <v>1431</v>
      </c>
      <c r="C24" s="427">
        <f>(C13+C14)*-0.3</f>
        <v>-2083755332.3654795</v>
      </c>
      <c r="D24" s="427">
        <f>(D13+D14)*-0.3</f>
        <v>-2972997198.5503459</v>
      </c>
      <c r="E24" s="194">
        <f>(E13+E14)*-0.3</f>
        <v>-4366005268.3763065</v>
      </c>
      <c r="F24" s="194">
        <f>(F13+F14)*-0.3</f>
        <v>-4768078778.3645554</v>
      </c>
      <c r="G24" s="194">
        <f>(G13+G14)*-0.275</f>
        <v>-4990552561.2305002</v>
      </c>
      <c r="H24" s="194">
        <f>(H13+H14)*-0.25</f>
        <v>-5195624041.0223885</v>
      </c>
      <c r="I24" s="194">
        <f>(I13+I14)*-0.25</f>
        <v>-6523223385.2015162</v>
      </c>
      <c r="J24" s="194">
        <f>(J13+J14)*-0.25</f>
        <v>-7633648130.9140072</v>
      </c>
      <c r="L24" s="439"/>
      <c r="Q24" s="51"/>
    </row>
    <row r="25" spans="1:17" x14ac:dyDescent="0.25">
      <c r="A25" t="s">
        <v>1432</v>
      </c>
      <c r="C25" s="427">
        <f t="shared" ref="C25:J26" si="2">C10*0.3</f>
        <v>0</v>
      </c>
      <c r="D25" s="427">
        <f t="shared" si="2"/>
        <v>0</v>
      </c>
      <c r="E25" s="194">
        <f t="shared" si="2"/>
        <v>0</v>
      </c>
      <c r="F25" s="194">
        <f t="shared" si="2"/>
        <v>0</v>
      </c>
      <c r="G25" s="194">
        <f t="shared" si="2"/>
        <v>0</v>
      </c>
      <c r="H25" s="194">
        <f t="shared" si="2"/>
        <v>0</v>
      </c>
      <c r="I25" s="194">
        <f t="shared" si="2"/>
        <v>0</v>
      </c>
      <c r="J25" s="194">
        <f t="shared" si="2"/>
        <v>0</v>
      </c>
      <c r="K25" s="66"/>
      <c r="L25" s="438"/>
      <c r="P25" s="51"/>
      <c r="Q25" s="51"/>
    </row>
    <row r="26" spans="1:17" x14ac:dyDescent="0.25">
      <c r="A26" t="s">
        <v>1433</v>
      </c>
      <c r="C26" s="427">
        <f t="shared" si="2"/>
        <v>731623189.5</v>
      </c>
      <c r="D26" s="427">
        <f t="shared" si="2"/>
        <v>737227479.89999998</v>
      </c>
      <c r="E26" s="194">
        <f>E11*0.3</f>
        <v>740604278.10000002</v>
      </c>
      <c r="F26" s="194">
        <f>F11*0.3</f>
        <v>731846639.10000002</v>
      </c>
      <c r="G26" s="194">
        <f>G11*0.275</f>
        <v>671782882.24300003</v>
      </c>
      <c r="H26" s="194">
        <f>H11*0.25</f>
        <v>612100452.25</v>
      </c>
      <c r="I26" s="194">
        <f>I11*0.25</f>
        <v>613744437.25</v>
      </c>
      <c r="J26" s="194">
        <f>J11*0.25</f>
        <v>614038646.17750013</v>
      </c>
      <c r="L26" s="440"/>
      <c r="Q26" s="51"/>
    </row>
    <row r="27" spans="1:17" x14ac:dyDescent="0.25">
      <c r="A27" t="s">
        <v>1434</v>
      </c>
      <c r="C27" s="427">
        <f>-C12*0.3</f>
        <v>-1912008.2999999998</v>
      </c>
      <c r="D27" s="427">
        <f>-D12*0.3</f>
        <v>-227429.1</v>
      </c>
      <c r="E27" s="194">
        <f>-E12*0.3</f>
        <v>-3493168.5</v>
      </c>
      <c r="F27" s="194">
        <f>-F12*0.3</f>
        <v>-1471094.7</v>
      </c>
      <c r="G27" s="194">
        <f>-G12*0.275</f>
        <v>3030059.912</v>
      </c>
      <c r="H27" s="194">
        <f>-H12*0.25</f>
        <v>-2439696.66</v>
      </c>
      <c r="I27" s="194">
        <f>-I12*0.25</f>
        <v>-5871881.0449999999</v>
      </c>
      <c r="J27" s="194">
        <f>-J12*0.25</f>
        <v>-2890611.3249999997</v>
      </c>
      <c r="L27" s="438"/>
      <c r="N27" s="51"/>
      <c r="Q27" s="51"/>
    </row>
    <row r="28" spans="1:17" ht="15.75" thickBot="1" x14ac:dyDescent="0.3">
      <c r="A28" t="s">
        <v>1435</v>
      </c>
      <c r="C28" s="427">
        <f t="shared" ref="C28:H28" si="3">SUM(C21:C27)</f>
        <v>-1781695920.5654795</v>
      </c>
      <c r="D28" s="427">
        <f t="shared" si="3"/>
        <v>-2521499563.4503455</v>
      </c>
      <c r="E28" s="194">
        <f t="shared" si="3"/>
        <v>-3779019532.8053069</v>
      </c>
      <c r="F28" s="194">
        <f t="shared" si="3"/>
        <v>-4078480940.6645551</v>
      </c>
      <c r="G28" s="194">
        <f t="shared" si="3"/>
        <v>-4354384497.6005001</v>
      </c>
      <c r="H28" s="194">
        <f t="shared" si="3"/>
        <v>-4619143713.5273886</v>
      </c>
      <c r="I28" s="194">
        <f>SUM(I21:I27)</f>
        <v>-5949766686.7465162</v>
      </c>
      <c r="J28" s="194">
        <f>SUM(J21:J27)</f>
        <v>-7054869755.1015072</v>
      </c>
      <c r="L28" s="179"/>
      <c r="O28" s="51"/>
      <c r="Q28" s="51"/>
    </row>
    <row r="29" spans="1:17" ht="30.75" thickBot="1" x14ac:dyDescent="0.3">
      <c r="C29" s="108"/>
      <c r="D29" s="441">
        <f t="shared" ref="D29:J29" si="4">D28-C28</f>
        <v>-739803642.884866</v>
      </c>
      <c r="E29" s="442">
        <f t="shared" si="4"/>
        <v>-1257519969.3549614</v>
      </c>
      <c r="F29" s="442">
        <f t="shared" si="4"/>
        <v>-299461407.85924816</v>
      </c>
      <c r="G29" s="442">
        <f t="shared" si="4"/>
        <v>-275903556.93594503</v>
      </c>
      <c r="H29" s="442">
        <f t="shared" si="4"/>
        <v>-264759215.92688847</v>
      </c>
      <c r="I29" s="442">
        <f t="shared" si="4"/>
        <v>-1330622973.2191277</v>
      </c>
      <c r="J29" s="442">
        <f t="shared" si="4"/>
        <v>-1105103068.354991</v>
      </c>
      <c r="L29" s="443" t="s">
        <v>1436</v>
      </c>
      <c r="M29" s="444"/>
      <c r="N29" s="445">
        <v>2023</v>
      </c>
      <c r="O29" s="446" t="s">
        <v>1437</v>
      </c>
      <c r="P29" s="447" t="s">
        <v>1438</v>
      </c>
    </row>
    <row r="30" spans="1:17" x14ac:dyDescent="0.25">
      <c r="A30" s="448"/>
      <c r="C30" s="108"/>
      <c r="D30" s="108"/>
      <c r="E30" s="50">
        <v>1263210707</v>
      </c>
      <c r="F30" s="50"/>
      <c r="G30" s="50"/>
      <c r="H30" s="50"/>
      <c r="I30" s="50"/>
      <c r="J30" s="50"/>
      <c r="N30" s="70"/>
      <c r="O30" s="449"/>
      <c r="P30" s="70"/>
    </row>
    <row r="31" spans="1:17" ht="15.75" thickBot="1" x14ac:dyDescent="0.3">
      <c r="A31" s="448" t="s">
        <v>1439</v>
      </c>
      <c r="C31" s="108"/>
      <c r="D31" s="108"/>
      <c r="E31" s="450">
        <f>-E29-E30</f>
        <v>-5690737.6450386047</v>
      </c>
      <c r="F31" s="50"/>
      <c r="G31" s="50"/>
      <c r="H31" s="50"/>
      <c r="I31" s="50"/>
      <c r="J31" s="50"/>
      <c r="N31" s="70"/>
      <c r="O31" s="194"/>
      <c r="P31" s="70"/>
    </row>
    <row r="32" spans="1:17" ht="15.75" thickBot="1" x14ac:dyDescent="0.3">
      <c r="A32" s="434" t="s">
        <v>1440</v>
      </c>
      <c r="C32" s="108"/>
      <c r="D32" s="108"/>
      <c r="F32" s="50"/>
      <c r="G32" s="50"/>
      <c r="H32" s="50"/>
      <c r="I32" s="50"/>
      <c r="J32" s="50"/>
      <c r="K32" s="66"/>
      <c r="N32" s="70" t="s">
        <v>1441</v>
      </c>
      <c r="O32" s="449">
        <f>J34</f>
        <v>1105103068.354991</v>
      </c>
      <c r="P32" s="70"/>
    </row>
    <row r="33" spans="1:16" ht="15.75" thickBot="1" x14ac:dyDescent="0.3">
      <c r="A33" s="93" t="s">
        <v>1442</v>
      </c>
      <c r="B33" s="94"/>
      <c r="C33" s="451">
        <f>'[7]Recon 2019'!D40</f>
        <v>907727355.41113329</v>
      </c>
      <c r="D33" s="451">
        <v>226487937.12</v>
      </c>
      <c r="E33" s="452">
        <f>'[7]Recon 2019'!L40</f>
        <v>119472259.50000046</v>
      </c>
      <c r="F33" s="453">
        <f>'[7]Recon 2019'!R40</f>
        <v>116011110.42779985</v>
      </c>
      <c r="G33" s="453">
        <v>40949680.710000001</v>
      </c>
      <c r="H33" s="453">
        <f>'[8]Comprehensive Income'!$E$30</f>
        <v>26194991.029999997</v>
      </c>
      <c r="I33" s="453">
        <v>27906950.359999999</v>
      </c>
      <c r="J33" s="453">
        <f>'income sta'!$E$34</f>
        <v>33549956.02</v>
      </c>
      <c r="L33" s="443" t="s">
        <v>1443</v>
      </c>
      <c r="N33" s="70"/>
      <c r="O33" s="70"/>
      <c r="P33" s="70"/>
    </row>
    <row r="34" spans="1:16" x14ac:dyDescent="0.25">
      <c r="A34" s="95" t="s">
        <v>1444</v>
      </c>
      <c r="C34" s="438"/>
      <c r="D34" s="454">
        <f t="shared" ref="D34:I34" si="5">C28-D28</f>
        <v>739803642.884866</v>
      </c>
      <c r="E34" s="439">
        <f t="shared" si="5"/>
        <v>1257519969.3549614</v>
      </c>
      <c r="F34" s="455">
        <f t="shared" si="5"/>
        <v>299461407.85924816</v>
      </c>
      <c r="G34" s="455">
        <f t="shared" si="5"/>
        <v>275903556.93594503</v>
      </c>
      <c r="H34" s="455">
        <f t="shared" si="5"/>
        <v>264759215.92688847</v>
      </c>
      <c r="I34" s="455">
        <f t="shared" si="5"/>
        <v>1330622973.2191277</v>
      </c>
      <c r="J34" s="455">
        <f>I28-J28</f>
        <v>1105103068.354991</v>
      </c>
      <c r="N34" s="70" t="s">
        <v>1445</v>
      </c>
      <c r="O34" s="70"/>
      <c r="P34" s="449">
        <f>O32</f>
        <v>1105103068.354991</v>
      </c>
    </row>
    <row r="35" spans="1:16" ht="15.75" thickBot="1" x14ac:dyDescent="0.3">
      <c r="A35" s="96" t="s">
        <v>1446</v>
      </c>
      <c r="B35" s="97"/>
      <c r="C35" s="456"/>
      <c r="D35" s="457">
        <f t="shared" ref="D35:J35" si="6">SUM(D33:D34)</f>
        <v>966291580.004866</v>
      </c>
      <c r="E35" s="458">
        <f t="shared" si="6"/>
        <v>1376992228.8549619</v>
      </c>
      <c r="F35" s="459">
        <f t="shared" si="6"/>
        <v>415472518.28704798</v>
      </c>
      <c r="G35" s="459">
        <f t="shared" si="6"/>
        <v>316853237.64594501</v>
      </c>
      <c r="H35" s="459">
        <f t="shared" si="6"/>
        <v>290954206.95688844</v>
      </c>
      <c r="I35" s="459">
        <f t="shared" si="6"/>
        <v>1358529923.5791276</v>
      </c>
      <c r="J35" s="459">
        <f t="shared" si="6"/>
        <v>1138653024.3749909</v>
      </c>
      <c r="N35" s="449"/>
      <c r="O35" s="70"/>
      <c r="P35" s="70"/>
    </row>
    <row r="36" spans="1:16" x14ac:dyDescent="0.25">
      <c r="C36" s="438"/>
      <c r="D36" s="440"/>
      <c r="E36" s="460"/>
      <c r="F36" s="460"/>
      <c r="G36" s="460"/>
      <c r="H36" s="460"/>
      <c r="I36" s="460"/>
      <c r="J36" s="460"/>
      <c r="N36" s="51"/>
    </row>
    <row r="37" spans="1:16" x14ac:dyDescent="0.25">
      <c r="C37" s="438"/>
      <c r="D37" s="440"/>
      <c r="E37" s="460"/>
      <c r="F37" s="460"/>
      <c r="G37" s="460"/>
      <c r="H37" s="460"/>
      <c r="I37" s="460"/>
      <c r="J37" s="460"/>
      <c r="N37" s="51"/>
    </row>
    <row r="38" spans="1:16" x14ac:dyDescent="0.25">
      <c r="C38" s="438"/>
      <c r="D38" s="440"/>
      <c r="E38" s="460"/>
      <c r="F38" s="460"/>
      <c r="G38" s="460"/>
      <c r="H38" s="460"/>
      <c r="I38" s="460"/>
      <c r="J38" s="460"/>
      <c r="L38" t="s">
        <v>1447</v>
      </c>
      <c r="N38" s="461">
        <v>1330935348</v>
      </c>
      <c r="O38" s="437"/>
      <c r="P38" s="437"/>
    </row>
    <row r="39" spans="1:16" x14ac:dyDescent="0.25">
      <c r="C39" s="438"/>
      <c r="D39" s="440"/>
      <c r="E39" s="460"/>
      <c r="F39" s="460"/>
      <c r="G39" s="460"/>
      <c r="H39" s="460"/>
      <c r="I39" s="460"/>
      <c r="J39" s="460"/>
      <c r="L39" t="s">
        <v>1448</v>
      </c>
      <c r="N39" s="50">
        <v>1330622973.22</v>
      </c>
      <c r="O39" s="51"/>
    </row>
    <row r="40" spans="1:16" ht="15.75" thickBot="1" x14ac:dyDescent="0.3">
      <c r="C40" s="108"/>
      <c r="D40" s="108"/>
      <c r="F40" s="50"/>
      <c r="G40" s="50"/>
      <c r="H40" s="50"/>
      <c r="I40" s="50"/>
      <c r="J40" s="50"/>
      <c r="L40" t="s">
        <v>1449</v>
      </c>
      <c r="N40" s="462">
        <f>N38-N39</f>
        <v>312374.77999997139</v>
      </c>
      <c r="O40" s="398"/>
    </row>
    <row r="41" spans="1:16" ht="16.5" thickTop="1" thickBot="1" x14ac:dyDescent="0.3">
      <c r="A41" s="463" t="s">
        <v>1450</v>
      </c>
      <c r="C41" s="427">
        <f>0.3*'[7]Recon 2019'!D3</f>
        <v>969724359.29999995</v>
      </c>
      <c r="D41" s="427">
        <f>0.3*'[7]Recon 2019'!H3</f>
        <v>996218849.0999999</v>
      </c>
      <c r="E41" s="194">
        <f>0.3*'[7]Recon 2020 per AAR'!L3</f>
        <v>1457583288.5999999</v>
      </c>
      <c r="F41" s="194">
        <v>496621950</v>
      </c>
      <c r="G41" s="194">
        <f>0.25*'[8]Comprehensive Income'!$J$27</f>
        <v>576927812.61250007</v>
      </c>
      <c r="H41" s="194">
        <f>'[7]Recon  2021'!D2*0.25</f>
        <v>683076790.75</v>
      </c>
      <c r="I41" s="194">
        <f>'income sta'!H27*0.25</f>
        <v>1368966606.9349999</v>
      </c>
      <c r="J41" s="194">
        <f>'income sta'!E27*0.25</f>
        <v>235033832.39500001</v>
      </c>
      <c r="L41" s="438"/>
      <c r="O41" s="51"/>
    </row>
    <row r="42" spans="1:16" x14ac:dyDescent="0.25">
      <c r="A42" t="s">
        <v>1451</v>
      </c>
      <c r="C42" s="427">
        <f>0.3*'[7]Recon 2019'!C6</f>
        <v>5598627.2999999998</v>
      </c>
      <c r="D42" s="427">
        <f>0.3*'[7]Recon 2019'!G6</f>
        <v>7990991.2199999988</v>
      </c>
      <c r="E42" s="194">
        <f>0.3*'[7]Recon 2019'!K6</f>
        <v>0</v>
      </c>
      <c r="F42" s="194">
        <f>0.3*'[7]Recon 2019'!L6</f>
        <v>0</v>
      </c>
      <c r="G42" s="194">
        <f>0.3*'[7]Recon 2019'!M6</f>
        <v>0</v>
      </c>
      <c r="H42" s="194">
        <f>0.3*'[7]Recon 2019'!N6</f>
        <v>0</v>
      </c>
      <c r="I42" s="194">
        <f>0.3*'[7]Recon 2019'!O6</f>
        <v>0</v>
      </c>
      <c r="J42" s="194">
        <f>0.3*'[7]Recon 2019'!P6</f>
        <v>0</v>
      </c>
      <c r="L42" s="51"/>
      <c r="N42" s="445">
        <v>2023</v>
      </c>
      <c r="O42" s="446" t="s">
        <v>1437</v>
      </c>
      <c r="P42" s="447" t="s">
        <v>1438</v>
      </c>
    </row>
    <row r="43" spans="1:16" x14ac:dyDescent="0.25">
      <c r="A43" t="s">
        <v>1452</v>
      </c>
      <c r="C43" s="427">
        <v>0</v>
      </c>
      <c r="D43" s="427">
        <v>0</v>
      </c>
      <c r="E43" s="194">
        <v>0</v>
      </c>
      <c r="F43" s="194">
        <v>0</v>
      </c>
      <c r="G43" s="194">
        <v>0</v>
      </c>
      <c r="H43" s="194">
        <v>0</v>
      </c>
      <c r="I43" s="194">
        <v>0</v>
      </c>
      <c r="J43" s="194">
        <v>0</v>
      </c>
      <c r="L43" s="396"/>
      <c r="N43" s="70"/>
      <c r="O43" s="449"/>
      <c r="P43" s="70"/>
    </row>
    <row r="44" spans="1:16" x14ac:dyDescent="0.25">
      <c r="A44" t="s">
        <v>1453</v>
      </c>
      <c r="C44" s="427">
        <f>0.3*'[7]Recon 2019'!C26</f>
        <v>0</v>
      </c>
      <c r="D44" s="427">
        <v>0</v>
      </c>
      <c r="E44" s="194">
        <v>0</v>
      </c>
      <c r="F44" s="194">
        <v>0</v>
      </c>
      <c r="G44" s="194">
        <v>0</v>
      </c>
      <c r="H44" s="194">
        <v>0</v>
      </c>
      <c r="I44" s="194">
        <v>0</v>
      </c>
      <c r="J44" s="194">
        <v>0</v>
      </c>
      <c r="N44" s="70" t="s">
        <v>1445</v>
      </c>
      <c r="O44" s="194">
        <f>N40</f>
        <v>312374.77999997139</v>
      </c>
      <c r="P44" s="70"/>
    </row>
    <row r="45" spans="1:16" x14ac:dyDescent="0.25">
      <c r="A45" t="s">
        <v>1454</v>
      </c>
      <c r="C45" s="427">
        <f>-0.3*'[7]Recon 2019'!B33</f>
        <v>-16965537.494999997</v>
      </c>
      <c r="D45" s="427">
        <f>-0.3*'[7]Recon 2019'!F33</f>
        <v>-24215124.911999997</v>
      </c>
      <c r="E45" s="194">
        <f>-0.3*'[7]Recon 2019'!J37</f>
        <v>-35233292.075999998</v>
      </c>
      <c r="F45" s="194">
        <v>-46324474.630000003</v>
      </c>
      <c r="G45" s="194">
        <f>-0.275*'[7]Recon 2020'!Q37</f>
        <v>-30309822.323000003</v>
      </c>
      <c r="H45" s="194">
        <f>-0.25*'[7]Recon  2021'!D24</f>
        <v>-17821466.9925</v>
      </c>
      <c r="I45" s="194">
        <f>-'[9]RECON ITR vs IS'!$D$18*0.25</f>
        <v>-19485352.234999999</v>
      </c>
      <c r="J45" s="194">
        <f>'TRIAL BALANCE '!J184+'TRIAL BALANCE '!J186*-0.25</f>
        <v>-30806377.759999998</v>
      </c>
      <c r="N45" s="70"/>
      <c r="O45" s="449">
        <f>J47</f>
        <v>0</v>
      </c>
      <c r="P45" s="70"/>
    </row>
    <row r="46" spans="1:16" x14ac:dyDescent="0.25">
      <c r="A46" t="s">
        <v>1455</v>
      </c>
      <c r="C46" s="427">
        <f>-0.3*'[7]Recon 2019'!B34</f>
        <v>-12062926.755000001</v>
      </c>
      <c r="D46" s="427">
        <f>-0.3*'[7]Recon 2019'!F34</f>
        <v>-2870486.6999999997</v>
      </c>
      <c r="E46" s="194">
        <f>-0.3*'[7]Recon 2019'!J34</f>
        <v>-5203060.05</v>
      </c>
      <c r="F46" s="194">
        <v>-2002660.61</v>
      </c>
      <c r="G46" s="194">
        <f>-0.275*'[7]Recon 2020'!Q34</f>
        <v>-783037.75000000012</v>
      </c>
      <c r="H46" s="194">
        <f>-0.25*'[7]Recon  2021'!D23</f>
        <v>-3129837.625</v>
      </c>
      <c r="I46" s="194">
        <f>-'[9]RECON ITR vs IS'!$D$19*0.25</f>
        <v>-4160735</v>
      </c>
      <c r="J46" s="194">
        <f>'TRIAL BALANCE '!J183*-0.25</f>
        <v>-2941100.7749999999</v>
      </c>
      <c r="N46" s="70" t="s">
        <v>1466</v>
      </c>
      <c r="O46" s="70"/>
      <c r="P46" s="449">
        <f>O44</f>
        <v>312374.77999997139</v>
      </c>
    </row>
    <row r="47" spans="1:16" x14ac:dyDescent="0.25">
      <c r="A47" t="s">
        <v>1456</v>
      </c>
      <c r="C47" s="427">
        <f>-0.3*'[7]Recon 2019'!B35</f>
        <v>-7514285.358</v>
      </c>
      <c r="D47" s="427">
        <f>-0.3*'[7]Recon 2019'!F35</f>
        <v>-10789378.799999999</v>
      </c>
      <c r="E47" s="194">
        <f>-0.3*'[7]Recon 2019'!J35</f>
        <v>-14500965.122999998</v>
      </c>
      <c r="F47" s="194">
        <v>-17601927.879999999</v>
      </c>
      <c r="G47" s="194">
        <f>0.275*'[10]Recon 2020 per AAR'!$Q$26</f>
        <v>13482881.700750001</v>
      </c>
      <c r="H47" s="194">
        <f>-0.25*'[7]Recon  2021'!D11</f>
        <v>-146775.625</v>
      </c>
      <c r="I47" s="194">
        <v>0</v>
      </c>
      <c r="J47" s="194">
        <v>0</v>
      </c>
    </row>
    <row r="48" spans="1:16" x14ac:dyDescent="0.25">
      <c r="A48" t="s">
        <v>1457</v>
      </c>
      <c r="C48" s="427">
        <f>-0.3*'[7]Recon 2019'!B36</f>
        <v>-29663357.943</v>
      </c>
      <c r="D48" s="427">
        <f>-0.3*'[7]Recon 2019'!F36</f>
        <v>-43270.5</v>
      </c>
      <c r="E48" s="194">
        <f>-0.3*'[7]Recon 2019'!J36</f>
        <v>-20220317.291999999</v>
      </c>
      <c r="F48" s="194">
        <f>-0.3*'[7]Recon 2019'!P36</f>
        <v>0</v>
      </c>
      <c r="G48" s="194">
        <f>-0.3*'[7]Recon 2019'!Q36</f>
        <v>0</v>
      </c>
      <c r="H48" s="194">
        <f>-0.3*'[7]Recon 2019'!R36</f>
        <v>0</v>
      </c>
      <c r="I48" s="194">
        <f>-0.3*'[7]Recon 2019'!S36</f>
        <v>0</v>
      </c>
      <c r="J48" s="194">
        <f>-0.3*'[7]Recon 2019'!T36</f>
        <v>0</v>
      </c>
      <c r="N48" s="51"/>
    </row>
    <row r="49" spans="1:16" ht="15.75" thickBot="1" x14ac:dyDescent="0.3">
      <c r="A49" t="s">
        <v>1458</v>
      </c>
      <c r="C49" s="427"/>
      <c r="D49" s="427"/>
      <c r="E49" s="194">
        <v>-5433425.2000000002</v>
      </c>
      <c r="F49" s="464">
        <v>-15220368.59</v>
      </c>
      <c r="G49" s="464">
        <v>-242464596.59</v>
      </c>
      <c r="H49" s="464">
        <f>-371024503.55</f>
        <v>-371024503.55000001</v>
      </c>
      <c r="I49" s="464">
        <v>10294917.49</v>
      </c>
      <c r="J49" s="464">
        <v>706610.66</v>
      </c>
    </row>
    <row r="50" spans="1:16" s="61" customFormat="1" ht="15.75" thickBot="1" x14ac:dyDescent="0.3">
      <c r="A50" s="465" t="s">
        <v>1459</v>
      </c>
      <c r="B50" s="466"/>
      <c r="C50" s="467"/>
      <c r="D50" s="468">
        <f>SUM(D41:D48)</f>
        <v>966291579.40799999</v>
      </c>
      <c r="E50" s="469">
        <f t="shared" ref="E50:J50" si="7">SUM(E41:E49)</f>
        <v>1376992228.859</v>
      </c>
      <c r="F50" s="470">
        <f t="shared" si="7"/>
        <v>415472518.29000002</v>
      </c>
      <c r="G50" s="471">
        <f t="shared" si="7"/>
        <v>316853237.65025008</v>
      </c>
      <c r="H50" s="471">
        <f t="shared" si="7"/>
        <v>290954206.95750004</v>
      </c>
      <c r="I50" s="471">
        <f t="shared" si="7"/>
        <v>1355615437.1900001</v>
      </c>
      <c r="J50" s="471">
        <f t="shared" si="7"/>
        <v>201992964.52000001</v>
      </c>
      <c r="N50"/>
      <c r="O50" s="51"/>
      <c r="P50"/>
    </row>
    <row r="51" spans="1:16" x14ac:dyDescent="0.25">
      <c r="E51" s="50">
        <f t="shared" ref="E51:J51" si="8">E35-E50</f>
        <v>-4.0380954742431641E-3</v>
      </c>
      <c r="F51" s="50">
        <f t="shared" si="8"/>
        <v>-2.9520392417907715E-3</v>
      </c>
      <c r="G51" s="50">
        <f t="shared" si="8"/>
        <v>-4.3050646781921387E-3</v>
      </c>
      <c r="H51" s="50">
        <f t="shared" si="8"/>
        <v>-6.116032600402832E-4</v>
      </c>
      <c r="I51" s="50">
        <f t="shared" si="8"/>
        <v>2914486.3891274929</v>
      </c>
      <c r="J51" s="50">
        <f t="shared" si="8"/>
        <v>936660059.85499096</v>
      </c>
    </row>
    <row r="52" spans="1:16" x14ac:dyDescent="0.25">
      <c r="F52" s="51"/>
      <c r="G52" s="51"/>
      <c r="H52" s="51"/>
      <c r="I52" s="51"/>
      <c r="J52" s="51"/>
      <c r="P52" s="51"/>
    </row>
    <row r="53" spans="1:16" x14ac:dyDescent="0.25">
      <c r="A53" t="s">
        <v>1460</v>
      </c>
      <c r="N53" s="51"/>
    </row>
    <row r="54" spans="1:16" x14ac:dyDescent="0.25">
      <c r="A54" t="s">
        <v>1461</v>
      </c>
      <c r="F54" s="51"/>
      <c r="G54" s="51"/>
      <c r="H54" s="51"/>
      <c r="I54" s="51"/>
      <c r="J54" s="51"/>
    </row>
    <row r="55" spans="1:16" ht="24.75" customHeight="1" x14ac:dyDescent="0.25">
      <c r="A55" s="1032" t="s">
        <v>1462</v>
      </c>
      <c r="B55" s="1032"/>
      <c r="C55" s="1032"/>
      <c r="D55" s="1032"/>
      <c r="E55" s="1032"/>
      <c r="F55" s="1032"/>
      <c r="G55" s="1032"/>
      <c r="H55" s="1032"/>
      <c r="I55" s="472"/>
      <c r="J55" s="472"/>
    </row>
    <row r="56" spans="1:16" x14ac:dyDescent="0.25">
      <c r="G56" s="50"/>
      <c r="H56" s="50"/>
      <c r="I56" s="50"/>
      <c r="J56" s="50"/>
      <c r="K56" s="51"/>
    </row>
  </sheetData>
  <mergeCells count="1">
    <mergeCell ref="A55:H55"/>
  </mergeCells>
  <pageMargins left="0.70866141732283472" right="0.70866141732283472" top="0.49" bottom="0.54" header="0.31496062992125984" footer="0.31496062992125984"/>
  <pageSetup paperSize="119" scale="57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4F14-DA31-4500-AA75-DE8419C2F653}">
  <sheetPr codeName="Sheet7">
    <tabColor rgb="FFFFC000"/>
  </sheetPr>
  <dimension ref="A1:P529"/>
  <sheetViews>
    <sheetView topLeftCell="A197" zoomScale="80" zoomScaleNormal="80" workbookViewId="0">
      <selection activeCell="D218" sqref="D218:D221"/>
    </sheetView>
  </sheetViews>
  <sheetFormatPr defaultRowHeight="15" x14ac:dyDescent="0.25"/>
  <cols>
    <col min="1" max="1" width="14.28515625" customWidth="1"/>
    <col min="2" max="2" width="53.7109375" customWidth="1"/>
    <col min="3" max="3" width="16.140625" customWidth="1"/>
    <col min="4" max="4" width="32.5703125" customWidth="1"/>
    <col min="5" max="5" width="33.140625" customWidth="1"/>
    <col min="6" max="6" width="34" hidden="1" customWidth="1"/>
    <col min="7" max="7" width="26" hidden="1" customWidth="1"/>
    <col min="8" max="8" width="37.5703125" customWidth="1"/>
    <col min="9" max="9" width="52" customWidth="1"/>
    <col min="10" max="10" width="37.5703125" customWidth="1"/>
    <col min="12" max="12" width="16.28515625" customWidth="1"/>
    <col min="13" max="13" width="18.85546875" customWidth="1"/>
    <col min="14" max="14" width="19.28515625" customWidth="1"/>
    <col min="15" max="15" width="18.85546875" customWidth="1"/>
    <col min="16" max="16" width="33.5703125" customWidth="1"/>
  </cols>
  <sheetData>
    <row r="1" spans="1:10" x14ac:dyDescent="0.25">
      <c r="A1" s="48" t="s">
        <v>22</v>
      </c>
      <c r="C1" s="48"/>
      <c r="D1" s="48"/>
    </row>
    <row r="2" spans="1:10" x14ac:dyDescent="0.25">
      <c r="A2" s="48" t="s">
        <v>1467</v>
      </c>
      <c r="C2" s="48"/>
      <c r="D2" s="48"/>
    </row>
    <row r="3" spans="1:10" ht="15.75" thickBot="1" x14ac:dyDescent="0.3"/>
    <row r="4" spans="1:10" ht="15.75" thickBot="1" x14ac:dyDescent="0.3">
      <c r="A4" s="434" t="s">
        <v>1687</v>
      </c>
      <c r="B4" s="815" t="s">
        <v>926</v>
      </c>
      <c r="C4" s="802"/>
      <c r="D4" s="434">
        <v>2023</v>
      </c>
      <c r="E4" s="814">
        <v>2022</v>
      </c>
      <c r="F4" s="505">
        <v>2023</v>
      </c>
      <c r="G4" s="506" t="s">
        <v>1513</v>
      </c>
      <c r="H4" s="497" t="s">
        <v>2470</v>
      </c>
      <c r="I4" s="497" t="s">
        <v>2469</v>
      </c>
    </row>
    <row r="6" spans="1:10" ht="18" customHeight="1" x14ac:dyDescent="0.25">
      <c r="B6" s="83" t="s">
        <v>1690</v>
      </c>
      <c r="D6" s="50">
        <v>104273.21</v>
      </c>
      <c r="E6" s="50">
        <f>'[3]TRIAL BALANCE '!$I$8</f>
        <v>110325.97</v>
      </c>
      <c r="F6" s="50">
        <f>'TRIAL BALANCE '!I8</f>
        <v>0</v>
      </c>
      <c r="H6" s="829">
        <f>D6-E6</f>
        <v>-6052.7599999999948</v>
      </c>
    </row>
    <row r="7" spans="1:10" x14ac:dyDescent="0.25">
      <c r="B7" s="83" t="s">
        <v>2468</v>
      </c>
      <c r="D7" s="50">
        <v>53108837.799999997</v>
      </c>
      <c r="E7" s="50">
        <v>5554228</v>
      </c>
      <c r="F7" s="50">
        <f>'TRIAL BALANCE '!I11+162368005.84</f>
        <v>175306837.08000001</v>
      </c>
      <c r="H7" s="829">
        <f>D7-E7</f>
        <v>47554609.799999997</v>
      </c>
    </row>
    <row r="8" spans="1:10" x14ac:dyDescent="0.25">
      <c r="B8" s="83" t="s">
        <v>1686</v>
      </c>
      <c r="D8" s="50">
        <v>162368005.84</v>
      </c>
      <c r="E8" s="50">
        <v>250000000</v>
      </c>
      <c r="F8" s="50">
        <f>'TRIAL BALANCE '!I13</f>
        <v>67597.38</v>
      </c>
      <c r="H8" s="829">
        <f>D8-E8</f>
        <v>-87631994.159999996</v>
      </c>
      <c r="I8" t="s">
        <v>2471</v>
      </c>
    </row>
    <row r="9" spans="1:10" ht="15.75" thickBot="1" x14ac:dyDescent="0.3">
      <c r="D9" s="458">
        <v>215581116.84999999</v>
      </c>
      <c r="E9" s="99">
        <f>SUM(E6:E8)</f>
        <v>255664553.97</v>
      </c>
      <c r="F9" s="99">
        <f>SUM(F6:F8)</f>
        <v>175374434.46000001</v>
      </c>
      <c r="G9" s="510">
        <f>F9-E9</f>
        <v>-80290119.50999999</v>
      </c>
      <c r="H9" s="841">
        <f>D9-E9</f>
        <v>-40083437.120000005</v>
      </c>
      <c r="I9" s="103"/>
      <c r="J9" s="179"/>
    </row>
    <row r="10" spans="1:10" ht="15.75" thickTop="1" x14ac:dyDescent="0.25">
      <c r="H10" s="50"/>
    </row>
    <row r="11" spans="1:10" x14ac:dyDescent="0.25">
      <c r="H11" s="50"/>
    </row>
    <row r="12" spans="1:10" ht="15.75" thickBot="1" x14ac:dyDescent="0.3">
      <c r="H12" s="50"/>
    </row>
    <row r="13" spans="1:10" ht="15.75" thickBot="1" x14ac:dyDescent="0.3">
      <c r="B13" s="816" t="s">
        <v>51</v>
      </c>
      <c r="D13" s="434">
        <v>2023</v>
      </c>
      <c r="E13" s="814">
        <v>2022</v>
      </c>
      <c r="H13" s="829"/>
    </row>
    <row r="14" spans="1:10" x14ac:dyDescent="0.25">
      <c r="B14" s="816"/>
      <c r="H14" s="829">
        <f t="shared" ref="H14:H76" si="0">D14-E14</f>
        <v>0</v>
      </c>
    </row>
    <row r="15" spans="1:10" x14ac:dyDescent="0.25">
      <c r="B15" s="816" t="s">
        <v>1693</v>
      </c>
      <c r="D15" s="50">
        <f>1173990847.51-162368005.84</f>
        <v>1011622841.67</v>
      </c>
      <c r="E15" s="50">
        <f>1877432907.47-250000000</f>
        <v>1627432907.47</v>
      </c>
      <c r="H15" s="829">
        <f t="shared" si="0"/>
        <v>-615810065.80000007</v>
      </c>
      <c r="I15" t="s">
        <v>2472</v>
      </c>
    </row>
    <row r="16" spans="1:10" x14ac:dyDescent="0.25">
      <c r="B16" t="s">
        <v>1691</v>
      </c>
      <c r="D16" s="50"/>
      <c r="E16" s="50"/>
      <c r="H16" s="829">
        <f t="shared" si="0"/>
        <v>0</v>
      </c>
    </row>
    <row r="17" spans="1:10" x14ac:dyDescent="0.25">
      <c r="B17" s="63" t="s">
        <v>1692</v>
      </c>
      <c r="D17" s="50">
        <v>6243559.6399999997</v>
      </c>
      <c r="E17" s="50"/>
      <c r="H17" s="829">
        <f t="shared" si="0"/>
        <v>6243559.6399999997</v>
      </c>
      <c r="I17" t="s">
        <v>2473</v>
      </c>
    </row>
    <row r="18" spans="1:10" ht="24.75" customHeight="1" thickBot="1" x14ac:dyDescent="0.3">
      <c r="B18" s="967" t="s">
        <v>1694</v>
      </c>
      <c r="C18" s="967"/>
      <c r="D18" s="817">
        <v>1017866400.9999999</v>
      </c>
      <c r="E18" s="457">
        <f>'[3]TRIAL BALANCE '!$I$15-250000000</f>
        <v>1627432907.47</v>
      </c>
      <c r="F18" s="489">
        <f>'TRIAL BALANCE '!I15-267619606.43+6243559.64+105251600.28</f>
        <v>1315531332.1400001</v>
      </c>
      <c r="G18" s="510">
        <f>F18-E18</f>
        <v>-311901575.32999992</v>
      </c>
      <c r="H18" s="841">
        <f t="shared" si="0"/>
        <v>-609566506.47000015</v>
      </c>
      <c r="J18" s="179"/>
    </row>
    <row r="19" spans="1:10" ht="15.75" thickTop="1" x14ac:dyDescent="0.25">
      <c r="H19" s="829"/>
    </row>
    <row r="20" spans="1:10" ht="15.75" thickBot="1" x14ac:dyDescent="0.3">
      <c r="H20" s="829"/>
    </row>
    <row r="21" spans="1:10" ht="15.75" thickBot="1" x14ac:dyDescent="0.3">
      <c r="B21" s="816" t="s">
        <v>1468</v>
      </c>
      <c r="D21" s="434">
        <v>2023</v>
      </c>
      <c r="E21" s="814">
        <v>2022</v>
      </c>
      <c r="H21" s="829"/>
    </row>
    <row r="22" spans="1:10" x14ac:dyDescent="0.25">
      <c r="H22" s="829"/>
    </row>
    <row r="23" spans="1:10" ht="22.5" customHeight="1" x14ac:dyDescent="0.25">
      <c r="B23" s="968" t="s">
        <v>1487</v>
      </c>
      <c r="C23" s="968"/>
      <c r="D23" s="804">
        <v>0</v>
      </c>
      <c r="E23">
        <f>'[3]TRIAL BALANCE '!$M$42</f>
        <v>0</v>
      </c>
      <c r="F23">
        <v>0</v>
      </c>
      <c r="H23" s="829">
        <v>0</v>
      </c>
    </row>
    <row r="24" spans="1:10" ht="24" customHeight="1" x14ac:dyDescent="0.25">
      <c r="A24" s="188" t="s">
        <v>88</v>
      </c>
      <c r="B24" s="517" t="s">
        <v>993</v>
      </c>
      <c r="C24" s="249"/>
      <c r="D24" s="803"/>
      <c r="E24" s="50"/>
      <c r="F24" s="50">
        <f>'TRIAL BALANCE '!I40+'TRIAL BALANCE '!I41</f>
        <v>58381415.719999999</v>
      </c>
      <c r="G24" s="179">
        <f>F24-E24</f>
        <v>58381415.719999999</v>
      </c>
      <c r="H24" s="829"/>
    </row>
    <row r="25" spans="1:10" ht="24" customHeight="1" x14ac:dyDescent="0.25">
      <c r="A25" s="188"/>
      <c r="B25" s="83" t="s">
        <v>1712</v>
      </c>
      <c r="C25" s="285">
        <v>54280895.840000004</v>
      </c>
      <c r="D25" s="803"/>
      <c r="E25" s="50"/>
      <c r="F25" s="50"/>
      <c r="G25" s="179"/>
      <c r="H25" s="829">
        <f t="shared" si="0"/>
        <v>0</v>
      </c>
    </row>
    <row r="26" spans="1:10" ht="24" customHeight="1" x14ac:dyDescent="0.25">
      <c r="A26" s="188" t="s">
        <v>91</v>
      </c>
      <c r="B26" s="517" t="s">
        <v>994</v>
      </c>
      <c r="C26" s="249"/>
      <c r="D26" s="803"/>
      <c r="E26" s="50"/>
      <c r="F26" s="50"/>
      <c r="G26" s="179"/>
      <c r="H26" s="829">
        <f t="shared" si="0"/>
        <v>0</v>
      </c>
    </row>
    <row r="27" spans="1:10" ht="24" customHeight="1" x14ac:dyDescent="0.25">
      <c r="A27" s="188"/>
      <c r="B27" s="83" t="s">
        <v>1695</v>
      </c>
      <c r="C27" s="285">
        <v>11380295.960000001</v>
      </c>
      <c r="D27" s="803"/>
      <c r="E27" s="50"/>
      <c r="F27" s="50"/>
      <c r="G27" s="179"/>
      <c r="H27" s="829">
        <f t="shared" si="0"/>
        <v>0</v>
      </c>
    </row>
    <row r="28" spans="1:10" ht="24" customHeight="1" x14ac:dyDescent="0.25">
      <c r="A28" s="188"/>
      <c r="B28" s="83" t="s">
        <v>1696</v>
      </c>
      <c r="C28" s="285">
        <v>1789912.16</v>
      </c>
      <c r="D28" s="803"/>
      <c r="E28" s="50"/>
      <c r="F28" s="50"/>
      <c r="G28" s="179"/>
      <c r="H28" s="829">
        <f t="shared" si="0"/>
        <v>0</v>
      </c>
    </row>
    <row r="29" spans="1:10" ht="24" customHeight="1" x14ac:dyDescent="0.25">
      <c r="A29" s="188"/>
      <c r="B29" s="83" t="s">
        <v>1697</v>
      </c>
      <c r="C29" s="285">
        <v>534138.75</v>
      </c>
      <c r="D29" s="803"/>
      <c r="E29" s="50"/>
      <c r="F29" s="50"/>
      <c r="G29" s="179"/>
      <c r="H29" s="829">
        <f t="shared" si="0"/>
        <v>0</v>
      </c>
    </row>
    <row r="30" spans="1:10" ht="24" customHeight="1" x14ac:dyDescent="0.25">
      <c r="A30" s="188"/>
      <c r="B30" s="83" t="s">
        <v>1698</v>
      </c>
      <c r="C30" s="285">
        <v>16279307.57</v>
      </c>
      <c r="F30" s="50"/>
      <c r="G30" s="179"/>
      <c r="H30" s="829">
        <f t="shared" si="0"/>
        <v>0</v>
      </c>
    </row>
    <row r="31" spans="1:10" ht="24" customHeight="1" x14ac:dyDescent="0.25">
      <c r="A31" s="188"/>
      <c r="B31" s="517" t="s">
        <v>1705</v>
      </c>
      <c r="C31" s="822"/>
      <c r="D31" s="823">
        <f>C25+C27+C28+C29++C30</f>
        <v>84264550.280000001</v>
      </c>
      <c r="E31" s="496">
        <v>74085886</v>
      </c>
      <c r="F31" s="50"/>
      <c r="G31" s="179"/>
      <c r="H31" s="829">
        <f t="shared" si="0"/>
        <v>10178664.280000001</v>
      </c>
      <c r="I31" t="s">
        <v>2474</v>
      </c>
    </row>
    <row r="32" spans="1:10" ht="24" customHeight="1" x14ac:dyDescent="0.25">
      <c r="A32" s="188"/>
      <c r="B32" s="517"/>
      <c r="C32" s="822"/>
      <c r="D32" s="823"/>
      <c r="E32" s="496"/>
      <c r="F32" s="50"/>
      <c r="G32" s="179"/>
      <c r="H32" s="829"/>
    </row>
    <row r="33" spans="1:9" x14ac:dyDescent="0.25">
      <c r="A33" s="65" t="s">
        <v>98</v>
      </c>
      <c r="B33" s="968" t="s">
        <v>1707</v>
      </c>
      <c r="C33" s="968"/>
      <c r="D33" s="805">
        <v>72548733.899999991</v>
      </c>
      <c r="E33" s="496">
        <v>63577545</v>
      </c>
      <c r="F33" s="50">
        <f>'TRIAL BALANCE '!I58</f>
        <v>64158614.710000001</v>
      </c>
      <c r="G33" s="179">
        <f>F33-E33</f>
        <v>581069.71000000089</v>
      </c>
      <c r="H33" s="829">
        <f t="shared" si="0"/>
        <v>8971188.8999999911</v>
      </c>
      <c r="I33" t="s">
        <v>2475</v>
      </c>
    </row>
    <row r="34" spans="1:9" x14ac:dyDescent="0.25">
      <c r="B34" s="819"/>
      <c r="C34" s="819"/>
      <c r="D34" s="804"/>
      <c r="E34" s="50"/>
      <c r="F34" s="50"/>
      <c r="G34" s="179"/>
      <c r="H34" s="829"/>
    </row>
    <row r="35" spans="1:9" ht="13.5" customHeight="1" x14ac:dyDescent="0.25">
      <c r="A35" s="188" t="s">
        <v>118</v>
      </c>
      <c r="B35" s="820" t="s">
        <v>1699</v>
      </c>
      <c r="C35" s="820">
        <f>'TRIAL BALANCE '!I50</f>
        <v>623351.12</v>
      </c>
      <c r="F35" s="50">
        <f>'TRIAL BALANCE '!I47+'TRIAL BALANCE '!I50+'TRIAL BALANCE '!I51+'TRIAL BALANCE '!I66</f>
        <v>11673989.67</v>
      </c>
      <c r="G35" s="179">
        <f>F35-E38</f>
        <v>10807741.76</v>
      </c>
      <c r="H35" s="829">
        <f t="shared" si="0"/>
        <v>0</v>
      </c>
    </row>
    <row r="36" spans="1:9" ht="13.5" customHeight="1" x14ac:dyDescent="0.25">
      <c r="A36" s="188" t="s">
        <v>122</v>
      </c>
      <c r="B36" s="820" t="s">
        <v>1700</v>
      </c>
      <c r="C36" s="820">
        <f>'TRIAL BALANCE '!I51</f>
        <v>24389.88</v>
      </c>
      <c r="D36" s="804"/>
      <c r="E36" s="50"/>
      <c r="F36" s="50"/>
      <c r="G36" s="179"/>
      <c r="H36" s="829">
        <f t="shared" si="0"/>
        <v>0</v>
      </c>
    </row>
    <row r="37" spans="1:9" ht="13.5" customHeight="1" x14ac:dyDescent="0.25">
      <c r="A37" s="107" t="s">
        <v>692</v>
      </c>
      <c r="B37" s="820" t="s">
        <v>1701</v>
      </c>
      <c r="C37" s="820">
        <f>'TRIAL BALANCE '!I66</f>
        <v>11385.65</v>
      </c>
      <c r="F37" s="50"/>
      <c r="G37" s="179"/>
      <c r="H37" s="829">
        <f t="shared" si="0"/>
        <v>0</v>
      </c>
    </row>
    <row r="38" spans="1:9" ht="13.5" customHeight="1" x14ac:dyDescent="0.25">
      <c r="A38" s="107"/>
      <c r="B38" s="818" t="s">
        <v>1706</v>
      </c>
      <c r="C38" s="818"/>
      <c r="D38" s="805">
        <f>SUM(C35:C37)</f>
        <v>659126.65</v>
      </c>
      <c r="E38" s="496">
        <f>'[3]TRIAL BALANCE '!$I$52+'[3]TRIAL BALANCE '!$I$53+'[3]TRIAL BALANCE '!$I$68</f>
        <v>866247.90999999957</v>
      </c>
      <c r="F38" s="50"/>
      <c r="G38" s="179"/>
      <c r="H38" s="829">
        <f t="shared" si="0"/>
        <v>-207121.25999999954</v>
      </c>
      <c r="I38" t="s">
        <v>2476</v>
      </c>
    </row>
    <row r="39" spans="1:9" ht="13.5" customHeight="1" x14ac:dyDescent="0.25">
      <c r="A39" s="107"/>
      <c r="C39" s="819"/>
      <c r="D39" s="804"/>
      <c r="E39" s="50"/>
      <c r="F39" s="50"/>
      <c r="G39" s="179"/>
      <c r="H39" s="829">
        <f t="shared" si="0"/>
        <v>0</v>
      </c>
    </row>
    <row r="40" spans="1:9" ht="13.5" customHeight="1" x14ac:dyDescent="0.25">
      <c r="A40" s="107"/>
      <c r="B40" s="819"/>
      <c r="C40" s="819"/>
      <c r="D40" s="804"/>
      <c r="E40" s="50"/>
      <c r="F40" s="50"/>
      <c r="G40" s="179"/>
      <c r="H40" s="829">
        <f t="shared" si="0"/>
        <v>0</v>
      </c>
    </row>
    <row r="41" spans="1:9" ht="15" customHeight="1" x14ac:dyDescent="0.25">
      <c r="A41" s="188" t="s">
        <v>105</v>
      </c>
      <c r="B41" s="820" t="s">
        <v>1703</v>
      </c>
      <c r="C41" s="820">
        <v>238052746.09</v>
      </c>
      <c r="D41" s="804"/>
      <c r="E41" s="50"/>
      <c r="F41" s="50">
        <f>'TRIAL BALANCE '!I37+'TRIAL BALANCE '!I38</f>
        <v>762470835.13999999</v>
      </c>
      <c r="G41" s="179">
        <f>F41-E41</f>
        <v>762470835.13999999</v>
      </c>
      <c r="H41" s="829">
        <f t="shared" si="0"/>
        <v>0</v>
      </c>
    </row>
    <row r="42" spans="1:9" ht="15" customHeight="1" x14ac:dyDescent="0.25">
      <c r="A42" s="188"/>
      <c r="B42" s="820" t="s">
        <v>1702</v>
      </c>
      <c r="C42" s="824"/>
      <c r="D42" s="804"/>
      <c r="E42" s="50"/>
      <c r="F42" s="50"/>
      <c r="G42" s="179"/>
      <c r="H42" s="829">
        <f t="shared" si="0"/>
        <v>0</v>
      </c>
    </row>
    <row r="43" spans="1:9" ht="15" customHeight="1" x14ac:dyDescent="0.25">
      <c r="A43" s="188" t="s">
        <v>108</v>
      </c>
      <c r="B43" s="819" t="s">
        <v>1704</v>
      </c>
      <c r="C43" s="825">
        <v>95601546.280000001</v>
      </c>
      <c r="D43" s="804"/>
      <c r="E43" s="50"/>
      <c r="F43" s="50"/>
      <c r="G43" s="179"/>
      <c r="H43" s="829">
        <f t="shared" si="0"/>
        <v>0</v>
      </c>
    </row>
    <row r="44" spans="1:9" ht="15" customHeight="1" x14ac:dyDescent="0.25">
      <c r="A44" s="188" t="s">
        <v>77</v>
      </c>
      <c r="B44" s="819" t="s">
        <v>1708</v>
      </c>
      <c r="C44" s="825">
        <v>14863.02</v>
      </c>
      <c r="F44" s="50"/>
      <c r="G44" s="179"/>
      <c r="H44" s="829">
        <f t="shared" si="0"/>
        <v>0</v>
      </c>
    </row>
    <row r="45" spans="1:9" ht="15" customHeight="1" x14ac:dyDescent="0.25">
      <c r="A45" s="188"/>
      <c r="B45" s="818" t="s">
        <v>1709</v>
      </c>
      <c r="C45" s="826"/>
      <c r="D45" s="805">
        <f>SUM(C41:C44)</f>
        <v>333669155.38999999</v>
      </c>
      <c r="E45" s="496">
        <v>321617543.06999999</v>
      </c>
      <c r="F45" s="50"/>
      <c r="G45" s="179"/>
      <c r="H45" s="829">
        <f t="shared" si="0"/>
        <v>12051612.319999993</v>
      </c>
      <c r="I45" t="s">
        <v>2478</v>
      </c>
    </row>
    <row r="46" spans="1:9" ht="15" customHeight="1" x14ac:dyDescent="0.25">
      <c r="A46" s="188"/>
      <c r="B46" s="819"/>
      <c r="C46" s="825"/>
      <c r="D46" s="804"/>
      <c r="E46" s="50"/>
      <c r="F46" s="50"/>
      <c r="G46" s="179"/>
      <c r="H46" s="829">
        <f t="shared" si="0"/>
        <v>0</v>
      </c>
    </row>
    <row r="47" spans="1:9" x14ac:dyDescent="0.25">
      <c r="B47" s="818" t="s">
        <v>671</v>
      </c>
      <c r="C47" s="818"/>
      <c r="D47" s="805">
        <f>D31+D33+D38+D45+D23</f>
        <v>491141566.22000003</v>
      </c>
      <c r="E47" s="804">
        <f>E31+E33+E38+E45+E23</f>
        <v>460147221.98000002</v>
      </c>
      <c r="F47" s="50">
        <f>SUM(F24:F41)</f>
        <v>896684855.24000001</v>
      </c>
      <c r="G47" s="179">
        <f>F47-E47</f>
        <v>436537633.25999999</v>
      </c>
      <c r="H47" s="829">
        <f t="shared" si="0"/>
        <v>30994344.24000001</v>
      </c>
    </row>
    <row r="48" spans="1:9" ht="18" customHeight="1" x14ac:dyDescent="0.25">
      <c r="A48" s="188" t="s">
        <v>113</v>
      </c>
      <c r="B48" s="827" t="s">
        <v>1044</v>
      </c>
      <c r="C48" s="825">
        <f>'TRIAL BALANCE '!J39</f>
        <v>206677722.28999999</v>
      </c>
      <c r="D48" s="804">
        <v>-260115504.76000002</v>
      </c>
      <c r="E48" s="50">
        <f>-'[3]TRIAL BALANCE '!$J$39-'[3]TRIAL BALANCE '!$J$43-'[3]TRIAL BALANCE '!$J$49-'[3]TRIAL BALANCE '!$J$61</f>
        <v>-257583007.16000003</v>
      </c>
      <c r="F48" s="50">
        <f>-'TRIAL BALANCE '!J39-'TRIAL BALANCE '!J43+-'TRIAL BALANCE '!J48-'TRIAL BALANCE '!J59</f>
        <v>-258759841.95999998</v>
      </c>
      <c r="G48" s="179">
        <f>F48-E48</f>
        <v>-1176834.7999999523</v>
      </c>
      <c r="H48" s="829">
        <f t="shared" si="0"/>
        <v>-2532497.599999994</v>
      </c>
      <c r="I48" t="s">
        <v>2487</v>
      </c>
    </row>
    <row r="49" spans="1:10" ht="33.75" customHeight="1" x14ac:dyDescent="0.25">
      <c r="A49" s="188" t="s">
        <v>93</v>
      </c>
      <c r="B49" s="821" t="s">
        <v>1711</v>
      </c>
      <c r="C49" s="825">
        <f>'TRIAL BALANCE '!J43</f>
        <v>13170208.119999999</v>
      </c>
      <c r="D49" s="804"/>
      <c r="E49" s="50"/>
      <c r="F49" s="50"/>
      <c r="G49" s="179"/>
      <c r="H49" s="829">
        <f t="shared" si="0"/>
        <v>0</v>
      </c>
    </row>
    <row r="50" spans="1:10" ht="18" customHeight="1" x14ac:dyDescent="0.25">
      <c r="A50" s="188" t="s">
        <v>750</v>
      </c>
      <c r="B50" s="83" t="s">
        <v>1710</v>
      </c>
      <c r="C50" s="825">
        <f>'TRIAL BALANCE '!J48</f>
        <v>7039999.29</v>
      </c>
      <c r="D50" s="804"/>
      <c r="E50" s="50"/>
      <c r="F50" s="50"/>
      <c r="G50" s="179"/>
      <c r="H50" s="829">
        <f t="shared" si="0"/>
        <v>0</v>
      </c>
    </row>
    <row r="51" spans="1:10" ht="18" customHeight="1" x14ac:dyDescent="0.25">
      <c r="A51" s="188" t="s">
        <v>79</v>
      </c>
      <c r="B51" s="83" t="s">
        <v>996</v>
      </c>
      <c r="C51" s="825">
        <f>'TRIAL BALANCE '!J59</f>
        <v>31871912.260000002</v>
      </c>
      <c r="D51" s="804"/>
      <c r="E51" s="50"/>
      <c r="F51" s="50"/>
      <c r="G51" s="179"/>
      <c r="H51" s="829">
        <f t="shared" si="0"/>
        <v>0</v>
      </c>
    </row>
    <row r="52" spans="1:10" ht="14.25" customHeight="1" thickBot="1" x14ac:dyDescent="0.3">
      <c r="B52" s="818" t="s">
        <v>970</v>
      </c>
      <c r="C52" s="818"/>
      <c r="D52" s="806">
        <v>231246981.07000002</v>
      </c>
      <c r="E52" s="458">
        <f>SUM(E47:E48)</f>
        <v>202564214.81999999</v>
      </c>
      <c r="F52" s="458">
        <f>F47+F48</f>
        <v>637925013.27999997</v>
      </c>
      <c r="G52" s="510">
        <f>F52-E52</f>
        <v>435360798.45999998</v>
      </c>
      <c r="H52" s="841">
        <f t="shared" si="0"/>
        <v>28682766.25000003</v>
      </c>
      <c r="I52" s="103"/>
      <c r="J52" s="179"/>
    </row>
    <row r="53" spans="1:10" ht="14.25" customHeight="1" thickTop="1" x14ac:dyDescent="0.25">
      <c r="E53" s="50"/>
      <c r="F53" s="50"/>
      <c r="H53" s="829"/>
    </row>
    <row r="54" spans="1:10" ht="14.25" customHeight="1" x14ac:dyDescent="0.25">
      <c r="D54" s="179"/>
      <c r="E54" s="50"/>
      <c r="F54" s="50"/>
      <c r="H54" s="829"/>
    </row>
    <row r="55" spans="1:10" ht="14.25" customHeight="1" thickBot="1" x14ac:dyDescent="0.3">
      <c r="E55" s="50"/>
      <c r="F55" s="50"/>
      <c r="H55" s="829"/>
    </row>
    <row r="56" spans="1:10" ht="14.25" customHeight="1" thickBot="1" x14ac:dyDescent="0.3">
      <c r="D56" s="434">
        <v>2023</v>
      </c>
      <c r="E56" s="828">
        <v>2022</v>
      </c>
      <c r="F56" s="50"/>
      <c r="H56" s="829"/>
    </row>
    <row r="57" spans="1:10" ht="14.25" customHeight="1" x14ac:dyDescent="0.25">
      <c r="E57" s="50"/>
      <c r="F57" s="50"/>
      <c r="H57" s="829"/>
    </row>
    <row r="58" spans="1:10" ht="14.25" customHeight="1" x14ac:dyDescent="0.25">
      <c r="E58" s="50"/>
      <c r="F58" s="50"/>
      <c r="H58" s="829"/>
    </row>
    <row r="59" spans="1:10" x14ac:dyDescent="0.25">
      <c r="E59" s="179"/>
      <c r="H59" s="829"/>
    </row>
    <row r="60" spans="1:10" ht="15.75" thickBot="1" x14ac:dyDescent="0.3">
      <c r="B60" s="816" t="s">
        <v>950</v>
      </c>
      <c r="D60" s="491">
        <v>1671739.82</v>
      </c>
      <c r="E60" s="458">
        <f>'[3]TRIAL BALANCE '!$I$72</f>
        <v>1627648.16</v>
      </c>
      <c r="F60" s="458">
        <f>'TRIAL BALANCE '!I70</f>
        <v>1558990.67</v>
      </c>
      <c r="G60" s="510">
        <f>F60-E60</f>
        <v>-68657.489999999991</v>
      </c>
      <c r="H60" s="841">
        <f t="shared" si="0"/>
        <v>44091.660000000149</v>
      </c>
      <c r="I60" s="103" t="s">
        <v>2477</v>
      </c>
      <c r="J60" s="179"/>
    </row>
    <row r="61" spans="1:10" ht="15.75" thickTop="1" x14ac:dyDescent="0.25">
      <c r="H61" s="829"/>
    </row>
    <row r="62" spans="1:10" x14ac:dyDescent="0.25">
      <c r="H62" s="829"/>
    </row>
    <row r="63" spans="1:10" x14ac:dyDescent="0.25">
      <c r="H63" s="829"/>
    </row>
    <row r="64" spans="1:10" ht="15.75" thickBot="1" x14ac:dyDescent="0.3">
      <c r="H64" s="829"/>
    </row>
    <row r="65" spans="2:10" ht="15.75" thickBot="1" x14ac:dyDescent="0.3">
      <c r="D65" s="434">
        <v>2023</v>
      </c>
      <c r="E65" s="828">
        <v>2022</v>
      </c>
      <c r="H65" s="829"/>
    </row>
    <row r="66" spans="2:10" x14ac:dyDescent="0.25">
      <c r="H66" s="829"/>
    </row>
    <row r="67" spans="2:10" x14ac:dyDescent="0.25">
      <c r="B67" s="816" t="s">
        <v>1469</v>
      </c>
      <c r="H67" s="829"/>
    </row>
    <row r="68" spans="2:10" x14ac:dyDescent="0.25">
      <c r="D68" s="799"/>
      <c r="H68" s="829"/>
    </row>
    <row r="69" spans="2:10" x14ac:dyDescent="0.25">
      <c r="B69" s="83" t="s">
        <v>2481</v>
      </c>
      <c r="D69" s="799">
        <v>238407.01</v>
      </c>
      <c r="E69" s="50">
        <f>'[3]TRIAL BALANCE '!$I$116</f>
        <v>33577.79</v>
      </c>
      <c r="F69" s="50">
        <f>'TRIAL BALANCE '!I115</f>
        <v>568446.29</v>
      </c>
      <c r="H69" s="829">
        <f t="shared" si="0"/>
        <v>204829.22</v>
      </c>
      <c r="I69" t="s">
        <v>2480</v>
      </c>
    </row>
    <row r="70" spans="2:10" ht="24.75" customHeight="1" x14ac:dyDescent="0.25">
      <c r="B70" s="966" t="s">
        <v>2479</v>
      </c>
      <c r="C70" s="966"/>
      <c r="D70" s="807">
        <v>642600</v>
      </c>
      <c r="E70" s="50">
        <f>'[3]TRIAL BALANCE '!$I$119</f>
        <v>1256363.05</v>
      </c>
      <c r="F70" s="50">
        <f>'TRIAL BALANCE '!I118</f>
        <v>642600</v>
      </c>
      <c r="H70" s="829">
        <f t="shared" si="0"/>
        <v>-613763.05000000005</v>
      </c>
      <c r="I70" t="s">
        <v>2482</v>
      </c>
    </row>
    <row r="71" spans="2:10" ht="20.25" customHeight="1" x14ac:dyDescent="0.25">
      <c r="B71" s="83" t="s">
        <v>1688</v>
      </c>
      <c r="D71" s="799">
        <v>705463.81</v>
      </c>
      <c r="E71" s="50">
        <f>'[3]TRIAL BALANCE '!$I$121</f>
        <v>498635.55</v>
      </c>
      <c r="F71" s="50">
        <f>'TRIAL BALANCE '!I120</f>
        <v>717771.5</v>
      </c>
      <c r="G71" s="179">
        <f>F71-E71</f>
        <v>219135.95</v>
      </c>
      <c r="H71" s="829">
        <f t="shared" si="0"/>
        <v>206828.26000000007</v>
      </c>
      <c r="I71" t="s">
        <v>2483</v>
      </c>
    </row>
    <row r="72" spans="2:10" ht="22.5" customHeight="1" x14ac:dyDescent="0.25">
      <c r="B72" s="83" t="s">
        <v>1714</v>
      </c>
      <c r="D72" s="799">
        <v>1854397.17</v>
      </c>
      <c r="E72" s="50">
        <f>'[3]TRIAL BALANCE '!$I$122</f>
        <v>1375885.03</v>
      </c>
      <c r="F72" s="50">
        <f>'TRIAL BALANCE '!I121</f>
        <v>571163.78</v>
      </c>
      <c r="G72" s="179">
        <f>F72-E72</f>
        <v>-804721.25</v>
      </c>
      <c r="H72" s="829">
        <f t="shared" si="0"/>
        <v>478512.1399999999</v>
      </c>
      <c r="I72" t="s">
        <v>2484</v>
      </c>
    </row>
    <row r="73" spans="2:10" ht="21.75" customHeight="1" x14ac:dyDescent="0.25">
      <c r="B73" s="83" t="s">
        <v>1713</v>
      </c>
      <c r="D73" s="799">
        <v>104929.63</v>
      </c>
      <c r="E73" s="50">
        <f>'[3]TRIAL BALANCE '!$I$123</f>
        <v>147178.32</v>
      </c>
      <c r="F73" s="50">
        <f>'TRIAL BALANCE '!I122</f>
        <v>189126.39999999999</v>
      </c>
      <c r="H73" s="829">
        <f t="shared" si="0"/>
        <v>-42248.69</v>
      </c>
      <c r="I73" t="s">
        <v>2485</v>
      </c>
    </row>
    <row r="74" spans="2:10" ht="41.25" customHeight="1" x14ac:dyDescent="0.25">
      <c r="B74" s="821" t="s">
        <v>1715</v>
      </c>
      <c r="D74" s="799">
        <v>11693745.460000001</v>
      </c>
      <c r="E74" s="50">
        <f>'[3]TRIAL BALANCE '!$I$124</f>
        <v>11693745.460000001</v>
      </c>
      <c r="F74" s="50">
        <f>'TRIAL BALANCE '!I123</f>
        <v>112832702.16</v>
      </c>
      <c r="G74" s="179">
        <f>F74-E74</f>
        <v>101138956.69999999</v>
      </c>
      <c r="H74" s="829">
        <f t="shared" si="0"/>
        <v>0</v>
      </c>
      <c r="I74" t="s">
        <v>2486</v>
      </c>
    </row>
    <row r="75" spans="2:10" ht="42.75" customHeight="1" x14ac:dyDescent="0.25">
      <c r="B75" s="966" t="s">
        <v>1689</v>
      </c>
      <c r="C75" s="966"/>
      <c r="D75" s="799">
        <v>17492894.100000001</v>
      </c>
      <c r="E75" s="50">
        <f>'[3]TRIAL BALANCE '!$I$125-46176</f>
        <v>8911158.7799999993</v>
      </c>
      <c r="F75" s="50">
        <f>'TRIAL BALANCE '!I124</f>
        <v>4716928.95</v>
      </c>
      <c r="G75" s="179">
        <f>F75-E75</f>
        <v>-4194229.8299999991</v>
      </c>
      <c r="H75" s="829">
        <f t="shared" si="0"/>
        <v>8581735.3200000022</v>
      </c>
      <c r="I75" t="s">
        <v>2488</v>
      </c>
    </row>
    <row r="76" spans="2:10" ht="33.75" customHeight="1" x14ac:dyDescent="0.25">
      <c r="B76" s="966" t="s">
        <v>1520</v>
      </c>
      <c r="C76" s="966"/>
      <c r="D76" s="807">
        <v>5148877.4800000004</v>
      </c>
      <c r="E76" s="50">
        <f>'[3]TRIAL BALANCE '!$I$130+'[3]TRIAL BALANCE '!$I$131</f>
        <v>8286948.9199999999</v>
      </c>
      <c r="F76" s="50">
        <f>'TRIAL BALANCE '!I129</f>
        <v>5166167.87</v>
      </c>
      <c r="G76" s="179">
        <f>F76-E76</f>
        <v>-3120781.05</v>
      </c>
      <c r="H76" s="829">
        <f t="shared" si="0"/>
        <v>-3138071.4399999995</v>
      </c>
      <c r="I76" t="s">
        <v>2490</v>
      </c>
    </row>
    <row r="77" spans="2:10" ht="33.75" customHeight="1" x14ac:dyDescent="0.25">
      <c r="B77" s="966" t="s">
        <v>1683</v>
      </c>
      <c r="C77" s="966"/>
      <c r="D77" s="807">
        <v>649973274.39999998</v>
      </c>
      <c r="E77" s="50"/>
      <c r="F77" s="50">
        <f>'TRIAL BALANCE '!I130</f>
        <v>638973348.95000005</v>
      </c>
      <c r="G77" s="179"/>
      <c r="H77" s="829">
        <f>D77-E77</f>
        <v>649973274.39999998</v>
      </c>
      <c r="I77" t="s">
        <v>2489</v>
      </c>
    </row>
    <row r="78" spans="2:10" ht="15.75" thickBot="1" x14ac:dyDescent="0.3">
      <c r="D78" s="801">
        <v>687854589.05999994</v>
      </c>
      <c r="E78" s="99">
        <f>SUM(E69:E76)</f>
        <v>32203492.899999999</v>
      </c>
      <c r="F78" s="99">
        <f>SUM(F69:F77)</f>
        <v>764378255.9000001</v>
      </c>
      <c r="G78" s="510">
        <f>F78-E78</f>
        <v>732174763.00000012</v>
      </c>
      <c r="H78" s="841">
        <f>D78-E78</f>
        <v>655651096.15999997</v>
      </c>
      <c r="I78" s="103"/>
      <c r="J78" s="179"/>
    </row>
    <row r="79" spans="2:10" ht="15.75" thickTop="1" x14ac:dyDescent="0.25">
      <c r="H79" s="829"/>
    </row>
    <row r="80" spans="2:10" x14ac:dyDescent="0.25">
      <c r="H80" s="829"/>
    </row>
    <row r="81" spans="2:10" ht="15.75" thickBot="1" x14ac:dyDescent="0.3">
      <c r="H81" s="829"/>
    </row>
    <row r="82" spans="2:10" ht="15.75" thickBot="1" x14ac:dyDescent="0.3">
      <c r="D82" s="434">
        <v>2023</v>
      </c>
      <c r="E82" s="828">
        <v>2022</v>
      </c>
      <c r="H82" s="829"/>
    </row>
    <row r="83" spans="2:10" x14ac:dyDescent="0.25">
      <c r="H83" s="829"/>
    </row>
    <row r="84" spans="2:10" x14ac:dyDescent="0.25">
      <c r="B84" s="411" t="s">
        <v>1470</v>
      </c>
      <c r="H84" s="829"/>
    </row>
    <row r="85" spans="2:10" x14ac:dyDescent="0.25">
      <c r="H85" s="829"/>
    </row>
    <row r="86" spans="2:10" x14ac:dyDescent="0.25">
      <c r="B86" s="368" t="s">
        <v>1498</v>
      </c>
      <c r="D86" s="50">
        <v>231901009.63999999</v>
      </c>
      <c r="E86" s="50">
        <f>'[3]TRIAL BALANCE '!$I$16</f>
        <v>228503580</v>
      </c>
      <c r="F86" s="50">
        <f>'TRIAL BALANCE '!I16</f>
        <v>246772129.63</v>
      </c>
      <c r="G86" s="179">
        <f>F86-E86</f>
        <v>18268549.629999995</v>
      </c>
      <c r="H86" s="829">
        <f>D86-E86</f>
        <v>3397429.6399999857</v>
      </c>
      <c r="I86" t="s">
        <v>2491</v>
      </c>
    </row>
    <row r="87" spans="2:10" x14ac:dyDescent="0.25">
      <c r="B87" s="368" t="s">
        <v>1499</v>
      </c>
      <c r="D87" s="50">
        <v>985263645.38</v>
      </c>
      <c r="E87" s="50">
        <f>'[3]TRIAL BALANCE '!$I$27</f>
        <v>1034269070.97</v>
      </c>
      <c r="F87" s="50">
        <f>'TRIAL BALANCE '!I27-6243559.64</f>
        <v>930263645.38</v>
      </c>
      <c r="G87" s="179">
        <f>F87-E87</f>
        <v>-104005425.59000003</v>
      </c>
      <c r="H87" s="829">
        <f>D87-E87</f>
        <v>-49005425.590000033</v>
      </c>
      <c r="I87" t="s">
        <v>2492</v>
      </c>
    </row>
    <row r="88" spans="2:10" x14ac:dyDescent="0.25">
      <c r="B88" s="368" t="s">
        <v>1500</v>
      </c>
      <c r="D88" s="50">
        <v>137493895</v>
      </c>
      <c r="E88" s="50">
        <f>'[3]TRIAL BALANCE '!$I$29</f>
        <v>132689085</v>
      </c>
      <c r="F88" s="50">
        <f>'TRIAL BALANCE '!I29</f>
        <v>247493895</v>
      </c>
      <c r="G88" s="179">
        <f>F88-E88</f>
        <v>114804810</v>
      </c>
      <c r="H88" s="829">
        <f>D88-E88</f>
        <v>4804810</v>
      </c>
      <c r="I88" t="s">
        <v>2493</v>
      </c>
    </row>
    <row r="89" spans="2:10" ht="15.75" thickBot="1" x14ac:dyDescent="0.3">
      <c r="D89" s="458">
        <v>1354658550.02</v>
      </c>
      <c r="E89" s="99">
        <f>SUM(E86:E88)</f>
        <v>1395461735.97</v>
      </c>
      <c r="F89" s="99">
        <f>SUM(F86:F88)</f>
        <v>1424529670.01</v>
      </c>
      <c r="G89" s="511">
        <f>SUM(G86:G88)</f>
        <v>29067934.039999962</v>
      </c>
      <c r="H89" s="841">
        <f>D89-E89</f>
        <v>-40803185.950000048</v>
      </c>
      <c r="I89" s="103"/>
      <c r="J89" s="179"/>
    </row>
    <row r="90" spans="2:10" ht="15.75" thickTop="1" x14ac:dyDescent="0.25">
      <c r="H90" s="829"/>
    </row>
    <row r="91" spans="2:10" x14ac:dyDescent="0.25">
      <c r="H91" s="829"/>
    </row>
    <row r="92" spans="2:10" x14ac:dyDescent="0.25">
      <c r="H92" s="829"/>
    </row>
    <row r="93" spans="2:10" x14ac:dyDescent="0.25">
      <c r="H93" s="829"/>
    </row>
    <row r="94" spans="2:10" x14ac:dyDescent="0.25">
      <c r="H94" s="829"/>
    </row>
    <row r="95" spans="2:10" ht="15.75" thickBot="1" x14ac:dyDescent="0.3">
      <c r="H95" s="829"/>
    </row>
    <row r="96" spans="2:10" ht="15.75" thickBot="1" x14ac:dyDescent="0.3">
      <c r="D96" s="434">
        <v>2023</v>
      </c>
      <c r="E96" s="828">
        <v>2022</v>
      </c>
      <c r="H96" s="829"/>
    </row>
    <row r="97" spans="2:10" x14ac:dyDescent="0.25">
      <c r="H97" s="829"/>
    </row>
    <row r="98" spans="2:10" x14ac:dyDescent="0.25">
      <c r="B98" s="493" t="s">
        <v>771</v>
      </c>
      <c r="H98" s="829">
        <f>D98-E98</f>
        <v>0</v>
      </c>
    </row>
    <row r="99" spans="2:10" x14ac:dyDescent="0.25">
      <c r="H99" s="829"/>
    </row>
    <row r="100" spans="2:10" x14ac:dyDescent="0.25">
      <c r="B100" s="368" t="s">
        <v>771</v>
      </c>
      <c r="D100" s="50">
        <v>790827691.75</v>
      </c>
      <c r="E100" s="50">
        <f>'[3]TRIAL BALANCE '!$I$19</f>
        <v>790827691.75</v>
      </c>
      <c r="F100" s="50">
        <f>'TRIAL BALANCE '!I19</f>
        <v>790827691.75</v>
      </c>
      <c r="H100" s="829">
        <f t="shared" ref="H100:H107" si="1">D100-E100</f>
        <v>0</v>
      </c>
    </row>
    <row r="101" spans="2:10" x14ac:dyDescent="0.25">
      <c r="B101" s="368" t="s">
        <v>1154</v>
      </c>
      <c r="D101" s="50">
        <v>70489869.599999994</v>
      </c>
      <c r="E101" s="50">
        <v>41984019</v>
      </c>
      <c r="F101" s="50">
        <f>'TRIAL BALANCE '!I30</f>
        <v>70489869.599999994</v>
      </c>
      <c r="H101" s="829">
        <f t="shared" si="1"/>
        <v>28505850.599999994</v>
      </c>
      <c r="I101" t="s">
        <v>2494</v>
      </c>
    </row>
    <row r="102" spans="2:10" x14ac:dyDescent="0.25">
      <c r="B102" s="368" t="s">
        <v>763</v>
      </c>
      <c r="D102" s="50">
        <v>-586007691.75</v>
      </c>
      <c r="E102" s="50">
        <f>-'[3]TRIAL BALANCE '!$J$20</f>
        <v>-586007691.75</v>
      </c>
      <c r="F102" s="50">
        <f>-'TRIAL BALANCE '!J20</f>
        <v>-586007691.75</v>
      </c>
      <c r="H102" s="829">
        <f t="shared" si="1"/>
        <v>0</v>
      </c>
    </row>
    <row r="103" spans="2:10" ht="15.75" thickBot="1" x14ac:dyDescent="0.3">
      <c r="D103" s="491">
        <v>275309869.60000002</v>
      </c>
      <c r="E103" s="808">
        <f>SUM(E100:E102)</f>
        <v>246804019</v>
      </c>
      <c r="F103" s="808">
        <f>SUM(F100:F102)</f>
        <v>275309869.60000002</v>
      </c>
      <c r="G103" s="510">
        <f>F103-E103</f>
        <v>28505850.600000024</v>
      </c>
      <c r="H103" s="829">
        <f t="shared" si="1"/>
        <v>28505850.600000024</v>
      </c>
      <c r="I103" s="103"/>
      <c r="J103" s="179"/>
    </row>
    <row r="104" spans="2:10" ht="15.75" thickTop="1" x14ac:dyDescent="0.25">
      <c r="H104" s="829">
        <f t="shared" si="1"/>
        <v>0</v>
      </c>
    </row>
    <row r="105" spans="2:10" x14ac:dyDescent="0.25">
      <c r="E105" s="179"/>
      <c r="H105" s="829">
        <f t="shared" si="1"/>
        <v>0</v>
      </c>
    </row>
    <row r="106" spans="2:10" x14ac:dyDescent="0.25">
      <c r="E106" s="179"/>
      <c r="H106" s="829">
        <f t="shared" si="1"/>
        <v>0</v>
      </c>
    </row>
    <row r="107" spans="2:10" ht="15.75" thickBot="1" x14ac:dyDescent="0.3">
      <c r="E107" s="179"/>
      <c r="H107" s="829">
        <f t="shared" si="1"/>
        <v>0</v>
      </c>
    </row>
    <row r="108" spans="2:10" ht="15.75" thickBot="1" x14ac:dyDescent="0.3">
      <c r="D108" s="434">
        <v>2023</v>
      </c>
      <c r="E108" s="828">
        <v>2022</v>
      </c>
      <c r="H108" s="829"/>
    </row>
    <row r="109" spans="2:10" x14ac:dyDescent="0.25">
      <c r="E109" s="179"/>
      <c r="H109" s="829"/>
    </row>
    <row r="110" spans="2:10" x14ac:dyDescent="0.25">
      <c r="B110" s="493" t="s">
        <v>163</v>
      </c>
      <c r="H110" s="829"/>
    </row>
    <row r="111" spans="2:10" x14ac:dyDescent="0.25">
      <c r="H111" s="829"/>
    </row>
    <row r="112" spans="2:10" x14ac:dyDescent="0.25">
      <c r="B112" s="368" t="s">
        <v>163</v>
      </c>
      <c r="D112" s="50">
        <v>1672147168.0899999</v>
      </c>
      <c r="E112" s="50">
        <f>'[3]TRIAL BALANCE '!$I$25</f>
        <v>1672147168.0899999</v>
      </c>
      <c r="F112" s="50">
        <f>'TRIAL BALANCE '!I25</f>
        <v>1672147168.0899999</v>
      </c>
      <c r="H112" s="829">
        <f>D112-E112</f>
        <v>0</v>
      </c>
      <c r="I112" t="s">
        <v>2495</v>
      </c>
    </row>
    <row r="113" spans="2:10" x14ac:dyDescent="0.25">
      <c r="B113" s="368" t="s">
        <v>761</v>
      </c>
      <c r="D113" s="50">
        <v>-1269832038.5</v>
      </c>
      <c r="E113" s="50">
        <f>-'[3]TRIAL BALANCE '!$J$26</f>
        <v>-1269832038.5</v>
      </c>
      <c r="F113" s="50">
        <f>-'TRIAL BALANCE '!J26</f>
        <v>-1269832038.5</v>
      </c>
      <c r="H113" s="829">
        <f>D113-E113</f>
        <v>0</v>
      </c>
      <c r="I113" t="s">
        <v>2496</v>
      </c>
    </row>
    <row r="114" spans="2:10" ht="15.75" thickBot="1" x14ac:dyDescent="0.3">
      <c r="D114" s="458">
        <v>402315129.58999991</v>
      </c>
      <c r="E114" s="808">
        <f>SUM(E112:E113)</f>
        <v>402315129.58999991</v>
      </c>
      <c r="F114" s="808">
        <f>SUM(F112:F113)</f>
        <v>402315129.58999991</v>
      </c>
      <c r="G114" s="510">
        <f>F114-E114</f>
        <v>0</v>
      </c>
      <c r="H114" s="829">
        <f>D114-E114</f>
        <v>0</v>
      </c>
      <c r="I114" s="103"/>
      <c r="J114" s="179"/>
    </row>
    <row r="115" spans="2:10" ht="15.75" thickTop="1" x14ac:dyDescent="0.25">
      <c r="H115" s="829"/>
    </row>
    <row r="116" spans="2:10" x14ac:dyDescent="0.25">
      <c r="H116" s="829"/>
    </row>
    <row r="117" spans="2:10" x14ac:dyDescent="0.25">
      <c r="H117" s="829"/>
    </row>
    <row r="118" spans="2:10" ht="15.75" thickBot="1" x14ac:dyDescent="0.3">
      <c r="H118" s="829"/>
    </row>
    <row r="119" spans="2:10" ht="15.75" thickBot="1" x14ac:dyDescent="0.3">
      <c r="D119" s="434">
        <v>2023</v>
      </c>
      <c r="E119" s="828">
        <v>2022</v>
      </c>
      <c r="H119" s="829"/>
    </row>
    <row r="120" spans="2:10" x14ac:dyDescent="0.25">
      <c r="H120" s="829"/>
    </row>
    <row r="121" spans="2:10" x14ac:dyDescent="0.25">
      <c r="B121" s="494" t="s">
        <v>51</v>
      </c>
      <c r="H121" s="829"/>
    </row>
    <row r="122" spans="2:10" x14ac:dyDescent="0.25">
      <c r="H122" s="829"/>
    </row>
    <row r="123" spans="2:10" x14ac:dyDescent="0.25">
      <c r="B123" s="368" t="s">
        <v>767</v>
      </c>
      <c r="D123" s="50">
        <v>2154099863.8200002</v>
      </c>
      <c r="E123" s="50">
        <f>'[3]TRIAL BALANCE '!$I$22</f>
        <v>2154099863.8200002</v>
      </c>
      <c r="F123" s="50">
        <f>'TRIAL BALANCE '!I22</f>
        <v>2154099863.8200002</v>
      </c>
      <c r="H123" s="829">
        <f>D123-E123</f>
        <v>0</v>
      </c>
      <c r="I123" t="s">
        <v>2497</v>
      </c>
    </row>
    <row r="124" spans="2:10" x14ac:dyDescent="0.25">
      <c r="B124" s="368" t="s">
        <v>262</v>
      </c>
      <c r="D124" s="50">
        <v>161861665.66999999</v>
      </c>
      <c r="E124" s="50">
        <f>'[3]TRIAL BALANCE '!$I$32</f>
        <v>161861665.66999999</v>
      </c>
      <c r="F124" s="50">
        <f>'TRIAL BALANCE '!I32</f>
        <v>161861665.66999999</v>
      </c>
      <c r="H124" s="829">
        <f>D124-E124</f>
        <v>0</v>
      </c>
      <c r="I124" t="s">
        <v>2498</v>
      </c>
    </row>
    <row r="125" spans="2:10" x14ac:dyDescent="0.25">
      <c r="B125" s="368" t="s">
        <v>765</v>
      </c>
      <c r="D125" s="50">
        <v>-1957652972.76</v>
      </c>
      <c r="E125" s="50">
        <f>-'[3]TRIAL BALANCE '!$J$23</f>
        <v>-1957652972.76</v>
      </c>
      <c r="F125" s="50">
        <f>-'TRIAL BALANCE '!J23</f>
        <v>-1957652972.76</v>
      </c>
      <c r="H125" s="829">
        <f>D125-E125</f>
        <v>0</v>
      </c>
    </row>
    <row r="126" spans="2:10" x14ac:dyDescent="0.25">
      <c r="B126" s="368" t="s">
        <v>171</v>
      </c>
      <c r="D126" s="50">
        <v>-161861665.66999999</v>
      </c>
      <c r="E126" s="50">
        <f>-'[3]TRIAL BALANCE '!$J$33</f>
        <v>-161861665.66999999</v>
      </c>
      <c r="F126" s="50">
        <f>-'TRIAL BALANCE '!J33</f>
        <v>-161861665.66999999</v>
      </c>
      <c r="H126" s="829">
        <f>D126-E126</f>
        <v>0</v>
      </c>
    </row>
    <row r="127" spans="2:10" ht="15.75" thickBot="1" x14ac:dyDescent="0.3">
      <c r="D127" s="458">
        <v>196446891.06000027</v>
      </c>
      <c r="E127" s="99">
        <f>SUM(E123:E126)</f>
        <v>196446891.06000027</v>
      </c>
      <c r="F127" s="99">
        <f>SUM(F123:F126)</f>
        <v>196446891.06000027</v>
      </c>
      <c r="G127" s="510">
        <f>F127-E127</f>
        <v>0</v>
      </c>
      <c r="H127" s="841">
        <f>D127-E127</f>
        <v>0</v>
      </c>
      <c r="I127" s="103"/>
      <c r="J127" s="179"/>
    </row>
    <row r="128" spans="2:10" ht="15.75" thickTop="1" x14ac:dyDescent="0.25">
      <c r="H128" s="829"/>
    </row>
    <row r="129" spans="2:9" x14ac:dyDescent="0.25">
      <c r="H129" s="829"/>
    </row>
    <row r="130" spans="2:9" x14ac:dyDescent="0.25">
      <c r="H130" s="829"/>
    </row>
    <row r="131" spans="2:9" ht="15.75" thickBot="1" x14ac:dyDescent="0.3">
      <c r="H131" s="829"/>
    </row>
    <row r="132" spans="2:9" ht="15.75" thickBot="1" x14ac:dyDescent="0.3">
      <c r="D132" s="434">
        <v>2023</v>
      </c>
      <c r="E132" s="828">
        <v>2022</v>
      </c>
      <c r="H132" s="829"/>
    </row>
    <row r="133" spans="2:9" x14ac:dyDescent="0.25">
      <c r="H133" s="829"/>
    </row>
    <row r="134" spans="2:9" x14ac:dyDescent="0.25">
      <c r="B134" s="411" t="s">
        <v>1471</v>
      </c>
      <c r="H134" s="829"/>
    </row>
    <row r="135" spans="2:9" x14ac:dyDescent="0.25">
      <c r="H135" s="829"/>
    </row>
    <row r="136" spans="2:9" x14ac:dyDescent="0.25">
      <c r="B136" s="368" t="s">
        <v>1501</v>
      </c>
      <c r="D136" s="799">
        <v>6938605.7300000004</v>
      </c>
      <c r="E136" s="50">
        <f>'[3]TRIAL BALANCE '!$I$42</f>
        <v>6938605.7300000004</v>
      </c>
      <c r="F136" s="50">
        <f>'TRIAL BALANCE '!I42</f>
        <v>6938605.7300000004</v>
      </c>
      <c r="H136" s="829">
        <f>D136-E136</f>
        <v>0</v>
      </c>
    </row>
    <row r="137" spans="2:9" x14ac:dyDescent="0.25">
      <c r="B137" s="368" t="s">
        <v>1028</v>
      </c>
      <c r="D137" s="799">
        <v>6513126.7300000004</v>
      </c>
      <c r="E137" s="50">
        <f>'[3]TRIAL BALANCE '!$I$54</f>
        <v>6618184.2400000002</v>
      </c>
      <c r="F137" s="50">
        <f>'TRIAL BALANCE '!I52</f>
        <v>6456172.5099999998</v>
      </c>
      <c r="G137" s="179">
        <f>F137-E137</f>
        <v>-162011.73000000045</v>
      </c>
      <c r="H137" s="829">
        <f>D137-E137</f>
        <v>-105057.50999999978</v>
      </c>
      <c r="I137" t="s">
        <v>2499</v>
      </c>
    </row>
    <row r="138" spans="2:9" x14ac:dyDescent="0.25">
      <c r="B138" s="368" t="s">
        <v>1029</v>
      </c>
      <c r="D138" s="799">
        <v>968664.7</v>
      </c>
      <c r="E138" s="50">
        <f>'[3]TRIAL BALANCE '!$I$55</f>
        <v>1115003.98</v>
      </c>
      <c r="F138" s="50">
        <f>'TRIAL BALANCE '!I53</f>
        <v>968664.7</v>
      </c>
      <c r="G138" s="179">
        <f>F138-E138</f>
        <v>-146339.28000000003</v>
      </c>
      <c r="H138" s="829">
        <f>D138-E138</f>
        <v>-146339.28000000003</v>
      </c>
      <c r="I138" t="s">
        <v>2500</v>
      </c>
    </row>
    <row r="139" spans="2:9" ht="39.75" customHeight="1" x14ac:dyDescent="0.25">
      <c r="B139" s="963" t="s">
        <v>1502</v>
      </c>
      <c r="C139" s="963"/>
      <c r="D139" s="807">
        <v>1115088321.3199999</v>
      </c>
      <c r="E139" s="50">
        <f>'[3]TRIAL BALANCE '!$I$58</f>
        <v>1115088321.3199999</v>
      </c>
      <c r="F139" s="50">
        <f>'TRIAL BALANCE '!I56</f>
        <v>1101588321.3199999</v>
      </c>
      <c r="H139" s="829">
        <f>D139-E139</f>
        <v>0</v>
      </c>
    </row>
    <row r="140" spans="2:9" ht="28.5" customHeight="1" x14ac:dyDescent="0.25">
      <c r="B140" s="963" t="s">
        <v>1503</v>
      </c>
      <c r="C140" s="963"/>
      <c r="D140" s="807">
        <v>1143744205.77</v>
      </c>
      <c r="E140" s="50">
        <f>'[3]TRIAL BALANCE '!$I$64</f>
        <v>1143744205.77</v>
      </c>
      <c r="F140" s="50">
        <f>'TRIAL BALANCE '!I62</f>
        <v>1143744205.77</v>
      </c>
      <c r="H140" s="829">
        <f>D140-E140</f>
        <v>0</v>
      </c>
    </row>
    <row r="141" spans="2:9" x14ac:dyDescent="0.25">
      <c r="B141" s="368" t="s">
        <v>1504</v>
      </c>
      <c r="D141" s="799">
        <v>3252877.38</v>
      </c>
      <c r="E141" s="50">
        <f>'[3]TRIAL BALANCE '!$I$65</f>
        <v>3252877.38</v>
      </c>
      <c r="F141" s="50">
        <f>'TRIAL BALANCE '!I63</f>
        <v>3252877.38</v>
      </c>
      <c r="H141" s="829">
        <f t="shared" ref="H141:H204" si="2">D141-E141</f>
        <v>0</v>
      </c>
    </row>
    <row r="142" spans="2:9" ht="15.75" thickBot="1" x14ac:dyDescent="0.3">
      <c r="D142" s="800">
        <v>2276505801.6300001</v>
      </c>
      <c r="E142" s="491">
        <f>SUM(E136:E141)</f>
        <v>2276757198.4200001</v>
      </c>
      <c r="F142" s="491">
        <f>SUM(F136:F141)</f>
        <v>2262948847.4099998</v>
      </c>
      <c r="G142" s="510">
        <f>F142-E142</f>
        <v>-13808351.010000229</v>
      </c>
      <c r="H142" s="829">
        <f t="shared" si="2"/>
        <v>-251396.78999996185</v>
      </c>
      <c r="I142" s="103"/>
    </row>
    <row r="143" spans="2:9" ht="15.75" thickTop="1" x14ac:dyDescent="0.25">
      <c r="E143" s="50"/>
      <c r="F143" s="50"/>
      <c r="H143" s="829"/>
    </row>
    <row r="144" spans="2:9" x14ac:dyDescent="0.25">
      <c r="E144" s="50"/>
      <c r="F144" s="50"/>
      <c r="H144" s="829"/>
    </row>
    <row r="145" spans="2:10" x14ac:dyDescent="0.25">
      <c r="B145" s="368" t="s">
        <v>1405</v>
      </c>
      <c r="D145" s="50">
        <v>-6938605.7300000004</v>
      </c>
      <c r="E145" s="50">
        <f>-'[3]TRIAL BALANCE '!$J$44</f>
        <v>-6938605.7300000023</v>
      </c>
      <c r="F145" s="50">
        <f>-'TRIAL BALANCE '!J44</f>
        <v>-6938605.7300000004</v>
      </c>
      <c r="H145" s="829">
        <f t="shared" si="2"/>
        <v>0</v>
      </c>
    </row>
    <row r="146" spans="2:10" x14ac:dyDescent="0.25">
      <c r="B146" s="368" t="s">
        <v>1091</v>
      </c>
      <c r="D146" s="50">
        <v>-121943900.54000001</v>
      </c>
      <c r="E146" s="50">
        <f>-'[3]TRIAL BALANCE '!$J$50</f>
        <v>-121943900.54000001</v>
      </c>
      <c r="F146" s="50">
        <f>-'TRIAL BALANCE '!J49</f>
        <v>-121943900.54000001</v>
      </c>
      <c r="H146" s="829">
        <f t="shared" si="2"/>
        <v>0</v>
      </c>
    </row>
    <row r="147" spans="2:10" x14ac:dyDescent="0.25">
      <c r="B147" s="368" t="s">
        <v>152</v>
      </c>
      <c r="D147" s="50">
        <v>-1020331438.78</v>
      </c>
      <c r="E147" s="50">
        <f>-'[3]TRIAL BALANCE '!$J$57</f>
        <v>-1020331438.78</v>
      </c>
      <c r="F147" s="50">
        <f>-'TRIAL BALANCE '!J55</f>
        <v>-1020331438.78</v>
      </c>
      <c r="H147" s="829">
        <f t="shared" si="2"/>
        <v>0</v>
      </c>
    </row>
    <row r="148" spans="2:10" ht="27" customHeight="1" x14ac:dyDescent="0.25">
      <c r="B148" s="965" t="s">
        <v>1086</v>
      </c>
      <c r="C148" s="965"/>
      <c r="D148" s="809">
        <v>-1044927920.3200001</v>
      </c>
      <c r="E148" s="50">
        <f>-'[3]TRIAL BALANCE '!$J$59</f>
        <v>-1044927920.3200001</v>
      </c>
      <c r="F148" s="50">
        <f>-'TRIAL BALANCE '!J57</f>
        <v>-1044927920.3200001</v>
      </c>
      <c r="H148" s="829">
        <f t="shared" si="2"/>
        <v>0</v>
      </c>
    </row>
    <row r="149" spans="2:10" ht="19.5" customHeight="1" x14ac:dyDescent="0.25">
      <c r="B149" s="368" t="s">
        <v>1092</v>
      </c>
      <c r="D149" s="50">
        <v>-3252877.38</v>
      </c>
      <c r="E149" s="50">
        <f>-'[3]TRIAL BALANCE '!$J$66</f>
        <v>-3252877.38</v>
      </c>
      <c r="F149" s="50">
        <f>-'TRIAL BALANCE '!J64</f>
        <v>-3252877.38</v>
      </c>
      <c r="H149" s="829">
        <f t="shared" si="2"/>
        <v>0</v>
      </c>
    </row>
    <row r="150" spans="2:10" x14ac:dyDescent="0.25">
      <c r="D150" s="50">
        <v>-2197394742.75</v>
      </c>
      <c r="E150" s="51">
        <f>SUM(E145:E149)</f>
        <v>-2197394742.75</v>
      </c>
      <c r="F150" s="51">
        <f>SUM(F145:F149)</f>
        <v>-2197394742.75</v>
      </c>
      <c r="H150" s="829">
        <f t="shared" si="2"/>
        <v>0</v>
      </c>
    </row>
    <row r="151" spans="2:10" ht="15.75" thickBot="1" x14ac:dyDescent="0.3">
      <c r="D151" s="458">
        <v>79111058.880000114</v>
      </c>
      <c r="E151" s="490">
        <f>E142+E150</f>
        <v>79362455.670000076</v>
      </c>
      <c r="F151" s="490">
        <f>F142+F150</f>
        <v>65554104.659999847</v>
      </c>
      <c r="G151" s="510">
        <f>F151-E151</f>
        <v>-13808351.010000229</v>
      </c>
      <c r="H151" s="841">
        <f t="shared" si="2"/>
        <v>-251396.78999996185</v>
      </c>
      <c r="I151" s="103"/>
      <c r="J151" s="179"/>
    </row>
    <row r="152" spans="2:10" ht="15.75" thickTop="1" x14ac:dyDescent="0.25">
      <c r="H152" s="829"/>
    </row>
    <row r="153" spans="2:10" x14ac:dyDescent="0.25">
      <c r="H153" s="829"/>
    </row>
    <row r="154" spans="2:10" x14ac:dyDescent="0.25">
      <c r="B154" s="411" t="s">
        <v>711</v>
      </c>
      <c r="H154" s="829"/>
    </row>
    <row r="155" spans="2:10" x14ac:dyDescent="0.25">
      <c r="H155" s="829"/>
    </row>
    <row r="156" spans="2:10" x14ac:dyDescent="0.25">
      <c r="B156" s="368" t="s">
        <v>175</v>
      </c>
      <c r="D156" s="50">
        <v>343145160.49000001</v>
      </c>
      <c r="E156" s="50">
        <f>'[3]TRIAL BALANCE '!$I$75</f>
        <v>327410502.49000001</v>
      </c>
      <c r="F156" s="50">
        <f>'TRIAL BALANCE '!I73</f>
        <v>349338581.29000002</v>
      </c>
      <c r="H156" s="829">
        <f t="shared" si="2"/>
        <v>15734658</v>
      </c>
    </row>
    <row r="157" spans="2:10" x14ac:dyDescent="0.25">
      <c r="B157" s="368" t="s">
        <v>182</v>
      </c>
      <c r="D157" s="50">
        <v>31129093209.809998</v>
      </c>
      <c r="E157" s="50">
        <f>'[3]TRIAL BALANCE '!$I$76-11788475.3</f>
        <v>26705861701.510002</v>
      </c>
      <c r="F157" s="50">
        <f>'TRIAL BALANCE '!I74</f>
        <v>30411002829.810001</v>
      </c>
      <c r="H157" s="829">
        <f t="shared" si="2"/>
        <v>4423231508.2999954</v>
      </c>
    </row>
    <row r="158" spans="2:10" ht="15.75" thickBot="1" x14ac:dyDescent="0.3">
      <c r="D158" s="458">
        <v>31472238370.299999</v>
      </c>
      <c r="E158" s="99">
        <f>SUM(E156:E157)</f>
        <v>27033272204.000004</v>
      </c>
      <c r="F158" s="99">
        <f>SUM(F156:F157)</f>
        <v>30760341411.100002</v>
      </c>
      <c r="G158" s="510">
        <f>F158-E158</f>
        <v>3727069207.0999985</v>
      </c>
      <c r="H158" s="829">
        <f t="shared" si="2"/>
        <v>4438966166.2999954</v>
      </c>
      <c r="I158" s="103"/>
      <c r="J158" s="179"/>
    </row>
    <row r="159" spans="2:10" ht="15.75" thickTop="1" x14ac:dyDescent="0.25">
      <c r="E159" s="179"/>
      <c r="H159" s="829"/>
    </row>
    <row r="160" spans="2:10" x14ac:dyDescent="0.25">
      <c r="H160" s="829"/>
    </row>
    <row r="161" spans="2:8" x14ac:dyDescent="0.25">
      <c r="B161" s="411" t="s">
        <v>1056</v>
      </c>
      <c r="C161" s="48"/>
      <c r="D161" s="48"/>
      <c r="H161" s="829"/>
    </row>
    <row r="162" spans="2:8" x14ac:dyDescent="0.25">
      <c r="H162" s="829"/>
    </row>
    <row r="163" spans="2:8" x14ac:dyDescent="0.25">
      <c r="B163" s="368" t="s">
        <v>186</v>
      </c>
      <c r="D163" s="50">
        <v>70721642.950000003</v>
      </c>
      <c r="E163" s="50">
        <f>'[3]TRIAL BALANCE '!$I$79</f>
        <v>70721642.950000003</v>
      </c>
      <c r="F163" s="50">
        <f>'TRIAL BALANCE '!I77</f>
        <v>70721642.950000003</v>
      </c>
      <c r="G163" s="179">
        <f>F163-E163</f>
        <v>0</v>
      </c>
      <c r="H163" s="829">
        <f t="shared" si="2"/>
        <v>0</v>
      </c>
    </row>
    <row r="164" spans="2:8" x14ac:dyDescent="0.25">
      <c r="B164" s="368" t="s">
        <v>216</v>
      </c>
      <c r="D164" s="50">
        <v>1160068948.9100001</v>
      </c>
      <c r="E164" s="50">
        <f>'[3]TRIAL BALANCE '!$I$82</f>
        <v>1160068948.9100001</v>
      </c>
      <c r="F164" s="50">
        <f>'TRIAL BALANCE '!I80</f>
        <v>1160068948.9100001</v>
      </c>
      <c r="G164" s="179">
        <f t="shared" ref="G164:G172" si="3">F164-E164</f>
        <v>0</v>
      </c>
      <c r="H164" s="829">
        <f t="shared" si="2"/>
        <v>0</v>
      </c>
    </row>
    <row r="165" spans="2:8" x14ac:dyDescent="0.25">
      <c r="B165" s="368" t="s">
        <v>207</v>
      </c>
      <c r="D165" s="50">
        <v>4518600</v>
      </c>
      <c r="E165" s="50">
        <f>'[3]TRIAL BALANCE '!$I$84</f>
        <v>4518600</v>
      </c>
      <c r="F165" s="50">
        <f>'TRIAL BALANCE '!I82</f>
        <v>4518600</v>
      </c>
      <c r="G165" s="179">
        <f t="shared" si="3"/>
        <v>0</v>
      </c>
      <c r="H165" s="829">
        <f t="shared" si="2"/>
        <v>0</v>
      </c>
    </row>
    <row r="166" spans="2:8" x14ac:dyDescent="0.25">
      <c r="B166" s="368" t="s">
        <v>998</v>
      </c>
      <c r="D166" s="50">
        <v>922591.08</v>
      </c>
      <c r="E166" s="50">
        <f>'[3]TRIAL BALANCE '!$I$86</f>
        <v>922591.08</v>
      </c>
      <c r="F166" s="50">
        <f>'TRIAL BALANCE '!I84</f>
        <v>922591.08</v>
      </c>
      <c r="G166" s="179">
        <f t="shared" si="3"/>
        <v>0</v>
      </c>
      <c r="H166" s="829">
        <f t="shared" si="2"/>
        <v>0</v>
      </c>
    </row>
    <row r="167" spans="2:8" x14ac:dyDescent="0.25">
      <c r="B167" s="368" t="s">
        <v>231</v>
      </c>
      <c r="D167" s="50">
        <v>9191010.0899999999</v>
      </c>
      <c r="E167" s="50">
        <f>'[3]TRIAL BALANCE '!$I$89</f>
        <v>9627172.4299999997</v>
      </c>
      <c r="F167" s="50">
        <f>'TRIAL BALANCE '!I87</f>
        <v>12862817.039999999</v>
      </c>
      <c r="G167" s="179">
        <f t="shared" si="3"/>
        <v>3235644.6099999994</v>
      </c>
      <c r="H167" s="829">
        <f t="shared" si="2"/>
        <v>-436162.33999999985</v>
      </c>
    </row>
    <row r="168" spans="2:8" x14ac:dyDescent="0.25">
      <c r="B168" s="368" t="s">
        <v>201</v>
      </c>
      <c r="D168" s="50">
        <v>12816231.15</v>
      </c>
      <c r="E168" s="50">
        <f>'[3]TRIAL BALANCE '!$I$91</f>
        <v>12749713.289999999</v>
      </c>
      <c r="F168" s="50">
        <f>'TRIAL BALANCE '!I89</f>
        <v>14007697.26</v>
      </c>
      <c r="G168" s="179">
        <f t="shared" si="3"/>
        <v>1257983.9700000007</v>
      </c>
      <c r="H168" s="829">
        <f t="shared" si="2"/>
        <v>66517.860000001267</v>
      </c>
    </row>
    <row r="169" spans="2:8" x14ac:dyDescent="0.25">
      <c r="B169" s="368" t="s">
        <v>784</v>
      </c>
      <c r="D169" s="50">
        <v>341606.14</v>
      </c>
      <c r="E169" s="50">
        <f>'[3]TRIAL BALANCE '!$I$93</f>
        <v>341606.14</v>
      </c>
      <c r="F169" s="50">
        <f>'TRIAL BALANCE '!I91</f>
        <v>341606.14</v>
      </c>
      <c r="G169" s="179">
        <f t="shared" si="3"/>
        <v>0</v>
      </c>
      <c r="H169" s="829">
        <f t="shared" si="2"/>
        <v>0</v>
      </c>
    </row>
    <row r="170" spans="2:8" x14ac:dyDescent="0.25">
      <c r="B170" s="368" t="s">
        <v>237</v>
      </c>
      <c r="D170" s="50">
        <v>18875734.239999998</v>
      </c>
      <c r="E170" s="50">
        <f>'[3]TRIAL BALANCE '!$I$96</f>
        <v>11919484.23</v>
      </c>
      <c r="F170" s="50">
        <f>'TRIAL BALANCE '!I94</f>
        <v>19935556.670000002</v>
      </c>
      <c r="G170" s="179">
        <f t="shared" si="3"/>
        <v>8016072.4400000013</v>
      </c>
      <c r="H170" s="829">
        <f t="shared" si="2"/>
        <v>6956250.0099999979</v>
      </c>
    </row>
    <row r="171" spans="2:8" x14ac:dyDescent="0.25">
      <c r="B171" s="368" t="s">
        <v>226</v>
      </c>
      <c r="D171" s="50">
        <v>1261063.95</v>
      </c>
      <c r="E171" s="50">
        <f>'[3]TRIAL BALANCE '!$I$99</f>
        <v>1261063.95</v>
      </c>
      <c r="F171" s="50">
        <f>'TRIAL BALANCE '!I97</f>
        <v>1261063.95</v>
      </c>
      <c r="G171" s="179">
        <f t="shared" si="3"/>
        <v>0</v>
      </c>
      <c r="H171" s="829">
        <f t="shared" si="2"/>
        <v>0</v>
      </c>
    </row>
    <row r="172" spans="2:8" x14ac:dyDescent="0.25">
      <c r="B172" s="368" t="s">
        <v>241</v>
      </c>
      <c r="D172" s="50">
        <v>42479875.539999999</v>
      </c>
      <c r="E172" s="50">
        <f>'[3]TRIAL BALANCE '!$I$107</f>
        <v>34621275.539999999</v>
      </c>
      <c r="F172" s="50">
        <f>'TRIAL BALANCE '!I105</f>
        <v>42479875.539999999</v>
      </c>
      <c r="G172" s="179">
        <f t="shared" si="3"/>
        <v>7858600</v>
      </c>
      <c r="H172" s="829">
        <f t="shared" si="2"/>
        <v>7858600</v>
      </c>
    </row>
    <row r="173" spans="2:8" ht="15.75" thickBot="1" x14ac:dyDescent="0.3">
      <c r="B173" s="368"/>
      <c r="D173" s="458">
        <v>1321197304.0500002</v>
      </c>
      <c r="E173" s="458">
        <f>SUM(E163:E172)</f>
        <v>1306752098.5200002</v>
      </c>
      <c r="F173" s="491">
        <f>SUM(F163:F172)</f>
        <v>1327120399.5400002</v>
      </c>
      <c r="G173" s="510">
        <f>F173-E173</f>
        <v>20368301.019999981</v>
      </c>
      <c r="H173" s="829">
        <f t="shared" si="2"/>
        <v>14445205.529999971</v>
      </c>
    </row>
    <row r="174" spans="2:8" ht="15.75" thickTop="1" x14ac:dyDescent="0.25">
      <c r="D174" s="50"/>
      <c r="E174" s="50"/>
      <c r="F174" s="50"/>
      <c r="H174" s="829">
        <f t="shared" si="2"/>
        <v>0</v>
      </c>
    </row>
    <row r="175" spans="2:8" x14ac:dyDescent="0.25">
      <c r="B175" s="368" t="s">
        <v>214</v>
      </c>
      <c r="D175" s="50">
        <v>140104452.56</v>
      </c>
      <c r="E175" s="50">
        <f>'[3]TRIAL BALANCE '!$I$110</f>
        <v>33237390.620000001</v>
      </c>
      <c r="F175" s="50">
        <f>'TRIAL BALANCE '!I108</f>
        <v>142006952.55000001</v>
      </c>
      <c r="G175" s="179">
        <f>F175-E175</f>
        <v>108769561.93000001</v>
      </c>
      <c r="H175" s="829">
        <f t="shared" si="2"/>
        <v>106867061.94</v>
      </c>
    </row>
    <row r="176" spans="2:8" x14ac:dyDescent="0.25">
      <c r="B176" s="368" t="s">
        <v>244</v>
      </c>
      <c r="D176" s="50">
        <v>631169.64</v>
      </c>
      <c r="E176" s="50">
        <f>'[3]TRIAL BALANCE '!$I$113</f>
        <v>631169.64</v>
      </c>
      <c r="F176" s="50">
        <f>'TRIAL BALANCE '!I111</f>
        <v>631169.64</v>
      </c>
      <c r="G176" s="179">
        <f t="shared" ref="G176:G187" si="4">F176-E176</f>
        <v>0</v>
      </c>
      <c r="H176" s="829">
        <f t="shared" si="2"/>
        <v>0</v>
      </c>
    </row>
    <row r="177" spans="2:10" x14ac:dyDescent="0.25">
      <c r="B177" s="368" t="s">
        <v>190</v>
      </c>
      <c r="D177" s="50">
        <v>-69672032.560000002</v>
      </c>
      <c r="E177" s="50">
        <f>-'[3]TRIAL BALANCE '!$J$80</f>
        <v>-69380877.760000005</v>
      </c>
      <c r="F177" s="50">
        <f>-'TRIAL BALANCE '!J78</f>
        <v>-69907828.680000007</v>
      </c>
      <c r="G177" s="179">
        <f t="shared" si="4"/>
        <v>-526950.92000000179</v>
      </c>
      <c r="H177" s="829">
        <f t="shared" si="2"/>
        <v>-291154.79999999702</v>
      </c>
    </row>
    <row r="178" spans="2:10" x14ac:dyDescent="0.25">
      <c r="B178" s="368" t="s">
        <v>179</v>
      </c>
      <c r="D178" s="50">
        <v>-1159675585.0799999</v>
      </c>
      <c r="E178" s="50">
        <f>-'[3]TRIAL BALANCE '!$J$83</f>
        <v>-1159613370.24</v>
      </c>
      <c r="F178" s="50">
        <f>-'TRIAL BALANCE '!J81</f>
        <v>-1159727430.78</v>
      </c>
      <c r="G178" s="179">
        <f t="shared" si="4"/>
        <v>-114060.53999996185</v>
      </c>
      <c r="H178" s="829">
        <f t="shared" si="2"/>
        <v>-62214.839999914169</v>
      </c>
    </row>
    <row r="179" spans="2:10" x14ac:dyDescent="0.25">
      <c r="B179" s="368" t="s">
        <v>209</v>
      </c>
      <c r="D179" s="50">
        <v>-4518600</v>
      </c>
      <c r="E179" s="50">
        <f>-'[3]TRIAL BALANCE '!$J$85</f>
        <v>-4518600</v>
      </c>
      <c r="F179" s="50">
        <f>-'TRIAL BALANCE '!J83</f>
        <v>-4518600</v>
      </c>
      <c r="G179" s="179">
        <f t="shared" si="4"/>
        <v>0</v>
      </c>
      <c r="H179" s="829">
        <f t="shared" si="2"/>
        <v>0</v>
      </c>
    </row>
    <row r="180" spans="2:10" ht="19.5" customHeight="1" x14ac:dyDescent="0.25">
      <c r="B180" s="963" t="s">
        <v>1051</v>
      </c>
      <c r="C180" s="963"/>
      <c r="D180" s="803">
        <v>-922590.08</v>
      </c>
      <c r="E180" s="50">
        <f>-'[3]TRIAL BALANCE '!$J$87</f>
        <v>-922590.08</v>
      </c>
      <c r="F180" s="50">
        <f>-'TRIAL BALANCE '!J85</f>
        <v>-922590.08</v>
      </c>
      <c r="G180" s="179">
        <f t="shared" si="4"/>
        <v>0</v>
      </c>
      <c r="H180" s="829">
        <f t="shared" si="2"/>
        <v>0</v>
      </c>
    </row>
    <row r="181" spans="2:10" x14ac:dyDescent="0.25">
      <c r="B181" s="368" t="s">
        <v>234</v>
      </c>
      <c r="D181" s="50">
        <v>-9344457.2899999991</v>
      </c>
      <c r="E181" s="50">
        <f>-'[3]TRIAL BALANCE '!$J$90</f>
        <v>-9175080.8100000005</v>
      </c>
      <c r="F181" s="50">
        <f>-'TRIAL BALANCE '!J88</f>
        <v>-8264626.9400000004</v>
      </c>
      <c r="G181" s="179">
        <f t="shared" si="4"/>
        <v>910453.87000000011</v>
      </c>
      <c r="H181" s="829">
        <f t="shared" si="2"/>
        <v>-169376.47999999858</v>
      </c>
    </row>
    <row r="182" spans="2:10" ht="24" customHeight="1" x14ac:dyDescent="0.25">
      <c r="B182" s="963" t="s">
        <v>1053</v>
      </c>
      <c r="C182" s="963"/>
      <c r="D182" s="803">
        <v>-11465825.470000001</v>
      </c>
      <c r="E182" s="50">
        <f>-'[3]TRIAL BALANCE '!$J$92</f>
        <v>-11208413.210000001</v>
      </c>
      <c r="F182" s="50">
        <f>-'TRIAL BALANCE '!J90</f>
        <v>-11778358.77</v>
      </c>
      <c r="G182" s="179">
        <f t="shared" si="4"/>
        <v>-569945.55999999866</v>
      </c>
      <c r="H182" s="829">
        <f t="shared" si="2"/>
        <v>-257412.25999999978</v>
      </c>
    </row>
    <row r="183" spans="2:10" x14ac:dyDescent="0.25">
      <c r="B183" s="368" t="s">
        <v>786</v>
      </c>
      <c r="D183" s="50">
        <v>-337840.1</v>
      </c>
      <c r="E183" s="50">
        <f>-'[3]TRIAL BALANCE '!$J$94</f>
        <v>-317149.65000000002</v>
      </c>
      <c r="F183" s="50">
        <f>-'TRIAL BALANCE '!J92</f>
        <v>-339720.08</v>
      </c>
      <c r="G183" s="179">
        <f t="shared" si="4"/>
        <v>-22570.429999999993</v>
      </c>
      <c r="H183" s="829">
        <f t="shared" si="2"/>
        <v>-20690.449999999953</v>
      </c>
    </row>
    <row r="184" spans="2:10" x14ac:dyDescent="0.25">
      <c r="B184" s="368" t="s">
        <v>239</v>
      </c>
      <c r="D184" s="50">
        <v>-8969527.9299999997</v>
      </c>
      <c r="E184" s="50">
        <f>-'[3]TRIAL BALANCE '!$J$97</f>
        <v>-8069757.5300000003</v>
      </c>
      <c r="F184" s="50">
        <f>-'TRIAL BALANCE '!J95</f>
        <v>-9875296.4600000009</v>
      </c>
      <c r="G184" s="179">
        <f t="shared" si="4"/>
        <v>-1805538.9300000006</v>
      </c>
      <c r="H184" s="829">
        <f t="shared" si="2"/>
        <v>-899770.39999999944</v>
      </c>
    </row>
    <row r="185" spans="2:10" x14ac:dyDescent="0.25">
      <c r="B185" s="368" t="s">
        <v>230</v>
      </c>
      <c r="D185" s="50">
        <v>-1094016.05</v>
      </c>
      <c r="E185" s="50">
        <f>-'[3]TRIAL BALANCE '!$J$100</f>
        <v>-997520.81</v>
      </c>
      <c r="F185" s="50">
        <f>-'TRIAL BALANCE '!J98</f>
        <v>-1174428.75</v>
      </c>
      <c r="G185" s="179">
        <f t="shared" si="4"/>
        <v>-176907.93999999994</v>
      </c>
      <c r="H185" s="829">
        <f t="shared" si="2"/>
        <v>-96495.239999999991</v>
      </c>
    </row>
    <row r="186" spans="2:10" ht="17.25" customHeight="1" x14ac:dyDescent="0.25">
      <c r="B186" s="963" t="s">
        <v>243</v>
      </c>
      <c r="C186" s="963"/>
      <c r="D186" s="803">
        <v>-7013619.3899999997</v>
      </c>
      <c r="E186" s="50">
        <f>-'[3]TRIAL BALANCE '!$J$108</f>
        <v>-4475519.3899999997</v>
      </c>
      <c r="F186" s="50">
        <f>-'TRIAL BALANCE '!J106</f>
        <v>-9795382.9900000002</v>
      </c>
      <c r="G186" s="179">
        <f t="shared" si="4"/>
        <v>-5319863.6000000006</v>
      </c>
      <c r="H186" s="829">
        <f t="shared" si="2"/>
        <v>-2538100</v>
      </c>
    </row>
    <row r="187" spans="2:10" x14ac:dyDescent="0.25">
      <c r="D187" s="50">
        <v>-1132278471.75</v>
      </c>
      <c r="E187" s="51">
        <f>SUM(E175:E186)</f>
        <v>-1234810319.22</v>
      </c>
      <c r="F187" s="51">
        <f>SUM(F175:F186)</f>
        <v>-1133666141.3399999</v>
      </c>
      <c r="G187" s="179">
        <f t="shared" si="4"/>
        <v>101144177.88000011</v>
      </c>
      <c r="H187" s="829">
        <f t="shared" si="2"/>
        <v>102531847.47000003</v>
      </c>
    </row>
    <row r="188" spans="2:10" x14ac:dyDescent="0.25">
      <c r="D188" s="50"/>
      <c r="H188" s="829">
        <f t="shared" si="2"/>
        <v>0</v>
      </c>
    </row>
    <row r="189" spans="2:10" ht="15.75" thickBot="1" x14ac:dyDescent="0.3">
      <c r="D189" s="458">
        <v>188918832.30000019</v>
      </c>
      <c r="E189" s="490">
        <f>E173+E187</f>
        <v>71941779.300000191</v>
      </c>
      <c r="F189" s="490">
        <f>F173+F187</f>
        <v>193454258.20000029</v>
      </c>
      <c r="G189" s="510">
        <f>F189-E189</f>
        <v>121512478.9000001</v>
      </c>
      <c r="H189" s="829">
        <f t="shared" si="2"/>
        <v>116977053</v>
      </c>
      <c r="I189" s="103"/>
      <c r="J189" s="179"/>
    </row>
    <row r="190" spans="2:10" ht="15.75" thickTop="1" x14ac:dyDescent="0.25">
      <c r="H190" s="829"/>
    </row>
    <row r="191" spans="2:10" x14ac:dyDescent="0.25">
      <c r="H191" s="829"/>
    </row>
    <row r="192" spans="2:10" x14ac:dyDescent="0.25">
      <c r="B192" s="411" t="s">
        <v>1472</v>
      </c>
      <c r="C192" s="48"/>
      <c r="D192" s="48"/>
      <c r="H192" s="829"/>
    </row>
    <row r="193" spans="2:10" x14ac:dyDescent="0.25">
      <c r="H193" s="829"/>
    </row>
    <row r="194" spans="2:10" x14ac:dyDescent="0.25">
      <c r="B194" t="s">
        <v>1521</v>
      </c>
      <c r="D194" s="190">
        <v>0</v>
      </c>
      <c r="E194" s="50">
        <f>'[3]TRIAL BALANCE '!$I$132+0.09</f>
        <v>15238134.140000001</v>
      </c>
      <c r="F194">
        <v>0</v>
      </c>
      <c r="G194" s="179">
        <f>F194-E194</f>
        <v>-15238134.140000001</v>
      </c>
      <c r="H194" s="829">
        <f t="shared" si="2"/>
        <v>-15238134.140000001</v>
      </c>
    </row>
    <row r="195" spans="2:10" ht="33.75" customHeight="1" x14ac:dyDescent="0.25">
      <c r="B195" s="963" t="s">
        <v>1522</v>
      </c>
      <c r="C195" s="963"/>
      <c r="D195" s="807">
        <v>3413992.62</v>
      </c>
      <c r="E195" s="50">
        <f>'[3]TRIAL BALANCE '!$I$120</f>
        <v>1859510.47</v>
      </c>
      <c r="F195" s="50">
        <f>'TRIAL BALANCE '!I119</f>
        <v>2374633.65</v>
      </c>
      <c r="G195" s="179">
        <f>F195-E195</f>
        <v>515123.17999999993</v>
      </c>
      <c r="H195" s="829">
        <f t="shared" si="2"/>
        <v>1554482.1500000001</v>
      </c>
    </row>
    <row r="196" spans="2:10" x14ac:dyDescent="0.25">
      <c r="B196" s="368" t="s">
        <v>1505</v>
      </c>
      <c r="D196" s="799">
        <v>220000</v>
      </c>
      <c r="E196" s="50">
        <f>'[3]TRIAL BALANCE '!$I$127</f>
        <v>220000</v>
      </c>
      <c r="F196" s="50">
        <f>'TRIAL BALANCE '!I126</f>
        <v>220000</v>
      </c>
      <c r="H196" s="829">
        <f t="shared" si="2"/>
        <v>0</v>
      </c>
    </row>
    <row r="197" spans="2:10" x14ac:dyDescent="0.25">
      <c r="B197" s="368" t="s">
        <v>1506</v>
      </c>
      <c r="D197" s="799">
        <v>105990</v>
      </c>
      <c r="E197" s="50">
        <f>'[3]TRIAL BALANCE '!$I$128</f>
        <v>17700</v>
      </c>
      <c r="F197" s="50">
        <f>'TRIAL BALANCE '!I127</f>
        <v>92506.42</v>
      </c>
      <c r="H197" s="829">
        <f t="shared" si="2"/>
        <v>88290</v>
      </c>
    </row>
    <row r="198" spans="2:10" ht="33" customHeight="1" x14ac:dyDescent="0.25">
      <c r="B198" s="963" t="s">
        <v>1507</v>
      </c>
      <c r="C198" s="963"/>
      <c r="D198" s="807">
        <v>42828304.920000002</v>
      </c>
      <c r="E198" s="50">
        <f>'[3]TRIAL BALANCE '!$I$135</f>
        <v>42828304.920000002</v>
      </c>
      <c r="F198" s="50">
        <f>'TRIAL BALANCE '!I134</f>
        <v>42828304.920000002</v>
      </c>
      <c r="H198" s="829">
        <f t="shared" si="2"/>
        <v>0</v>
      </c>
    </row>
    <row r="199" spans="2:10" x14ac:dyDescent="0.25">
      <c r="B199" s="368" t="s">
        <v>269</v>
      </c>
      <c r="D199" s="799">
        <v>-42000000</v>
      </c>
      <c r="E199" s="72">
        <v>-42000000</v>
      </c>
      <c r="F199" s="72">
        <v>-42000000</v>
      </c>
      <c r="H199" s="829">
        <f t="shared" si="2"/>
        <v>0</v>
      </c>
    </row>
    <row r="200" spans="2:10" x14ac:dyDescent="0.25">
      <c r="B200" s="368" t="s">
        <v>1508</v>
      </c>
      <c r="D200" s="799">
        <v>992765229.57000005</v>
      </c>
      <c r="E200" s="50">
        <f>'[3]TRIAL BALANCE '!$I$136</f>
        <v>992765229.57000005</v>
      </c>
      <c r="F200" s="50">
        <f>'TRIAL BALANCE '!I135</f>
        <v>992765229.57000005</v>
      </c>
      <c r="H200" s="829">
        <f t="shared" si="2"/>
        <v>0</v>
      </c>
    </row>
    <row r="201" spans="2:10" x14ac:dyDescent="0.25">
      <c r="B201" s="368" t="s">
        <v>269</v>
      </c>
      <c r="D201" s="799">
        <v>-968478762.10000002</v>
      </c>
      <c r="E201" s="72">
        <f>-'[3]TRIAL BALANCE '!$J$137+42000000</f>
        <v>-968478762.10000002</v>
      </c>
      <c r="F201" s="72">
        <f>-'TRIAL BALANCE '!J136+42000000</f>
        <v>-968478762.10000002</v>
      </c>
      <c r="H201" s="829">
        <f t="shared" si="2"/>
        <v>0</v>
      </c>
    </row>
    <row r="202" spans="2:10" ht="15.75" thickBot="1" x14ac:dyDescent="0.3">
      <c r="D202" s="801">
        <v>28854755.00999999</v>
      </c>
      <c r="E202" s="99">
        <f>SUM(E194:E201)</f>
        <v>42450117</v>
      </c>
      <c r="F202" s="99">
        <f>SUM(F195:F201)</f>
        <v>27801912.460000038</v>
      </c>
      <c r="G202" s="510">
        <f>F202-E202</f>
        <v>-14648204.539999962</v>
      </c>
      <c r="H202" s="829">
        <f t="shared" si="2"/>
        <v>-13595361.99000001</v>
      </c>
      <c r="I202" s="103"/>
      <c r="J202" s="179"/>
    </row>
    <row r="203" spans="2:10" ht="15.75" thickTop="1" x14ac:dyDescent="0.25">
      <c r="E203" s="179">
        <f>E202-42450117</f>
        <v>0</v>
      </c>
      <c r="H203" s="829">
        <f t="shared" si="2"/>
        <v>0</v>
      </c>
    </row>
    <row r="204" spans="2:10" x14ac:dyDescent="0.25">
      <c r="H204" s="829">
        <f t="shared" si="2"/>
        <v>0</v>
      </c>
    </row>
    <row r="205" spans="2:10" x14ac:dyDescent="0.25">
      <c r="B205" s="411" t="s">
        <v>951</v>
      </c>
      <c r="H205" s="829">
        <f t="shared" ref="H205:H265" si="5">D205-E205</f>
        <v>0</v>
      </c>
    </row>
    <row r="206" spans="2:10" x14ac:dyDescent="0.25">
      <c r="H206" s="829">
        <f t="shared" si="5"/>
        <v>0</v>
      </c>
    </row>
    <row r="207" spans="2:10" x14ac:dyDescent="0.25">
      <c r="B207" s="368" t="s">
        <v>1509</v>
      </c>
      <c r="D207" s="50">
        <v>41581188.530000001</v>
      </c>
      <c r="E207" s="50">
        <f>'[3]TRIAL BALANCE '!$J$141+423626.58-138164.32</f>
        <v>19399236.589999996</v>
      </c>
      <c r="F207" s="50">
        <f>'TRIAL BALANCE '!J140</f>
        <v>13779210.710000001</v>
      </c>
      <c r="G207" s="179">
        <f>F207-E207</f>
        <v>-5620025.8799999952</v>
      </c>
      <c r="H207" s="829">
        <f t="shared" si="5"/>
        <v>22181951.940000005</v>
      </c>
    </row>
    <row r="208" spans="2:10" x14ac:dyDescent="0.25">
      <c r="B208" s="368" t="s">
        <v>1510</v>
      </c>
      <c r="D208" s="50">
        <v>702116.67</v>
      </c>
      <c r="E208" s="50">
        <f>'[3]TRIAL BALANCE '!$J$142</f>
        <v>80963.41</v>
      </c>
      <c r="F208" s="50">
        <f>'TRIAL BALANCE '!J141</f>
        <v>197437.07</v>
      </c>
      <c r="G208" s="179">
        <f t="shared" ref="G208:G213" si="6">F208-E208</f>
        <v>116473.66</v>
      </c>
      <c r="H208" s="829">
        <f t="shared" si="5"/>
        <v>621153.26</v>
      </c>
    </row>
    <row r="209" spans="2:16" x14ac:dyDescent="0.25">
      <c r="H209" s="829">
        <f t="shared" si="5"/>
        <v>0</v>
      </c>
      <c r="J209" s="368" t="s">
        <v>952</v>
      </c>
      <c r="L209" s="50">
        <v>342497.45</v>
      </c>
      <c r="M209" s="50">
        <v>796913</v>
      </c>
      <c r="N209" s="50">
        <f>'TRIAL BALANCE '!J142</f>
        <v>310331.52000000002</v>
      </c>
      <c r="O209" s="179"/>
      <c r="P209" s="179"/>
    </row>
    <row r="210" spans="2:16" x14ac:dyDescent="0.25">
      <c r="H210" s="829">
        <f t="shared" si="5"/>
        <v>0</v>
      </c>
      <c r="J210" s="83" t="s">
        <v>1401</v>
      </c>
      <c r="L210" s="50">
        <v>1506312.65</v>
      </c>
      <c r="M210" s="50">
        <v>0</v>
      </c>
      <c r="N210" s="50">
        <f>'TRIAL BALANCE '!J143</f>
        <v>4412093.2</v>
      </c>
      <c r="O210" s="179"/>
      <c r="P210" s="179"/>
    </row>
    <row r="211" spans="2:16" x14ac:dyDescent="0.25">
      <c r="H211" s="829">
        <f t="shared" si="5"/>
        <v>0</v>
      </c>
      <c r="I211" s="179"/>
      <c r="J211" s="83" t="s">
        <v>1402</v>
      </c>
      <c r="L211" s="50">
        <v>481450.38</v>
      </c>
      <c r="M211" s="50">
        <v>0</v>
      </c>
      <c r="N211" s="50">
        <f>'TRIAL BALANCE '!J144</f>
        <v>1393612.48</v>
      </c>
      <c r="O211" s="179"/>
      <c r="P211" s="179"/>
    </row>
    <row r="212" spans="2:16" x14ac:dyDescent="0.25">
      <c r="B212" s="368" t="s">
        <v>1489</v>
      </c>
      <c r="D212" s="50">
        <v>456620150.24000001</v>
      </c>
      <c r="E212" s="50">
        <v>456620150.24000001</v>
      </c>
      <c r="F212" s="50">
        <f>'TRIAL BALANCE '!J145</f>
        <v>456620150.24000001</v>
      </c>
      <c r="G212" s="179">
        <f t="shared" si="6"/>
        <v>0</v>
      </c>
      <c r="H212" s="829">
        <f t="shared" si="5"/>
        <v>0</v>
      </c>
    </row>
    <row r="213" spans="2:16" x14ac:dyDescent="0.25">
      <c r="B213" s="368" t="s">
        <v>1490</v>
      </c>
      <c r="D213" s="50">
        <v>140000000</v>
      </c>
      <c r="E213" s="50">
        <v>140000000</v>
      </c>
      <c r="F213" s="50">
        <f>'TRIAL BALANCE '!J147</f>
        <v>140000000</v>
      </c>
      <c r="G213" s="179">
        <f t="shared" si="6"/>
        <v>0</v>
      </c>
      <c r="H213" s="829">
        <f t="shared" si="5"/>
        <v>0</v>
      </c>
    </row>
    <row r="214" spans="2:16" ht="15.75" thickBot="1" x14ac:dyDescent="0.3">
      <c r="D214" s="458">
        <f>SUM(D207:D213)</f>
        <v>638903455.44000006</v>
      </c>
      <c r="E214" s="458">
        <f>SUM(E207:E213)</f>
        <v>616100350.24000001</v>
      </c>
      <c r="F214" s="99">
        <f>SUM(F207:F213)</f>
        <v>610596798.01999998</v>
      </c>
      <c r="G214" s="510">
        <f>F214-E214</f>
        <v>-5503552.2200000286</v>
      </c>
      <c r="H214" s="829">
        <f t="shared" si="5"/>
        <v>22803105.200000048</v>
      </c>
      <c r="I214" s="103"/>
      <c r="J214" s="179"/>
    </row>
    <row r="215" spans="2:16" ht="15.75" thickTop="1" x14ac:dyDescent="0.25">
      <c r="E215" s="50"/>
      <c r="H215" s="829"/>
    </row>
    <row r="216" spans="2:16" x14ac:dyDescent="0.25">
      <c r="B216" s="411" t="s">
        <v>1473</v>
      </c>
      <c r="E216" s="179"/>
      <c r="H216" s="829"/>
    </row>
    <row r="217" spans="2:16" x14ac:dyDescent="0.25">
      <c r="H217" s="829"/>
    </row>
    <row r="218" spans="2:16" x14ac:dyDescent="0.25">
      <c r="B218" s="368" t="s">
        <v>1006</v>
      </c>
      <c r="D218" s="50">
        <v>839792.94</v>
      </c>
      <c r="E218" s="50">
        <f>'[3]TRIAL BALANCE '!$J$148</f>
        <v>540831.03</v>
      </c>
      <c r="F218" s="50">
        <f>'TRIAL BALANCE '!J149</f>
        <v>413018.68</v>
      </c>
      <c r="G218" s="179">
        <f t="shared" ref="G218:G226" si="7">F218-E218</f>
        <v>-127812.35000000003</v>
      </c>
      <c r="H218" s="829">
        <f t="shared" si="5"/>
        <v>298961.90999999992</v>
      </c>
    </row>
    <row r="219" spans="2:16" x14ac:dyDescent="0.25">
      <c r="B219" s="365" t="s">
        <v>1007</v>
      </c>
      <c r="D219" s="50">
        <v>668397</v>
      </c>
      <c r="E219" s="50">
        <f>'[3]TRIAL BALANCE '!$J$149</f>
        <v>408922.91</v>
      </c>
      <c r="F219" s="50">
        <f>'TRIAL BALANCE '!J150</f>
        <v>611649.5</v>
      </c>
      <c r="G219" s="179">
        <f t="shared" si="7"/>
        <v>202726.59000000003</v>
      </c>
      <c r="H219" s="829">
        <f t="shared" si="5"/>
        <v>259474.09000000003</v>
      </c>
    </row>
    <row r="220" spans="2:16" x14ac:dyDescent="0.25">
      <c r="B220" s="365" t="s">
        <v>1008</v>
      </c>
      <c r="D220" s="50">
        <v>317725.71999999997</v>
      </c>
      <c r="E220" s="50">
        <f>'[3]TRIAL BALANCE '!$J$150</f>
        <v>131480.68</v>
      </c>
      <c r="F220" s="50">
        <f>'TRIAL BALANCE '!J151</f>
        <v>93810.8</v>
      </c>
      <c r="G220" s="179">
        <f t="shared" si="7"/>
        <v>-37669.87999999999</v>
      </c>
      <c r="H220" s="829">
        <f t="shared" si="5"/>
        <v>186245.03999999998</v>
      </c>
    </row>
    <row r="221" spans="2:16" x14ac:dyDescent="0.25">
      <c r="B221" s="365" t="s">
        <v>1009</v>
      </c>
      <c r="D221" s="50">
        <v>37270.97</v>
      </c>
      <c r="E221" s="50">
        <f>'[3]TRIAL BALANCE '!$J$151</f>
        <v>4968.34</v>
      </c>
      <c r="F221" s="50">
        <f>'TRIAL BALANCE '!J152</f>
        <v>0</v>
      </c>
      <c r="G221" s="179">
        <f t="shared" si="7"/>
        <v>-4968.34</v>
      </c>
      <c r="H221" s="829">
        <f t="shared" si="5"/>
        <v>32302.63</v>
      </c>
    </row>
    <row r="222" spans="2:16" x14ac:dyDescent="0.25">
      <c r="B222" s="368" t="s">
        <v>313</v>
      </c>
      <c r="D222" s="50">
        <v>701637.59</v>
      </c>
      <c r="E222" s="50">
        <f>'[3]TRIAL BALANCE '!$J$152</f>
        <v>628409.52</v>
      </c>
      <c r="F222" s="50">
        <f>'TRIAL BALANCE '!J153</f>
        <v>833198.81</v>
      </c>
      <c r="G222" s="179">
        <f t="shared" si="7"/>
        <v>204789.29000000004</v>
      </c>
      <c r="H222" s="829">
        <f t="shared" si="5"/>
        <v>73228.069999999949</v>
      </c>
    </row>
    <row r="223" spans="2:16" x14ac:dyDescent="0.25">
      <c r="B223" s="368" t="s">
        <v>323</v>
      </c>
      <c r="D223" s="50">
        <v>34271.61</v>
      </c>
      <c r="E223" s="50">
        <f>'[3]TRIAL BALANCE '!$J$153</f>
        <v>28818.01</v>
      </c>
      <c r="F223" s="50">
        <f>'TRIAL BALANCE '!J154</f>
        <v>45649.599999999999</v>
      </c>
      <c r="G223" s="179">
        <f t="shared" si="7"/>
        <v>16831.59</v>
      </c>
      <c r="H223" s="829">
        <f t="shared" si="5"/>
        <v>5453.6000000000022</v>
      </c>
    </row>
    <row r="224" spans="2:16" x14ac:dyDescent="0.25">
      <c r="B224" s="368" t="s">
        <v>317</v>
      </c>
      <c r="D224" s="50">
        <v>79235.72</v>
      </c>
      <c r="E224" s="50">
        <f>'[3]TRIAL BALANCE '!$J$154</f>
        <v>66774.64</v>
      </c>
      <c r="F224" s="50">
        <f>'TRIAL BALANCE '!J155</f>
        <v>131005.74</v>
      </c>
      <c r="G224" s="179">
        <f t="shared" si="7"/>
        <v>64231.100000000006</v>
      </c>
      <c r="H224" s="829">
        <f t="shared" si="5"/>
        <v>12461.080000000002</v>
      </c>
    </row>
    <row r="225" spans="2:10" x14ac:dyDescent="0.25">
      <c r="B225" s="83" t="s">
        <v>1488</v>
      </c>
      <c r="D225" s="50">
        <v>7393324.6900000004</v>
      </c>
      <c r="E225" s="50">
        <f>'[3]TRIAL BALANCE '!$J$155</f>
        <v>7213717.6900000004</v>
      </c>
      <c r="F225" s="50">
        <f>'TRIAL BALANCE '!J156</f>
        <v>13679924.689999999</v>
      </c>
      <c r="G225" s="179">
        <f t="shared" si="7"/>
        <v>6466206.9999999991</v>
      </c>
      <c r="H225" s="829">
        <f t="shared" si="5"/>
        <v>179607</v>
      </c>
    </row>
    <row r="226" spans="2:10" x14ac:dyDescent="0.25">
      <c r="B226" s="368" t="s">
        <v>1010</v>
      </c>
      <c r="D226" s="50">
        <v>3572157.1100000003</v>
      </c>
      <c r="E226" s="50">
        <f>'[3]TRIAL BALANCE '!$J$157-'[3]TRIAL BALANCE '!$I$156</f>
        <v>2241570.2899999991</v>
      </c>
      <c r="F226" s="50">
        <f>'TRIAL BALANCE '!J157</f>
        <v>6549687.4699999997</v>
      </c>
      <c r="G226" s="179">
        <f t="shared" si="7"/>
        <v>4308117.1800000006</v>
      </c>
      <c r="H226" s="829">
        <f t="shared" si="5"/>
        <v>1330586.8200000012</v>
      </c>
    </row>
    <row r="227" spans="2:10" x14ac:dyDescent="0.25">
      <c r="B227" s="368" t="s">
        <v>341</v>
      </c>
      <c r="D227" s="50">
        <v>9972792</v>
      </c>
      <c r="E227" s="50">
        <f>'[3]TRIAL BALANCE '!$J$158</f>
        <v>5582909</v>
      </c>
      <c r="F227" s="50">
        <f>'TRIAL BALANCE '!J159</f>
        <v>0</v>
      </c>
      <c r="G227" s="179">
        <f>F227-E227</f>
        <v>-5582909</v>
      </c>
      <c r="H227" s="829">
        <f t="shared" si="5"/>
        <v>4389883</v>
      </c>
    </row>
    <row r="228" spans="2:10" ht="15.75" thickBot="1" x14ac:dyDescent="0.3">
      <c r="B228" s="368"/>
      <c r="D228" s="458">
        <v>23616605.350000001</v>
      </c>
      <c r="E228" s="99">
        <f>SUM(E218:E227)</f>
        <v>16848402.109999999</v>
      </c>
      <c r="F228" s="99">
        <f>SUM(F218:F227)</f>
        <v>22357945.289999999</v>
      </c>
      <c r="G228" s="510">
        <f>F228-E228</f>
        <v>5509543.1799999997</v>
      </c>
      <c r="H228" s="829">
        <f t="shared" si="5"/>
        <v>6768203.2400000021</v>
      </c>
      <c r="I228" s="103"/>
      <c r="J228" s="179"/>
    </row>
    <row r="229" spans="2:10" ht="15.75" thickTop="1" x14ac:dyDescent="0.25">
      <c r="H229" s="829"/>
    </row>
    <row r="230" spans="2:10" x14ac:dyDescent="0.25">
      <c r="B230" s="411" t="s">
        <v>934</v>
      </c>
      <c r="H230" s="829"/>
    </row>
    <row r="231" spans="2:10" x14ac:dyDescent="0.25">
      <c r="H231" s="829"/>
    </row>
    <row r="232" spans="2:10" ht="27" customHeight="1" x14ac:dyDescent="0.25">
      <c r="B232" s="963" t="s">
        <v>1491</v>
      </c>
      <c r="C232" s="963"/>
      <c r="D232" s="803">
        <v>11252020.060000001</v>
      </c>
      <c r="E232" s="50">
        <f>'[3]TRIAL BALANCE '!$J$161</f>
        <v>31020301.329999998</v>
      </c>
      <c r="F232" s="50">
        <f>'TRIAL BALANCE '!J162</f>
        <v>106720132.36</v>
      </c>
      <c r="H232" s="829">
        <f t="shared" si="5"/>
        <v>-19768281.269999996</v>
      </c>
    </row>
    <row r="233" spans="2:10" ht="20.25" customHeight="1" x14ac:dyDescent="0.25">
      <c r="B233" s="368" t="s">
        <v>1494</v>
      </c>
      <c r="D233" s="50">
        <v>444359.76</v>
      </c>
      <c r="E233" s="50">
        <f>'[3]TRIAL BALANCE '!$J$164</f>
        <v>1172504.2</v>
      </c>
      <c r="F233" s="50">
        <f>'TRIAL BALANCE '!J165</f>
        <v>691757.06</v>
      </c>
      <c r="H233" s="829">
        <f t="shared" si="5"/>
        <v>-728144.44</v>
      </c>
    </row>
    <row r="234" spans="2:10" ht="15.75" thickBot="1" x14ac:dyDescent="0.3">
      <c r="D234" s="458">
        <v>11696379.82</v>
      </c>
      <c r="E234" s="99">
        <f>SUM(E232:E233)</f>
        <v>32192805.529999997</v>
      </c>
      <c r="F234" s="99">
        <f>SUM(F232:F233)</f>
        <v>107411889.42</v>
      </c>
      <c r="G234" s="510">
        <f>F234-E234</f>
        <v>75219083.890000001</v>
      </c>
      <c r="H234" s="829">
        <f t="shared" si="5"/>
        <v>-20496425.709999997</v>
      </c>
      <c r="I234" s="103"/>
      <c r="J234" s="179"/>
    </row>
    <row r="235" spans="2:10" ht="15.75" thickTop="1" x14ac:dyDescent="0.25">
      <c r="H235" s="829"/>
    </row>
    <row r="236" spans="2:10" x14ac:dyDescent="0.25">
      <c r="H236" s="829"/>
    </row>
    <row r="237" spans="2:10" x14ac:dyDescent="0.25">
      <c r="B237" s="411" t="s">
        <v>1474</v>
      </c>
      <c r="C237" s="48"/>
      <c r="D237" s="48"/>
      <c r="H237" s="829"/>
    </row>
    <row r="238" spans="2:10" x14ac:dyDescent="0.25">
      <c r="H238" s="829"/>
    </row>
    <row r="239" spans="2:10" ht="36" customHeight="1" thickBot="1" x14ac:dyDescent="0.3">
      <c r="B239" s="963" t="s">
        <v>1511</v>
      </c>
      <c r="C239" s="963"/>
      <c r="D239" s="810">
        <v>26048915.18</v>
      </c>
      <c r="E239" s="458">
        <f>'[3]TRIAL BALANCE '!$J$166</f>
        <v>9880920.9800000004</v>
      </c>
      <c r="F239" s="458">
        <f>'TRIAL BALANCE '!J167</f>
        <v>19996900.359999999</v>
      </c>
      <c r="G239" s="510">
        <f>F239-E239</f>
        <v>10115979.379999999</v>
      </c>
      <c r="H239" s="829">
        <f t="shared" si="5"/>
        <v>16167994.199999999</v>
      </c>
      <c r="I239" s="103"/>
      <c r="J239" s="179"/>
    </row>
    <row r="240" spans="2:10" ht="15.75" thickTop="1" x14ac:dyDescent="0.25">
      <c r="H240" s="829"/>
    </row>
    <row r="241" spans="2:10" x14ac:dyDescent="0.25">
      <c r="H241" s="829"/>
    </row>
    <row r="242" spans="2:10" x14ac:dyDescent="0.25">
      <c r="B242" s="411" t="s">
        <v>933</v>
      </c>
      <c r="H242" s="829"/>
    </row>
    <row r="243" spans="2:10" x14ac:dyDescent="0.25">
      <c r="H243" s="829"/>
    </row>
    <row r="244" spans="2:10" x14ac:dyDescent="0.25">
      <c r="B244" s="368" t="s">
        <v>793</v>
      </c>
      <c r="D244" s="398">
        <v>8468609.9700000007</v>
      </c>
      <c r="E244" s="50">
        <f>'[3]TRIAL BALANCE '!$J$168</f>
        <v>6410961.9299999997</v>
      </c>
      <c r="F244" s="50">
        <f>'TRIAL BALANCE '!J169</f>
        <v>9121143.4600000009</v>
      </c>
      <c r="H244" s="829">
        <f t="shared" si="5"/>
        <v>2057648.040000001</v>
      </c>
    </row>
    <row r="245" spans="2:10" x14ac:dyDescent="0.25">
      <c r="B245" s="368" t="s">
        <v>755</v>
      </c>
      <c r="D245" s="398">
        <v>313806761.08999997</v>
      </c>
      <c r="E245" s="50">
        <f>'[3]TRIAL BALANCE '!$J$169</f>
        <v>310052055.29000002</v>
      </c>
      <c r="F245" s="50">
        <f>'TRIAL BALANCE '!J170</f>
        <v>313806761.08999997</v>
      </c>
      <c r="H245" s="829">
        <f t="shared" si="5"/>
        <v>3754705.7999999523</v>
      </c>
    </row>
    <row r="246" spans="2:10" ht="15.75" thickBot="1" x14ac:dyDescent="0.3">
      <c r="D246" s="458">
        <v>322275371.06</v>
      </c>
      <c r="E246" s="99">
        <f>SUM(E244:E245)</f>
        <v>316463017.22000003</v>
      </c>
      <c r="F246" s="99">
        <f>SUM(F244:F245)</f>
        <v>322927904.54999995</v>
      </c>
      <c r="G246" s="510">
        <f>F246-E246</f>
        <v>6464887.3299999237</v>
      </c>
      <c r="H246" s="829">
        <f t="shared" si="5"/>
        <v>5812353.8399999738</v>
      </c>
      <c r="I246" s="103"/>
      <c r="J246" s="179"/>
    </row>
    <row r="247" spans="2:10" ht="15.75" thickTop="1" x14ac:dyDescent="0.25">
      <c r="H247" s="829"/>
    </row>
    <row r="248" spans="2:10" x14ac:dyDescent="0.25">
      <c r="B248" s="411" t="s">
        <v>1475</v>
      </c>
      <c r="H248" s="829"/>
    </row>
    <row r="249" spans="2:10" x14ac:dyDescent="0.25">
      <c r="B249" s="167"/>
      <c r="H249" s="829"/>
    </row>
    <row r="250" spans="2:10" x14ac:dyDescent="0.25">
      <c r="B250" s="368" t="s">
        <v>1492</v>
      </c>
      <c r="D250" s="799">
        <v>108689.58</v>
      </c>
      <c r="E250" s="50">
        <f>'[3]TRIAL BALANCE '!$J$162</f>
        <v>99239.58</v>
      </c>
      <c r="F250" s="50">
        <f>'TRIAL BALANCE '!J163</f>
        <v>99239.58</v>
      </c>
      <c r="H250" s="829">
        <f t="shared" si="5"/>
        <v>9450</v>
      </c>
    </row>
    <row r="251" spans="2:10" x14ac:dyDescent="0.25">
      <c r="B251" s="368" t="s">
        <v>1493</v>
      </c>
      <c r="D251" s="799">
        <v>42897391.090000004</v>
      </c>
      <c r="E251" s="50">
        <f>'[3]TRIAL BALANCE '!$J$163</f>
        <v>35901191.460000001</v>
      </c>
      <c r="F251" s="50">
        <f>'TRIAL BALANCE '!J164</f>
        <v>48111051.810000002</v>
      </c>
      <c r="H251" s="829">
        <f t="shared" si="5"/>
        <v>6996199.6300000027</v>
      </c>
    </row>
    <row r="252" spans="2:10" ht="15.75" thickBot="1" x14ac:dyDescent="0.3">
      <c r="B252" s="167"/>
      <c r="D252" s="801">
        <v>43006080.670000002</v>
      </c>
      <c r="E252" s="99">
        <f>SUM(E250:E251)</f>
        <v>36000431.039999999</v>
      </c>
      <c r="F252" s="99">
        <f>SUM(F250:F251)</f>
        <v>48210291.390000001</v>
      </c>
      <c r="G252" s="510">
        <f>F252-E252</f>
        <v>12209860.350000001</v>
      </c>
      <c r="H252" s="829">
        <f t="shared" si="5"/>
        <v>7005649.6300000027</v>
      </c>
      <c r="I252" s="103"/>
      <c r="J252" s="179"/>
    </row>
    <row r="253" spans="2:10" ht="15.75" thickTop="1" x14ac:dyDescent="0.25">
      <c r="B253" s="62"/>
      <c r="D253" s="799"/>
      <c r="H253" s="829"/>
    </row>
    <row r="254" spans="2:10" x14ac:dyDescent="0.25">
      <c r="B254" s="62"/>
      <c r="D254" s="799"/>
      <c r="H254" s="829"/>
    </row>
    <row r="255" spans="2:10" x14ac:dyDescent="0.25">
      <c r="B255" s="493" t="s">
        <v>1476</v>
      </c>
      <c r="C255" s="48"/>
      <c r="D255" s="152"/>
      <c r="H255" s="829"/>
    </row>
    <row r="256" spans="2:10" x14ac:dyDescent="0.25">
      <c r="D256" s="799"/>
      <c r="H256" s="829"/>
    </row>
    <row r="257" spans="2:10" ht="15.75" thickBot="1" x14ac:dyDescent="0.3">
      <c r="B257" s="368" t="s">
        <v>282</v>
      </c>
      <c r="D257" s="800">
        <v>7059492309.1300011</v>
      </c>
      <c r="E257" s="458">
        <f>'[3]TRIAL BALANCE '!$J$171+3071246.3</f>
        <v>5951501338.000001</v>
      </c>
      <c r="F257" s="458">
        <f>'TRIAL BALANCE '!J172</f>
        <v>6880800804.0100002</v>
      </c>
      <c r="G257" s="510">
        <f>F257-E257</f>
        <v>929299466.00999928</v>
      </c>
      <c r="H257" s="829">
        <f t="shared" si="5"/>
        <v>1107990971.1300001</v>
      </c>
      <c r="I257" s="103"/>
      <c r="J257" s="179"/>
    </row>
    <row r="258" spans="2:10" ht="15.75" thickTop="1" x14ac:dyDescent="0.25">
      <c r="D258" s="799"/>
      <c r="H258" s="829"/>
      <c r="I258" s="179"/>
    </row>
    <row r="259" spans="2:10" x14ac:dyDescent="0.25">
      <c r="D259" s="799"/>
      <c r="H259" s="829"/>
    </row>
    <row r="260" spans="2:10" x14ac:dyDescent="0.25">
      <c r="B260" s="411" t="s">
        <v>935</v>
      </c>
      <c r="D260" s="799"/>
      <c r="H260" s="829"/>
    </row>
    <row r="261" spans="2:10" x14ac:dyDescent="0.25">
      <c r="D261" s="799"/>
      <c r="H261" s="829"/>
    </row>
    <row r="262" spans="2:10" x14ac:dyDescent="0.25">
      <c r="B262" s="368" t="s">
        <v>348</v>
      </c>
      <c r="D262" s="799">
        <v>8493703483.0699997</v>
      </c>
      <c r="E262" s="50">
        <f>'[3]TRIAL BALANCE '!$J$174</f>
        <v>8493703483.0699997</v>
      </c>
      <c r="F262" s="50">
        <f>'TRIAL BALANCE '!J175</f>
        <v>8493703483.0699997</v>
      </c>
      <c r="H262" s="829">
        <f t="shared" si="5"/>
        <v>0</v>
      </c>
    </row>
    <row r="263" spans="2:10" x14ac:dyDescent="0.25">
      <c r="B263" s="368" t="s">
        <v>352</v>
      </c>
      <c r="D263" s="799">
        <v>19501487156.330002</v>
      </c>
      <c r="E263" s="50">
        <f>'[3]TRIAL BALANCE '!$J$175+4147242617.35</f>
        <v>16083254433.330002</v>
      </c>
      <c r="F263" s="50">
        <f>'TRIAL BALANCE '!J176+3507385324.16</f>
        <v>22313778460.27</v>
      </c>
      <c r="H263" s="829">
        <f t="shared" si="5"/>
        <v>3418232723</v>
      </c>
    </row>
    <row r="264" spans="2:10" x14ac:dyDescent="0.25">
      <c r="B264" s="368" t="s">
        <v>354</v>
      </c>
      <c r="D264" s="799">
        <v>28883100.600000001</v>
      </c>
      <c r="E264" s="50">
        <f>'[3]TRIAL BALANCE '!$J$176</f>
        <v>28883100.600000001</v>
      </c>
      <c r="F264" s="50">
        <f>'TRIAL BALANCE '!J177</f>
        <v>28883100.600000001</v>
      </c>
      <c r="H264" s="829">
        <f t="shared" si="5"/>
        <v>0</v>
      </c>
      <c r="I264" s="50"/>
    </row>
    <row r="265" spans="2:10" ht="15.75" thickBot="1" x14ac:dyDescent="0.3">
      <c r="D265" s="801">
        <v>28024073740</v>
      </c>
      <c r="E265" s="99">
        <f>SUM(E262:E264)</f>
        <v>24605841017</v>
      </c>
      <c r="F265" s="99">
        <f>SUM(F262:F264)</f>
        <v>30836365043.939999</v>
      </c>
      <c r="G265" s="510">
        <f>F265-E265</f>
        <v>6230524026.9399986</v>
      </c>
      <c r="H265" s="829">
        <f t="shared" si="5"/>
        <v>3418232723</v>
      </c>
      <c r="I265" s="50"/>
      <c r="J265" s="179"/>
    </row>
    <row r="266" spans="2:10" ht="15.75" thickTop="1" x14ac:dyDescent="0.25">
      <c r="D266" s="799"/>
      <c r="H266" s="829"/>
      <c r="I266" s="50"/>
    </row>
    <row r="267" spans="2:10" x14ac:dyDescent="0.25">
      <c r="D267" s="799"/>
      <c r="H267" s="829"/>
      <c r="I267" s="50"/>
    </row>
    <row r="268" spans="2:10" x14ac:dyDescent="0.25">
      <c r="B268" s="495" t="s">
        <v>1030</v>
      </c>
      <c r="D268" s="799"/>
      <c r="H268" s="829"/>
      <c r="I268" s="50"/>
    </row>
    <row r="269" spans="2:10" x14ac:dyDescent="0.25">
      <c r="D269" s="799"/>
      <c r="H269" s="829"/>
      <c r="I269" s="50"/>
    </row>
    <row r="270" spans="2:10" x14ac:dyDescent="0.25">
      <c r="B270" s="368" t="s">
        <v>373</v>
      </c>
      <c r="D270" s="799">
        <v>223702089.25</v>
      </c>
      <c r="E270" s="50">
        <v>205065123</v>
      </c>
      <c r="F270" s="50">
        <f>'TRIAL BALANCE '!J181</f>
        <v>211448677.18000001</v>
      </c>
      <c r="G270" s="179">
        <f>F270-E270</f>
        <v>6383554.1800000072</v>
      </c>
      <c r="H270" s="829">
        <f t="shared" ref="H270:H333" si="8">D270-E270</f>
        <v>18636966.25</v>
      </c>
      <c r="I270" s="50"/>
    </row>
    <row r="271" spans="2:10" x14ac:dyDescent="0.25">
      <c r="B271" s="368" t="s">
        <v>364</v>
      </c>
      <c r="D271" s="799">
        <v>13304348</v>
      </c>
      <c r="E271" s="50">
        <f>'[3]TRIAL BALANCE '!$J$182</f>
        <v>16642940</v>
      </c>
      <c r="F271" s="50">
        <f>'TRIAL BALANCE '!J183</f>
        <v>11764403.1</v>
      </c>
      <c r="G271" s="179">
        <f t="shared" ref="G271:G278" si="9">F271-E271</f>
        <v>-4878536.9000000004</v>
      </c>
      <c r="H271" s="829">
        <f t="shared" si="8"/>
        <v>-3338592</v>
      </c>
      <c r="I271" s="50"/>
    </row>
    <row r="272" spans="2:10" x14ac:dyDescent="0.25">
      <c r="B272" s="368" t="s">
        <v>355</v>
      </c>
      <c r="D272" s="799">
        <v>14782.09</v>
      </c>
      <c r="E272" s="50">
        <f>'[3]TRIAL BALANCE '!$J$183</f>
        <v>7977.82</v>
      </c>
      <c r="F272" s="50">
        <f>'TRIAL BALANCE '!J184</f>
        <v>8212.1200000000008</v>
      </c>
      <c r="G272" s="179">
        <f t="shared" si="9"/>
        <v>234.30000000000109</v>
      </c>
      <c r="H272" s="829">
        <f t="shared" si="8"/>
        <v>6804.27</v>
      </c>
      <c r="I272" s="50"/>
    </row>
    <row r="273" spans="2:9" x14ac:dyDescent="0.25">
      <c r="B273" s="368" t="s">
        <v>358</v>
      </c>
      <c r="D273" s="799">
        <v>611275.47</v>
      </c>
      <c r="E273" s="50">
        <f>'[3]TRIAL BALANCE '!$J$184</f>
        <v>2169588.34</v>
      </c>
      <c r="F273" s="50">
        <f>'TRIAL BALANCE '!J185</f>
        <v>75289.820000000007</v>
      </c>
      <c r="G273" s="179">
        <f t="shared" si="9"/>
        <v>-2094298.5199999998</v>
      </c>
      <c r="H273" s="829">
        <f t="shared" si="8"/>
        <v>-1558312.8699999999</v>
      </c>
      <c r="I273" s="50"/>
    </row>
    <row r="274" spans="2:9" x14ac:dyDescent="0.25">
      <c r="B274" s="368" t="s">
        <v>359</v>
      </c>
      <c r="D274" s="799">
        <v>135207289.19999999</v>
      </c>
      <c r="E274" s="50">
        <f>'[3]TRIAL BALANCE '!$J$185-371675-0.72</f>
        <v>77561755.400000006</v>
      </c>
      <c r="F274" s="50">
        <f>'TRIAL BALANCE '!J186</f>
        <v>123258359.52</v>
      </c>
      <c r="G274" s="179">
        <f t="shared" si="9"/>
        <v>45696604.11999999</v>
      </c>
      <c r="H274" s="829">
        <f t="shared" si="8"/>
        <v>57645533.799999982</v>
      </c>
      <c r="I274" s="50"/>
    </row>
    <row r="275" spans="2:9" x14ac:dyDescent="0.25">
      <c r="B275" s="368" t="s">
        <v>362</v>
      </c>
      <c r="D275" s="799">
        <v>95316.33</v>
      </c>
      <c r="E275" s="50">
        <f>'[3]TRIAL BALANCE '!$J$186</f>
        <v>156292.44</v>
      </c>
      <c r="F275" s="50">
        <f>'TRIAL BALANCE '!J187</f>
        <v>41657.22</v>
      </c>
      <c r="G275" s="179">
        <f t="shared" si="9"/>
        <v>-114635.22</v>
      </c>
      <c r="H275" s="829">
        <f t="shared" si="8"/>
        <v>-60976.11</v>
      </c>
      <c r="I275" s="50"/>
    </row>
    <row r="276" spans="2:9" x14ac:dyDescent="0.25">
      <c r="B276" s="368" t="s">
        <v>1523</v>
      </c>
      <c r="D276" s="799">
        <v>0</v>
      </c>
      <c r="E276" s="50">
        <v>0</v>
      </c>
      <c r="F276" s="50">
        <v>0</v>
      </c>
      <c r="G276" s="179">
        <f t="shared" si="9"/>
        <v>0</v>
      </c>
      <c r="H276" s="829">
        <f t="shared" si="8"/>
        <v>0</v>
      </c>
      <c r="I276" s="50"/>
    </row>
    <row r="277" spans="2:9" x14ac:dyDescent="0.25">
      <c r="B277" s="368" t="s">
        <v>390</v>
      </c>
      <c r="D277" s="799">
        <v>29060440.390000001</v>
      </c>
      <c r="E277" s="50">
        <v>32808362.800000001</v>
      </c>
      <c r="F277" s="50">
        <f>'TRIAL BALANCE '!J189</f>
        <v>0</v>
      </c>
      <c r="G277" s="179">
        <f t="shared" si="9"/>
        <v>-32808362.800000001</v>
      </c>
      <c r="H277" s="829">
        <f t="shared" si="8"/>
        <v>-3747922.41</v>
      </c>
      <c r="I277" s="50"/>
    </row>
    <row r="278" spans="2:9" x14ac:dyDescent="0.25">
      <c r="B278" s="368" t="s">
        <v>99</v>
      </c>
      <c r="D278" s="799">
        <v>140000</v>
      </c>
      <c r="E278" s="50">
        <f>'[3]TRIAL BALANCE '!$J$189</f>
        <v>140000</v>
      </c>
      <c r="F278" s="50">
        <f>'TRIAL BALANCE '!J190</f>
        <v>116667</v>
      </c>
      <c r="G278" s="179">
        <f t="shared" si="9"/>
        <v>-23333</v>
      </c>
      <c r="H278" s="829">
        <f t="shared" si="8"/>
        <v>0</v>
      </c>
      <c r="I278" s="50"/>
    </row>
    <row r="279" spans="2:9" ht="15.75" thickBot="1" x14ac:dyDescent="0.3">
      <c r="D279" s="801">
        <v>402135540.72999996</v>
      </c>
      <c r="E279" s="99">
        <f>SUM(E270:E278)</f>
        <v>334552039.80000001</v>
      </c>
      <c r="F279" s="99">
        <f>SUM(F270:F278)</f>
        <v>346713265.96000004</v>
      </c>
      <c r="G279" s="510">
        <f>F279-E279</f>
        <v>12161226.160000026</v>
      </c>
      <c r="H279" s="829">
        <f t="shared" si="8"/>
        <v>67583500.929999948</v>
      </c>
      <c r="I279" s="50"/>
    </row>
    <row r="280" spans="2:9" ht="15.75" thickTop="1" x14ac:dyDescent="0.25">
      <c r="D280" s="799"/>
      <c r="E280" s="50"/>
      <c r="H280" s="829"/>
      <c r="I280" s="50"/>
    </row>
    <row r="281" spans="2:9" x14ac:dyDescent="0.25">
      <c r="D281" s="799"/>
      <c r="E281" s="179"/>
      <c r="H281" s="829"/>
      <c r="I281" s="50"/>
    </row>
    <row r="282" spans="2:9" x14ac:dyDescent="0.25">
      <c r="B282" s="495" t="s">
        <v>1031</v>
      </c>
      <c r="D282" s="799"/>
      <c r="H282" s="829"/>
      <c r="I282" s="50"/>
    </row>
    <row r="283" spans="2:9" x14ac:dyDescent="0.25">
      <c r="D283" s="799"/>
      <c r="H283" s="829"/>
      <c r="I283" s="50"/>
    </row>
    <row r="284" spans="2:9" x14ac:dyDescent="0.25">
      <c r="B284" s="368" t="s">
        <v>378</v>
      </c>
      <c r="D284" s="799">
        <v>1314852.53</v>
      </c>
      <c r="E284" s="50">
        <f>'[3]TRIAL BALANCE '!$J$191</f>
        <v>23487524.18</v>
      </c>
      <c r="F284" s="50">
        <f>'TRIAL BALANCE '!J192</f>
        <v>22366942.539999999</v>
      </c>
      <c r="H284" s="829">
        <f t="shared" si="8"/>
        <v>-22172671.649999999</v>
      </c>
      <c r="I284" s="50"/>
    </row>
    <row r="285" spans="2:9" x14ac:dyDescent="0.25">
      <c r="B285" s="368" t="s">
        <v>369</v>
      </c>
      <c r="D285" s="799">
        <v>14974252.859999999</v>
      </c>
      <c r="E285" s="50">
        <v>0</v>
      </c>
      <c r="F285" s="50">
        <f>'TRIAL BALANCE '!J193</f>
        <v>754659930.48000002</v>
      </c>
      <c r="H285" s="829">
        <f t="shared" si="8"/>
        <v>14974252.859999999</v>
      </c>
      <c r="I285" s="50"/>
    </row>
    <row r="286" spans="2:9" x14ac:dyDescent="0.25">
      <c r="B286" s="368" t="s">
        <v>380</v>
      </c>
      <c r="D286" s="799">
        <v>0</v>
      </c>
      <c r="E286" s="50">
        <f>'[3]TRIAL BALANCE '!$J$192</f>
        <v>5870873.0800000001</v>
      </c>
      <c r="F286" s="50">
        <v>0</v>
      </c>
      <c r="H286" s="829">
        <f t="shared" si="8"/>
        <v>-5870873.0800000001</v>
      </c>
      <c r="I286" s="50"/>
    </row>
    <row r="287" spans="2:9" x14ac:dyDescent="0.25">
      <c r="B287" s="368" t="s">
        <v>710</v>
      </c>
      <c r="D287" s="799">
        <v>4430014538.6300001</v>
      </c>
      <c r="E287" s="50">
        <f>'[3]TRIAL BALANCE '!$J$194</f>
        <v>5300964870</v>
      </c>
      <c r="F287" s="50">
        <f>'TRIAL BALANCE '!J195</f>
        <v>0</v>
      </c>
      <c r="G287" s="179">
        <f>F287-E287</f>
        <v>-5300964870</v>
      </c>
      <c r="H287" s="829">
        <f t="shared" si="8"/>
        <v>-870950331.36999989</v>
      </c>
      <c r="I287" s="50"/>
    </row>
    <row r="288" spans="2:9" ht="15.75" thickBot="1" x14ac:dyDescent="0.3">
      <c r="D288" s="801">
        <v>4446303644.0200005</v>
      </c>
      <c r="E288" s="99">
        <f>SUM(E284:E287)</f>
        <v>5330323267.2600002</v>
      </c>
      <c r="F288" s="99">
        <f>SUM(F284:F287)</f>
        <v>777026873.01999998</v>
      </c>
      <c r="G288" s="510">
        <f>F288-E288</f>
        <v>-4553296394.2399998</v>
      </c>
      <c r="H288" s="829">
        <f t="shared" si="8"/>
        <v>-884019623.23999977</v>
      </c>
      <c r="I288" s="50"/>
    </row>
    <row r="289" spans="2:9" ht="15.75" thickTop="1" x14ac:dyDescent="0.25">
      <c r="D289" s="799"/>
      <c r="H289" s="829"/>
      <c r="I289" s="50"/>
    </row>
    <row r="290" spans="2:9" x14ac:dyDescent="0.25">
      <c r="B290" s="495" t="s">
        <v>1383</v>
      </c>
      <c r="D290" s="799"/>
      <c r="H290" s="829"/>
      <c r="I290" s="50"/>
    </row>
    <row r="291" spans="2:9" x14ac:dyDescent="0.25">
      <c r="B291" s="495"/>
      <c r="D291" s="799"/>
      <c r="H291" s="829"/>
      <c r="I291" s="50"/>
    </row>
    <row r="292" spans="2:9" x14ac:dyDescent="0.25">
      <c r="B292" t="s">
        <v>1514</v>
      </c>
      <c r="D292" s="799">
        <v>494.52</v>
      </c>
      <c r="E292" s="50">
        <f>'[3]TRIAL BALANCE '!$J$193</f>
        <v>1383718.23</v>
      </c>
      <c r="F292" s="51">
        <v>494.52</v>
      </c>
      <c r="H292" s="829">
        <f t="shared" si="8"/>
        <v>-1383223.71</v>
      </c>
      <c r="I292" s="50"/>
    </row>
    <row r="293" spans="2:9" x14ac:dyDescent="0.25">
      <c r="B293" s="368" t="s">
        <v>1495</v>
      </c>
      <c r="D293" s="799">
        <v>6033189.5700000003</v>
      </c>
      <c r="E293" s="398">
        <f>'[3]TRIAL BALANCE '!$J$198</f>
        <v>6787368.75</v>
      </c>
      <c r="F293" s="398">
        <f>'TRIAL BALANCE '!K199</f>
        <v>3853729.98</v>
      </c>
      <c r="H293" s="829">
        <f t="shared" si="8"/>
        <v>-754179.1799999997</v>
      </c>
      <c r="I293" s="50"/>
    </row>
    <row r="294" spans="2:9" ht="15.75" thickBot="1" x14ac:dyDescent="0.3">
      <c r="B294" s="368"/>
      <c r="D294" s="801">
        <v>6033684.0899999999</v>
      </c>
      <c r="E294" s="458">
        <f>E292+E293</f>
        <v>8171086.9800000004</v>
      </c>
      <c r="F294" s="458">
        <f>F292+F293</f>
        <v>3854224.5</v>
      </c>
      <c r="G294" s="510">
        <f>F294-E294</f>
        <v>-4316862.4800000004</v>
      </c>
      <c r="H294" s="829">
        <f t="shared" si="8"/>
        <v>-2137402.8900000006</v>
      </c>
      <c r="I294" s="50"/>
    </row>
    <row r="295" spans="2:9" ht="15.75" thickTop="1" x14ac:dyDescent="0.25">
      <c r="B295" s="368"/>
      <c r="D295" s="799"/>
      <c r="E295" s="460"/>
      <c r="F295" s="460"/>
      <c r="H295" s="829"/>
      <c r="I295" s="50"/>
    </row>
    <row r="296" spans="2:9" x14ac:dyDescent="0.25">
      <c r="D296" s="799"/>
      <c r="H296" s="829"/>
      <c r="I296" s="50"/>
    </row>
    <row r="297" spans="2:9" x14ac:dyDescent="0.25">
      <c r="B297" s="493" t="s">
        <v>1515</v>
      </c>
      <c r="C297" s="48"/>
      <c r="D297" s="152">
        <v>4854472868.8400002</v>
      </c>
      <c r="E297" s="507">
        <f>E279+E288+E294</f>
        <v>5673046394.04</v>
      </c>
      <c r="F297" s="507">
        <f>F279+F288+F294</f>
        <v>1127594363.48</v>
      </c>
      <c r="G297" s="179">
        <f>F297-E297</f>
        <v>-4545452030.5599995</v>
      </c>
      <c r="H297" s="829">
        <f t="shared" si="8"/>
        <v>-818573525.19999981</v>
      </c>
      <c r="I297" s="50"/>
    </row>
    <row r="298" spans="2:9" x14ac:dyDescent="0.25">
      <c r="D298" s="799"/>
      <c r="H298" s="829">
        <f t="shared" si="8"/>
        <v>0</v>
      </c>
      <c r="I298" s="50"/>
    </row>
    <row r="299" spans="2:9" ht="15.75" thickBot="1" x14ac:dyDescent="0.3">
      <c r="B299" s="368" t="s">
        <v>1496</v>
      </c>
      <c r="D299" s="801">
        <v>4804810</v>
      </c>
      <c r="E299" s="458">
        <f>'[3]TRIAL BALANCE '!$J$195</f>
        <v>21580025</v>
      </c>
      <c r="F299" s="458">
        <f>'TRIAL BALANCE '!J196</f>
        <v>0</v>
      </c>
      <c r="G299" s="510">
        <f>F299-E299</f>
        <v>-21580025</v>
      </c>
      <c r="H299" s="829">
        <f t="shared" si="8"/>
        <v>-16775215</v>
      </c>
      <c r="I299" s="50"/>
    </row>
    <row r="300" spans="2:9" ht="15.75" thickTop="1" x14ac:dyDescent="0.25">
      <c r="B300" s="368"/>
      <c r="D300" s="833"/>
      <c r="E300" s="460"/>
      <c r="F300" s="460"/>
      <c r="G300" s="511"/>
      <c r="H300" s="829"/>
      <c r="I300" s="50"/>
    </row>
    <row r="301" spans="2:9" x14ac:dyDescent="0.25">
      <c r="B301" s="368"/>
      <c r="D301" s="833"/>
      <c r="E301" s="460"/>
      <c r="F301" s="460"/>
      <c r="G301" s="511"/>
      <c r="H301" s="829"/>
      <c r="I301" s="50"/>
    </row>
    <row r="302" spans="2:9" ht="15" customHeight="1" x14ac:dyDescent="0.25">
      <c r="B302" s="498" t="s">
        <v>791</v>
      </c>
      <c r="C302" s="498"/>
      <c r="D302" s="812"/>
      <c r="E302" s="813"/>
      <c r="F302" s="813"/>
      <c r="H302" s="835"/>
      <c r="I302" s="50"/>
    </row>
    <row r="303" spans="2:9" x14ac:dyDescent="0.25">
      <c r="B303" s="61" t="s">
        <v>673</v>
      </c>
      <c r="D303" s="799"/>
      <c r="H303" s="835"/>
      <c r="I303" s="50"/>
    </row>
    <row r="304" spans="2:9" ht="15.75" thickBot="1" x14ac:dyDescent="0.3">
      <c r="B304" s="368" t="s">
        <v>1524</v>
      </c>
      <c r="D304" s="801">
        <v>30043023.489999998</v>
      </c>
      <c r="E304" s="458">
        <f>'[3]TRIAL BALANCE '!$I$201+191741</f>
        <v>25736844.379999999</v>
      </c>
      <c r="F304" s="458">
        <f>'TRIAL BALANCE '!I202</f>
        <v>30591672.850000001</v>
      </c>
      <c r="G304" s="510">
        <f>F304-E304</f>
        <v>4854828.4700000025</v>
      </c>
      <c r="H304" s="836">
        <f t="shared" si="8"/>
        <v>4306179.1099999994</v>
      </c>
      <c r="I304" s="50"/>
    </row>
    <row r="305" spans="2:9" ht="15.75" thickTop="1" x14ac:dyDescent="0.25">
      <c r="D305" s="799"/>
      <c r="E305" s="50"/>
      <c r="F305" s="50"/>
      <c r="H305" s="835"/>
      <c r="I305" s="50"/>
    </row>
    <row r="306" spans="2:9" x14ac:dyDescent="0.25">
      <c r="B306" s="61" t="s">
        <v>1095</v>
      </c>
      <c r="D306" s="799"/>
      <c r="E306" s="50"/>
      <c r="F306" s="50"/>
      <c r="H306" s="835"/>
      <c r="I306" s="50"/>
    </row>
    <row r="307" spans="2:9" x14ac:dyDescent="0.25">
      <c r="B307" s="368" t="s">
        <v>405</v>
      </c>
      <c r="D307" s="799">
        <v>3569738.8</v>
      </c>
      <c r="E307" s="50">
        <f>'[3]TRIAL BALANCE '!$I$215+27217</f>
        <v>3094128.66</v>
      </c>
      <c r="F307" s="50">
        <f>'TRIAL BALANCE '!I216</f>
        <v>3484566.21</v>
      </c>
      <c r="H307" s="835">
        <f t="shared" si="8"/>
        <v>475610.13999999966</v>
      </c>
      <c r="I307" s="50"/>
    </row>
    <row r="308" spans="2:9" x14ac:dyDescent="0.25">
      <c r="B308" s="368" t="s">
        <v>417</v>
      </c>
      <c r="D308" s="799">
        <v>35200</v>
      </c>
      <c r="E308" s="50">
        <f>'[3]TRIAL BALANCE '!$I$216</f>
        <v>32600</v>
      </c>
      <c r="F308" s="50">
        <f>'TRIAL BALANCE '!I217</f>
        <v>65300</v>
      </c>
      <c r="H308" s="835">
        <f t="shared" si="8"/>
        <v>2600</v>
      </c>
      <c r="I308" s="50"/>
    </row>
    <row r="309" spans="2:9" x14ac:dyDescent="0.25">
      <c r="B309" s="368" t="s">
        <v>409</v>
      </c>
      <c r="D309" s="799">
        <v>443067.16</v>
      </c>
      <c r="E309" s="50">
        <f>'[3]TRIAL BALANCE '!$I$217</f>
        <v>402964.47</v>
      </c>
      <c r="F309" s="50">
        <f>'TRIAL BALANCE '!I218</f>
        <v>602673.43999999994</v>
      </c>
      <c r="H309" s="835">
        <f t="shared" si="8"/>
        <v>40102.69</v>
      </c>
      <c r="I309" s="50"/>
    </row>
    <row r="310" spans="2:9" x14ac:dyDescent="0.25">
      <c r="B310" s="368" t="s">
        <v>413</v>
      </c>
      <c r="D310" s="799">
        <v>35800</v>
      </c>
      <c r="E310" s="50">
        <f>'[3]TRIAL BALANCE '!$I$218</f>
        <v>32800</v>
      </c>
      <c r="F310" s="50">
        <f>'TRIAL BALANCE '!I219</f>
        <v>34600</v>
      </c>
      <c r="H310" s="835">
        <f t="shared" si="8"/>
        <v>3000</v>
      </c>
      <c r="I310" s="50"/>
    </row>
    <row r="311" spans="2:9" ht="15.75" thickBot="1" x14ac:dyDescent="0.3">
      <c r="D311" s="801">
        <v>4083805.96</v>
      </c>
      <c r="E311" s="458">
        <f>SUM(E307:E310)</f>
        <v>3562493.13</v>
      </c>
      <c r="F311" s="458">
        <f>SUM(F307:F310)</f>
        <v>4187139.65</v>
      </c>
      <c r="G311" s="510">
        <f>F311-E311</f>
        <v>624646.52</v>
      </c>
      <c r="H311" s="836">
        <f t="shared" si="8"/>
        <v>521312.83000000007</v>
      </c>
      <c r="I311" s="50"/>
    </row>
    <row r="312" spans="2:9" ht="15.75" thickTop="1" x14ac:dyDescent="0.25">
      <c r="D312" s="799"/>
      <c r="E312" s="460"/>
      <c r="F312" s="460"/>
      <c r="H312" s="835"/>
      <c r="I312" s="50"/>
    </row>
    <row r="313" spans="2:9" x14ac:dyDescent="0.25">
      <c r="B313" s="61" t="s">
        <v>674</v>
      </c>
      <c r="D313" s="799"/>
      <c r="E313" s="460"/>
      <c r="F313" s="460"/>
      <c r="H313" s="829"/>
      <c r="I313" s="50"/>
    </row>
    <row r="314" spans="2:9" x14ac:dyDescent="0.25">
      <c r="B314" s="368" t="s">
        <v>434</v>
      </c>
      <c r="D314" s="799">
        <v>709653.75</v>
      </c>
      <c r="E314" s="50">
        <f>'[3]TRIAL BALANCE '!$I$203+257</f>
        <v>649347.91</v>
      </c>
      <c r="F314" s="50">
        <f>'TRIAL BALANCE '!I204</f>
        <v>707528.17</v>
      </c>
      <c r="H314" s="829">
        <f t="shared" si="8"/>
        <v>60305.839999999967</v>
      </c>
      <c r="I314" s="50"/>
    </row>
    <row r="315" spans="2:9" x14ac:dyDescent="0.25">
      <c r="B315" s="368" t="s">
        <v>435</v>
      </c>
      <c r="D315" s="799">
        <v>927113.64</v>
      </c>
      <c r="E315" s="50">
        <f>'[3]TRIAL BALANCE '!$I$204</f>
        <v>1047409.09</v>
      </c>
      <c r="F315" s="50">
        <f>'TRIAL BALANCE '!I205</f>
        <v>972511.36</v>
      </c>
      <c r="H315" s="829">
        <f t="shared" si="8"/>
        <v>-120295.44999999995</v>
      </c>
      <c r="I315" s="50"/>
    </row>
    <row r="316" spans="2:9" x14ac:dyDescent="0.25">
      <c r="B316" s="368" t="s">
        <v>1081</v>
      </c>
      <c r="D316" s="799">
        <v>417720.71</v>
      </c>
      <c r="E316" s="50">
        <f>'[3]TRIAL BALANCE '!$I$205</f>
        <v>594159.07999999996</v>
      </c>
      <c r="F316" s="50">
        <f>'TRIAL BALANCE '!I206</f>
        <v>260159.11</v>
      </c>
      <c r="H316" s="829">
        <f t="shared" si="8"/>
        <v>-176438.36999999994</v>
      </c>
      <c r="I316" s="50"/>
    </row>
    <row r="317" spans="2:9" x14ac:dyDescent="0.25">
      <c r="B317" s="368" t="s">
        <v>445</v>
      </c>
      <c r="D317" s="799">
        <v>162000</v>
      </c>
      <c r="E317" s="50">
        <f>'[3]TRIAL BALANCE '!$I$206</f>
        <v>180000</v>
      </c>
      <c r="F317" s="50">
        <f>'TRIAL BALANCE '!I207</f>
        <v>245000</v>
      </c>
      <c r="H317" s="829">
        <f t="shared" si="8"/>
        <v>-18000</v>
      </c>
      <c r="I317" s="50"/>
    </row>
    <row r="318" spans="2:9" x14ac:dyDescent="0.25">
      <c r="B318" s="368" t="s">
        <v>430</v>
      </c>
      <c r="D318" s="799">
        <v>150000</v>
      </c>
      <c r="E318" s="50">
        <f>'[3]TRIAL BALANCE '!$I$207</f>
        <v>127000</v>
      </c>
      <c r="F318" s="50">
        <f>'TRIAL BALANCE '!I208</f>
        <v>0</v>
      </c>
      <c r="H318" s="829">
        <f t="shared" si="8"/>
        <v>23000</v>
      </c>
      <c r="I318" s="50"/>
    </row>
    <row r="319" spans="2:9" x14ac:dyDescent="0.25">
      <c r="B319" s="368" t="s">
        <v>981</v>
      </c>
      <c r="D319" s="799">
        <v>0</v>
      </c>
      <c r="E319" s="50">
        <v>0</v>
      </c>
      <c r="F319" s="50">
        <f>'TRIAL BALANCE '!I209</f>
        <v>0</v>
      </c>
      <c r="H319" s="829">
        <f t="shared" si="8"/>
        <v>0</v>
      </c>
      <c r="I319" s="50"/>
    </row>
    <row r="320" spans="2:9" x14ac:dyDescent="0.25">
      <c r="B320" s="368" t="s">
        <v>439</v>
      </c>
      <c r="D320" s="799">
        <v>35000</v>
      </c>
      <c r="E320" s="50">
        <f>'[3]TRIAL BALANCE '!$I$209</f>
        <v>131696.44</v>
      </c>
      <c r="F320" s="50">
        <f>'TRIAL BALANCE '!I210:I210</f>
        <v>75357.149999999994</v>
      </c>
      <c r="H320" s="829">
        <f t="shared" si="8"/>
        <v>-96696.44</v>
      </c>
      <c r="I320" s="50"/>
    </row>
    <row r="321" spans="2:9" x14ac:dyDescent="0.25">
      <c r="B321" s="368" t="s">
        <v>421</v>
      </c>
      <c r="D321" s="799">
        <v>416814.12</v>
      </c>
      <c r="E321" s="50">
        <f>'[3]TRIAL BALANCE '!$I$210</f>
        <v>267678.40000000002</v>
      </c>
      <c r="F321" s="50">
        <f>'TRIAL BALANCE '!I211</f>
        <v>579545.65</v>
      </c>
      <c r="H321" s="829">
        <f t="shared" si="8"/>
        <v>149135.71999999997</v>
      </c>
      <c r="I321" s="50"/>
    </row>
    <row r="322" spans="2:9" x14ac:dyDescent="0.25">
      <c r="B322" s="368" t="s">
        <v>425</v>
      </c>
      <c r="D322" s="799">
        <v>4890444.3499999996</v>
      </c>
      <c r="E322" s="50">
        <f>'[3]TRIAL BALANCE '!$I$211</f>
        <v>4188303.4</v>
      </c>
      <c r="F322" s="50">
        <f>'TRIAL BALANCE '!I212</f>
        <v>5175977.7699999996</v>
      </c>
      <c r="H322" s="829">
        <f t="shared" si="8"/>
        <v>702140.94999999972</v>
      </c>
      <c r="I322" s="50"/>
    </row>
    <row r="323" spans="2:9" x14ac:dyDescent="0.25">
      <c r="B323" s="368" t="s">
        <v>428</v>
      </c>
      <c r="D323" s="799">
        <v>148000</v>
      </c>
      <c r="E323" s="50">
        <f>'[3]TRIAL BALANCE '!$I$212</f>
        <v>126000</v>
      </c>
      <c r="F323" s="50">
        <f>'TRIAL BALANCE '!I213</f>
        <v>0</v>
      </c>
      <c r="H323" s="829">
        <f t="shared" si="8"/>
        <v>22000</v>
      </c>
      <c r="I323" s="50"/>
    </row>
    <row r="324" spans="2:9" x14ac:dyDescent="0.25">
      <c r="B324" s="368" t="s">
        <v>449</v>
      </c>
      <c r="D324" s="799">
        <v>2297132.8499999996</v>
      </c>
      <c r="E324" s="50">
        <f>'[3]TRIAL BALANCE '!$I$213</f>
        <v>1011028.52</v>
      </c>
      <c r="F324" s="50">
        <f>'TRIAL BALANCE '!I214</f>
        <v>457306.38</v>
      </c>
      <c r="H324" s="829">
        <f t="shared" si="8"/>
        <v>1286104.3299999996</v>
      </c>
      <c r="I324" s="50"/>
    </row>
    <row r="325" spans="2:9" x14ac:dyDescent="0.25">
      <c r="B325" s="368" t="s">
        <v>454</v>
      </c>
      <c r="D325" s="799">
        <v>3065895.99</v>
      </c>
      <c r="E325" s="50">
        <f>'[3]TRIAL BALANCE '!$I$221</f>
        <v>2500</v>
      </c>
      <c r="F325" s="50">
        <f>'TRIAL BALANCE '!I222</f>
        <v>3681159.96</v>
      </c>
      <c r="H325" s="829">
        <f t="shared" si="8"/>
        <v>3063395.99</v>
      </c>
      <c r="I325" s="50"/>
    </row>
    <row r="326" spans="2:9" ht="15.75" thickBot="1" x14ac:dyDescent="0.3">
      <c r="B326" s="368"/>
      <c r="D326" s="801">
        <v>13219775.41</v>
      </c>
      <c r="E326" s="458">
        <f>SUM(E314:E325)</f>
        <v>8325122.8399999999</v>
      </c>
      <c r="F326" s="458">
        <f>SUM(F314:F325)</f>
        <v>12154545.550000001</v>
      </c>
      <c r="G326" s="510">
        <f>F326-E326</f>
        <v>3829422.7100000009</v>
      </c>
      <c r="H326" s="834">
        <f t="shared" si="8"/>
        <v>4894652.57</v>
      </c>
      <c r="I326" s="50"/>
    </row>
    <row r="327" spans="2:9" ht="15.75" thickTop="1" x14ac:dyDescent="0.25">
      <c r="D327" s="799"/>
      <c r="E327" s="50"/>
      <c r="F327" s="50"/>
      <c r="H327" s="829"/>
      <c r="I327" s="50"/>
    </row>
    <row r="328" spans="2:9" x14ac:dyDescent="0.25">
      <c r="B328" s="61" t="s">
        <v>675</v>
      </c>
      <c r="D328" s="799"/>
      <c r="E328" s="50"/>
      <c r="F328" s="50"/>
      <c r="H328" s="829"/>
      <c r="I328" s="50"/>
    </row>
    <row r="329" spans="2:9" ht="15.75" thickBot="1" x14ac:dyDescent="0.3">
      <c r="B329" s="368" t="s">
        <v>450</v>
      </c>
      <c r="D329" s="801">
        <v>3224525.81</v>
      </c>
      <c r="E329" s="458">
        <f>'[3]TRIAL BALANCE '!$I$220+38406+0.34</f>
        <v>2295250.65</v>
      </c>
      <c r="F329" s="458">
        <f>'TRIAL BALANCE '!I221</f>
        <v>3679945.66</v>
      </c>
      <c r="G329" s="510">
        <f>F329-E329</f>
        <v>1384695.0100000002</v>
      </c>
      <c r="H329" s="834">
        <f t="shared" si="8"/>
        <v>929275.16000000015</v>
      </c>
      <c r="I329" s="50"/>
    </row>
    <row r="330" spans="2:9" ht="15.75" thickTop="1" x14ac:dyDescent="0.25">
      <c r="D330" s="799"/>
      <c r="H330" s="829"/>
      <c r="I330" s="50"/>
    </row>
    <row r="331" spans="2:9" ht="15.75" hidden="1" customHeight="1" thickBot="1" x14ac:dyDescent="0.3">
      <c r="D331" s="799">
        <v>50571130.670000002</v>
      </c>
      <c r="E331" s="412"/>
      <c r="F331" s="490">
        <f>F311+F326+F329+F304</f>
        <v>50613303.710000001</v>
      </c>
      <c r="H331" s="829"/>
      <c r="I331" s="50"/>
    </row>
    <row r="332" spans="2:9" x14ac:dyDescent="0.25">
      <c r="D332" s="799"/>
      <c r="H332" s="829"/>
      <c r="I332" s="50"/>
    </row>
    <row r="333" spans="2:9" ht="15.75" thickBot="1" x14ac:dyDescent="0.3">
      <c r="B333" t="s">
        <v>1389</v>
      </c>
      <c r="D333" s="800">
        <v>50571130.670000002</v>
      </c>
      <c r="E333" s="490">
        <f>E304+E311+E326+E329-100</f>
        <v>39919610.999999993</v>
      </c>
      <c r="F333" s="490">
        <f>F304+F311+F326+F329</f>
        <v>50613303.709999993</v>
      </c>
      <c r="G333" s="510">
        <f>F333-E333</f>
        <v>10693692.710000001</v>
      </c>
      <c r="H333" s="834">
        <f t="shared" si="8"/>
        <v>10651519.670000009</v>
      </c>
      <c r="I333" s="496"/>
    </row>
    <row r="334" spans="2:9" ht="15.75" thickTop="1" x14ac:dyDescent="0.25">
      <c r="D334" s="799"/>
      <c r="E334" s="50"/>
      <c r="H334" s="829"/>
      <c r="I334" s="50"/>
    </row>
    <row r="335" spans="2:9" x14ac:dyDescent="0.25">
      <c r="D335" s="799"/>
      <c r="E335" s="179"/>
      <c r="H335" s="829"/>
      <c r="I335" s="50"/>
    </row>
    <row r="336" spans="2:9" x14ac:dyDescent="0.25">
      <c r="D336" s="799"/>
      <c r="H336" s="829"/>
      <c r="I336" s="50"/>
    </row>
    <row r="337" spans="2:9" ht="15" customHeight="1" x14ac:dyDescent="0.25">
      <c r="B337" s="498" t="s">
        <v>792</v>
      </c>
      <c r="C337" s="498"/>
      <c r="D337" s="812"/>
      <c r="E337" s="813"/>
      <c r="F337" s="813"/>
      <c r="H337" s="829"/>
      <c r="I337" s="50"/>
    </row>
    <row r="338" spans="2:9" x14ac:dyDescent="0.25">
      <c r="D338" s="799"/>
      <c r="H338" s="829"/>
      <c r="I338" s="50"/>
    </row>
    <row r="339" spans="2:9" x14ac:dyDescent="0.25">
      <c r="B339" s="48" t="s">
        <v>1477</v>
      </c>
      <c r="D339" s="799"/>
      <c r="H339" s="829"/>
      <c r="I339" s="50"/>
    </row>
    <row r="340" spans="2:9" x14ac:dyDescent="0.25">
      <c r="D340" s="799"/>
      <c r="H340" s="829"/>
      <c r="I340" s="50"/>
    </row>
    <row r="341" spans="2:9" x14ac:dyDescent="0.25">
      <c r="B341" s="492" t="s">
        <v>639</v>
      </c>
      <c r="D341" s="799">
        <v>1211186.6499999999</v>
      </c>
      <c r="E341" s="50">
        <f>'[3]TRIAL BALANCE '!$I$223</f>
        <v>744993.63</v>
      </c>
      <c r="F341" s="50">
        <f>'TRIAL BALANCE '!I224</f>
        <v>1410353.23</v>
      </c>
      <c r="H341" s="829">
        <f t="shared" ref="H341:H398" si="10">D341-E341</f>
        <v>466193.0199999999</v>
      </c>
      <c r="I341" s="50"/>
    </row>
    <row r="342" spans="2:9" x14ac:dyDescent="0.25">
      <c r="B342" s="368" t="s">
        <v>641</v>
      </c>
      <c r="D342" s="799">
        <v>970220.63</v>
      </c>
      <c r="E342" s="50">
        <v>0</v>
      </c>
      <c r="F342" s="50">
        <f>'TRIAL BALANCE '!I225</f>
        <v>1137561.81</v>
      </c>
      <c r="H342" s="829">
        <f t="shared" si="10"/>
        <v>970220.63</v>
      </c>
      <c r="I342" s="50"/>
    </row>
    <row r="343" spans="2:9" ht="15.75" thickBot="1" x14ac:dyDescent="0.3">
      <c r="D343" s="801">
        <v>2181407.2799999998</v>
      </c>
      <c r="E343" s="797">
        <f>SUM(E341:E342)</f>
        <v>744993.63</v>
      </c>
      <c r="F343" s="458">
        <f>SUM(F341:F342)</f>
        <v>2547915.04</v>
      </c>
      <c r="G343" s="510">
        <f>F343-E343</f>
        <v>1802921.4100000001</v>
      </c>
      <c r="H343" s="834">
        <f t="shared" si="10"/>
        <v>1436413.65</v>
      </c>
      <c r="I343" s="50"/>
    </row>
    <row r="344" spans="2:9" ht="15.75" thickTop="1" x14ac:dyDescent="0.25">
      <c r="D344" s="799"/>
      <c r="H344" s="829"/>
      <c r="I344" s="50"/>
    </row>
    <row r="345" spans="2:9" x14ac:dyDescent="0.25">
      <c r="D345" s="799"/>
      <c r="H345" s="829"/>
      <c r="I345" s="50"/>
    </row>
    <row r="346" spans="2:9" x14ac:dyDescent="0.25">
      <c r="B346" s="48" t="s">
        <v>1478</v>
      </c>
      <c r="D346" s="799"/>
      <c r="H346" s="829"/>
      <c r="I346" s="50"/>
    </row>
    <row r="347" spans="2:9" x14ac:dyDescent="0.25">
      <c r="D347" s="799"/>
      <c r="H347" s="829"/>
      <c r="I347" s="50"/>
    </row>
    <row r="348" spans="2:9" ht="15.75" thickBot="1" x14ac:dyDescent="0.3">
      <c r="B348" s="368" t="s">
        <v>549</v>
      </c>
      <c r="D348" s="800">
        <v>368934.88</v>
      </c>
      <c r="E348" s="797">
        <f>'[3]TRIAL BALANCE '!$I$226</f>
        <v>352083.84</v>
      </c>
      <c r="F348" s="458">
        <f>'TRIAL BALANCE '!I227</f>
        <v>729825.35</v>
      </c>
      <c r="G348" s="510">
        <f>F348-E348</f>
        <v>377741.50999999995</v>
      </c>
      <c r="H348" s="834">
        <f t="shared" si="10"/>
        <v>16851.039999999979</v>
      </c>
      <c r="I348" s="50"/>
    </row>
    <row r="349" spans="2:9" ht="15.75" thickTop="1" x14ac:dyDescent="0.25">
      <c r="D349" s="799"/>
      <c r="H349" s="829"/>
      <c r="I349" s="50"/>
    </row>
    <row r="350" spans="2:9" x14ac:dyDescent="0.25">
      <c r="D350" s="799"/>
      <c r="H350" s="829"/>
      <c r="I350" s="50"/>
    </row>
    <row r="351" spans="2:9" x14ac:dyDescent="0.25">
      <c r="B351" s="48" t="s">
        <v>1479</v>
      </c>
      <c r="D351" s="799"/>
      <c r="H351" s="829"/>
      <c r="I351" s="50"/>
    </row>
    <row r="352" spans="2:9" x14ac:dyDescent="0.25">
      <c r="D352" s="799"/>
      <c r="H352" s="829"/>
      <c r="I352" s="50"/>
    </row>
    <row r="353" spans="2:9" x14ac:dyDescent="0.25">
      <c r="B353" s="368" t="s">
        <v>630</v>
      </c>
      <c r="D353" s="799">
        <v>1341312.54</v>
      </c>
      <c r="E353" s="50">
        <f>'[3]TRIAL BALANCE '!$I$228</f>
        <v>1153277.01</v>
      </c>
      <c r="F353" s="50">
        <f>'TRIAL BALANCE '!I229</f>
        <v>1050428.55</v>
      </c>
      <c r="H353" s="829">
        <f t="shared" si="10"/>
        <v>188035.53000000003</v>
      </c>
      <c r="I353" s="50"/>
    </row>
    <row r="354" spans="2:9" x14ac:dyDescent="0.25">
      <c r="B354" s="368" t="s">
        <v>1025</v>
      </c>
      <c r="D354" s="799">
        <v>48000</v>
      </c>
      <c r="E354" s="50">
        <f>'[3]TRIAL BALANCE '!$I$229</f>
        <v>35294.5</v>
      </c>
      <c r="F354" s="50">
        <f>'TRIAL BALANCE '!I230</f>
        <v>0</v>
      </c>
      <c r="H354" s="829">
        <f t="shared" si="10"/>
        <v>12705.5</v>
      </c>
      <c r="I354" s="50"/>
    </row>
    <row r="355" spans="2:9" x14ac:dyDescent="0.25">
      <c r="B355" s="368" t="s">
        <v>540</v>
      </c>
      <c r="D355" s="799">
        <v>1090011.28</v>
      </c>
      <c r="E355" s="50">
        <f>'[3]TRIAL BALANCE '!$I$230</f>
        <v>1288711.69</v>
      </c>
      <c r="F355" s="50">
        <f>'TRIAL BALANCE '!I231</f>
        <v>1090284.6399999999</v>
      </c>
      <c r="H355" s="829">
        <f t="shared" si="10"/>
        <v>-198700.40999999992</v>
      </c>
      <c r="I355" s="50"/>
    </row>
    <row r="356" spans="2:9" x14ac:dyDescent="0.25">
      <c r="B356" s="368" t="s">
        <v>634</v>
      </c>
      <c r="D356" s="799">
        <v>1864250.93</v>
      </c>
      <c r="E356" s="50">
        <f>'[3]TRIAL BALANCE '!$I$231</f>
        <v>1145944.33</v>
      </c>
      <c r="F356" s="50">
        <f>'TRIAL BALANCE '!I232</f>
        <v>2100659.39</v>
      </c>
      <c r="H356" s="829">
        <f t="shared" si="10"/>
        <v>718306.59999999986</v>
      </c>
      <c r="I356" s="50"/>
    </row>
    <row r="357" spans="2:9" ht="15.75" thickBot="1" x14ac:dyDescent="0.3">
      <c r="D357" s="801">
        <v>4343574.75</v>
      </c>
      <c r="E357" s="798">
        <f>SUM(E353:E356)</f>
        <v>3623227.5300000003</v>
      </c>
      <c r="F357" s="99">
        <f>SUM(F353:F356)</f>
        <v>4241372.58</v>
      </c>
      <c r="G357" s="510">
        <f>F357-E357</f>
        <v>618145.04999999981</v>
      </c>
      <c r="H357" s="834">
        <f t="shared" si="10"/>
        <v>720347.21999999974</v>
      </c>
      <c r="I357" s="50"/>
    </row>
    <row r="358" spans="2:9" ht="15.75" thickTop="1" x14ac:dyDescent="0.25">
      <c r="D358" s="799"/>
      <c r="H358" s="829"/>
      <c r="I358" s="50"/>
    </row>
    <row r="359" spans="2:9" x14ac:dyDescent="0.25">
      <c r="B359" s="496" t="s">
        <v>1067</v>
      </c>
      <c r="D359" s="799"/>
      <c r="H359" s="829"/>
      <c r="I359" s="50"/>
    </row>
    <row r="360" spans="2:9" x14ac:dyDescent="0.25">
      <c r="D360" s="799"/>
      <c r="H360" s="829"/>
      <c r="I360" s="50"/>
    </row>
    <row r="361" spans="2:9" x14ac:dyDescent="0.25">
      <c r="B361" s="368" t="s">
        <v>508</v>
      </c>
      <c r="D361" s="799">
        <v>211701.24</v>
      </c>
      <c r="E361" s="50">
        <f>'[3]TRIAL BALANCE '!$I$233-270</f>
        <v>224792.9</v>
      </c>
      <c r="F361" s="50">
        <f>'TRIAL BALANCE '!I234</f>
        <v>235403.12</v>
      </c>
      <c r="H361" s="829">
        <f t="shared" si="10"/>
        <v>-13091.660000000003</v>
      </c>
      <c r="I361" s="50"/>
    </row>
    <row r="362" spans="2:9" x14ac:dyDescent="0.25">
      <c r="B362" s="368" t="s">
        <v>511</v>
      </c>
      <c r="D362" s="799">
        <v>3700830.64</v>
      </c>
      <c r="E362" s="50">
        <f>'[3]TRIAL BALANCE '!$I$234</f>
        <v>3173618.12</v>
      </c>
      <c r="F362" s="50">
        <f>'TRIAL BALANCE '!I235</f>
        <v>2577589.77</v>
      </c>
      <c r="H362" s="829">
        <f t="shared" si="10"/>
        <v>527212.52</v>
      </c>
      <c r="I362" s="50"/>
    </row>
    <row r="363" spans="2:9" ht="15.75" thickBot="1" x14ac:dyDescent="0.3">
      <c r="D363" s="801">
        <v>3912531.88</v>
      </c>
      <c r="E363" s="798">
        <f>SUM(E361:E362)</f>
        <v>3398411.02</v>
      </c>
      <c r="F363" s="99">
        <f>SUM(F361:F362)</f>
        <v>2812992.89</v>
      </c>
      <c r="G363" s="510">
        <f>F363-E363</f>
        <v>-585418.12999999989</v>
      </c>
      <c r="H363" s="834">
        <f t="shared" si="10"/>
        <v>514120.85999999987</v>
      </c>
      <c r="I363" s="50"/>
    </row>
    <row r="364" spans="2:9" ht="15.75" thickTop="1" x14ac:dyDescent="0.25">
      <c r="D364" s="799"/>
      <c r="H364" s="829"/>
      <c r="I364" s="50"/>
    </row>
    <row r="365" spans="2:9" x14ac:dyDescent="0.25">
      <c r="B365" s="48" t="s">
        <v>1480</v>
      </c>
      <c r="D365" s="799"/>
      <c r="H365" s="829"/>
      <c r="I365" s="50"/>
    </row>
    <row r="366" spans="2:9" x14ac:dyDescent="0.25">
      <c r="D366" s="799"/>
      <c r="H366" s="829"/>
      <c r="I366" s="50"/>
    </row>
    <row r="367" spans="2:9" x14ac:dyDescent="0.25">
      <c r="B367" s="368" t="s">
        <v>621</v>
      </c>
      <c r="D367" s="799">
        <v>39399.17</v>
      </c>
      <c r="E367" s="50">
        <f>'[3]TRIAL BALANCE '!$I$236</f>
        <v>38699.5</v>
      </c>
      <c r="F367" s="50">
        <f>'TRIAL BALANCE '!I237</f>
        <v>30205.93</v>
      </c>
      <c r="H367" s="829">
        <f t="shared" si="10"/>
        <v>699.66999999999825</v>
      </c>
      <c r="I367" s="50"/>
    </row>
    <row r="368" spans="2:9" x14ac:dyDescent="0.25">
      <c r="B368" s="368" t="s">
        <v>617</v>
      </c>
      <c r="D368" s="799">
        <v>678945.24</v>
      </c>
      <c r="E368" s="50">
        <f>'[3]TRIAL BALANCE '!$I$237</f>
        <v>731582.64</v>
      </c>
      <c r="F368" s="50">
        <f>'TRIAL BALANCE '!I238</f>
        <v>556950.65</v>
      </c>
      <c r="H368" s="829">
        <f t="shared" si="10"/>
        <v>-52637.400000000023</v>
      </c>
      <c r="I368" s="50"/>
    </row>
    <row r="369" spans="2:9" x14ac:dyDescent="0.25">
      <c r="B369" s="368" t="s">
        <v>625</v>
      </c>
      <c r="D369" s="799">
        <v>268368.89</v>
      </c>
      <c r="E369" s="50">
        <f>'[3]TRIAL BALANCE '!$I$238</f>
        <v>451536.24</v>
      </c>
      <c r="F369" s="50">
        <f>'TRIAL BALANCE '!I239</f>
        <v>949440.87000000011</v>
      </c>
      <c r="H369" s="829">
        <f t="shared" si="10"/>
        <v>-183167.34999999998</v>
      </c>
      <c r="I369" s="50"/>
    </row>
    <row r="370" spans="2:9" ht="15.75" thickBot="1" x14ac:dyDescent="0.3">
      <c r="D370" s="800">
        <v>986713.3</v>
      </c>
      <c r="E370" s="798">
        <f>SUM(E367:E369)</f>
        <v>1221818.3799999999</v>
      </c>
      <c r="F370" s="99">
        <f>SUM(F367:F369)</f>
        <v>1536597.4500000002</v>
      </c>
      <c r="G370" s="510">
        <f>F370-E370</f>
        <v>314779.0700000003</v>
      </c>
      <c r="H370" s="834">
        <f t="shared" si="10"/>
        <v>-235105.07999999984</v>
      </c>
      <c r="I370" s="50"/>
    </row>
    <row r="371" spans="2:9" ht="15.75" thickTop="1" x14ac:dyDescent="0.25">
      <c r="D371" s="799"/>
      <c r="H371" s="829"/>
      <c r="I371" s="50"/>
    </row>
    <row r="372" spans="2:9" x14ac:dyDescent="0.25">
      <c r="D372" s="799"/>
      <c r="H372" s="829"/>
      <c r="I372" s="50"/>
    </row>
    <row r="373" spans="2:9" x14ac:dyDescent="0.25">
      <c r="B373" s="48" t="s">
        <v>1481</v>
      </c>
      <c r="C373" s="48"/>
      <c r="D373" s="152"/>
      <c r="H373" s="829"/>
      <c r="I373" s="50"/>
    </row>
    <row r="374" spans="2:9" x14ac:dyDescent="0.25">
      <c r="D374" s="799"/>
      <c r="H374" s="829"/>
      <c r="I374" s="50"/>
    </row>
    <row r="375" spans="2:9" ht="25.5" customHeight="1" x14ac:dyDescent="0.25">
      <c r="B375" s="963" t="s">
        <v>1073</v>
      </c>
      <c r="C375" s="963"/>
      <c r="D375" s="807">
        <v>322188.89</v>
      </c>
      <c r="E375" s="50">
        <f>'[3]TRIAL BALANCE '!$I$240</f>
        <v>13858.93</v>
      </c>
      <c r="F375" s="50">
        <f>'TRIAL BALANCE '!I241</f>
        <v>120261.86</v>
      </c>
      <c r="H375" s="829">
        <f t="shared" si="10"/>
        <v>308329.96000000002</v>
      </c>
      <c r="I375" s="50"/>
    </row>
    <row r="376" spans="2:9" x14ac:dyDescent="0.25">
      <c r="B376" s="368" t="s">
        <v>1019</v>
      </c>
      <c r="D376" s="799">
        <v>3196447.11</v>
      </c>
      <c r="E376" s="50">
        <f>'[3]TRIAL BALANCE '!$I$241</f>
        <v>1438507.28</v>
      </c>
      <c r="F376" s="50">
        <f>'TRIAL BALANCE '!I242</f>
        <v>1821577.28</v>
      </c>
      <c r="H376" s="829">
        <f t="shared" si="10"/>
        <v>1757939.8299999998</v>
      </c>
      <c r="I376" s="50"/>
    </row>
    <row r="377" spans="2:9" x14ac:dyDescent="0.25">
      <c r="B377" s="368" t="s">
        <v>1077</v>
      </c>
      <c r="D377" s="799">
        <v>2667219.39</v>
      </c>
      <c r="E377" s="50">
        <f>'[3]TRIAL BALANCE '!$I$242</f>
        <v>574340.31000000006</v>
      </c>
      <c r="F377" s="50">
        <f>'TRIAL BALANCE '!I243:I243</f>
        <v>3789784.56</v>
      </c>
      <c r="H377" s="829">
        <f t="shared" si="10"/>
        <v>2092879.08</v>
      </c>
      <c r="I377" s="50"/>
    </row>
    <row r="378" spans="2:9" x14ac:dyDescent="0.25">
      <c r="B378" s="368" t="s">
        <v>1684</v>
      </c>
      <c r="D378" s="799">
        <v>956730.29</v>
      </c>
      <c r="E378" s="50">
        <f>'[3]TRIAL BALANCE '!$I$243</f>
        <v>582824.56000000006</v>
      </c>
      <c r="F378" s="50">
        <f>'TRIAL BALANCE '!I244</f>
        <v>814291.82</v>
      </c>
      <c r="H378" s="829">
        <f t="shared" si="10"/>
        <v>373905.73</v>
      </c>
      <c r="I378" s="50"/>
    </row>
    <row r="379" spans="2:9" ht="15.75" thickBot="1" x14ac:dyDescent="0.3">
      <c r="D379" s="800">
        <v>7142585.6800000006</v>
      </c>
      <c r="E379" s="798">
        <f>SUM(E375:E378)</f>
        <v>2609531.08</v>
      </c>
      <c r="F379" s="99">
        <f>SUM(F375:F378)</f>
        <v>6545915.5200000005</v>
      </c>
      <c r="G379" s="510">
        <f>F379-E379</f>
        <v>3936384.4400000004</v>
      </c>
      <c r="H379" s="834">
        <f t="shared" si="10"/>
        <v>4533054.6000000006</v>
      </c>
      <c r="I379" s="50"/>
    </row>
    <row r="380" spans="2:9" ht="15.75" thickTop="1" x14ac:dyDescent="0.25">
      <c r="D380" s="799"/>
      <c r="H380" s="829"/>
      <c r="I380" s="50"/>
    </row>
    <row r="381" spans="2:9" x14ac:dyDescent="0.25">
      <c r="B381" s="48" t="s">
        <v>1482</v>
      </c>
      <c r="D381" s="799"/>
      <c r="H381" s="829"/>
      <c r="I381" s="50"/>
    </row>
    <row r="382" spans="2:9" x14ac:dyDescent="0.25">
      <c r="D382" s="799"/>
      <c r="H382" s="829"/>
      <c r="I382" s="50"/>
    </row>
    <row r="383" spans="2:9" x14ac:dyDescent="0.25">
      <c r="B383" s="368" t="s">
        <v>458</v>
      </c>
      <c r="D383" s="799">
        <v>540000</v>
      </c>
      <c r="E383" s="50">
        <f>'[3]TRIAL BALANCE '!$I$245</f>
        <v>540000</v>
      </c>
      <c r="F383" s="50">
        <f>'TRIAL BALANCE '!I246</f>
        <v>450000</v>
      </c>
      <c r="H383" s="829">
        <f t="shared" si="10"/>
        <v>0</v>
      </c>
      <c r="I383" s="50"/>
    </row>
    <row r="384" spans="2:9" x14ac:dyDescent="0.25">
      <c r="B384" s="368" t="s">
        <v>466</v>
      </c>
      <c r="D384" s="799">
        <v>8664789.4800000004</v>
      </c>
      <c r="E384" s="50">
        <f>'[3]TRIAL BALANCE '!$I$246</f>
        <v>8679591.7699999996</v>
      </c>
      <c r="F384" s="50">
        <f>'TRIAL BALANCE '!I247</f>
        <v>6865005.9699999997</v>
      </c>
      <c r="H384" s="829">
        <f t="shared" si="10"/>
        <v>-14802.289999999106</v>
      </c>
      <c r="I384" s="50"/>
    </row>
    <row r="385" spans="2:9" x14ac:dyDescent="0.25">
      <c r="B385" s="368" t="s">
        <v>462</v>
      </c>
      <c r="D385" s="799">
        <v>3499990.29</v>
      </c>
      <c r="E385" s="50">
        <f>'[3]TRIAL BALANCE '!$I$247-200000-66667.57</f>
        <v>4839947.1499999994</v>
      </c>
      <c r="F385" s="50">
        <f>'TRIAL BALANCE '!I248</f>
        <v>4724833.6500000004</v>
      </c>
      <c r="H385" s="829">
        <f t="shared" si="10"/>
        <v>-1339956.8599999994</v>
      </c>
      <c r="I385" s="50"/>
    </row>
    <row r="386" spans="2:9" x14ac:dyDescent="0.25">
      <c r="B386" s="368" t="s">
        <v>469</v>
      </c>
      <c r="D386" s="799">
        <v>0</v>
      </c>
      <c r="E386" s="50">
        <f>'[3]TRIAL BALANCE '!$I$248</f>
        <v>3404.08</v>
      </c>
      <c r="F386" s="50">
        <f>'TRIAL BALANCE '!I249</f>
        <v>0</v>
      </c>
      <c r="H386" s="829">
        <f t="shared" si="10"/>
        <v>-3404.08</v>
      </c>
      <c r="I386" s="50"/>
    </row>
    <row r="387" spans="2:9" ht="15.75" thickBot="1" x14ac:dyDescent="0.3">
      <c r="D387" s="800">
        <v>12704779.77</v>
      </c>
      <c r="E387" s="797">
        <f>SUM(E383:E386)</f>
        <v>14062942.999999998</v>
      </c>
      <c r="F387" s="458">
        <f>SUM(F383:F386)</f>
        <v>12039839.620000001</v>
      </c>
      <c r="G387" s="510">
        <f>F387-E387</f>
        <v>-2023103.3799999971</v>
      </c>
      <c r="H387" s="834">
        <f t="shared" si="10"/>
        <v>-1358163.2299999986</v>
      </c>
      <c r="I387" s="50"/>
    </row>
    <row r="388" spans="2:9" ht="15.75" thickTop="1" x14ac:dyDescent="0.25">
      <c r="D388" s="799"/>
      <c r="E388" s="179">
        <f>E387-14062943</f>
        <v>0</v>
      </c>
      <c r="H388" s="829">
        <f t="shared" si="10"/>
        <v>0</v>
      </c>
      <c r="I388" s="50"/>
    </row>
    <row r="389" spans="2:9" x14ac:dyDescent="0.25">
      <c r="B389" s="48" t="s">
        <v>936</v>
      </c>
      <c r="D389" s="799"/>
      <c r="H389" s="829">
        <f t="shared" si="10"/>
        <v>0</v>
      </c>
      <c r="I389" s="50"/>
    </row>
    <row r="390" spans="2:9" x14ac:dyDescent="0.25">
      <c r="D390" s="799"/>
      <c r="H390" s="829">
        <f t="shared" si="10"/>
        <v>0</v>
      </c>
      <c r="I390" s="50"/>
    </row>
    <row r="391" spans="2:9" x14ac:dyDescent="0.25">
      <c r="B391" s="368" t="s">
        <v>472</v>
      </c>
      <c r="D391" s="799">
        <v>344393.31</v>
      </c>
      <c r="E391" s="50">
        <f>'[3]TRIAL BALANCE '!$I$250</f>
        <v>556831.28</v>
      </c>
      <c r="F391" s="50">
        <f>'TRIAL BALANCE '!I251</f>
        <v>133638.53</v>
      </c>
      <c r="H391" s="829">
        <f t="shared" si="10"/>
        <v>-212437.97000000003</v>
      </c>
      <c r="I391" s="50"/>
    </row>
    <row r="392" spans="2:9" x14ac:dyDescent="0.25">
      <c r="B392" s="368" t="s">
        <v>555</v>
      </c>
      <c r="D392" s="799">
        <v>22507430.710000001</v>
      </c>
      <c r="E392" s="50">
        <f>'[3]TRIAL BALANCE '!$I$251-71499.82</f>
        <v>20307585.5</v>
      </c>
      <c r="F392" s="50">
        <f>'TRIAL BALANCE '!I252</f>
        <v>9601740.2100000009</v>
      </c>
      <c r="H392" s="829">
        <f t="shared" si="10"/>
        <v>2199845.2100000009</v>
      </c>
      <c r="I392" s="50"/>
    </row>
    <row r="393" spans="2:9" x14ac:dyDescent="0.25">
      <c r="B393" s="368" t="s">
        <v>561</v>
      </c>
      <c r="D393" s="799">
        <v>3470969.8</v>
      </c>
      <c r="E393" s="50">
        <f>'[3]TRIAL BALANCE '!$I$252</f>
        <v>2915408.17</v>
      </c>
      <c r="F393" s="50">
        <f>'TRIAL BALANCE '!I253</f>
        <v>2354607.2999999998</v>
      </c>
      <c r="H393" s="829">
        <f t="shared" si="10"/>
        <v>555561.62999999989</v>
      </c>
      <c r="I393" s="50"/>
    </row>
    <row r="394" spans="2:9" x14ac:dyDescent="0.25">
      <c r="B394" s="368" t="s">
        <v>1018</v>
      </c>
      <c r="D394" s="799">
        <v>818439.81</v>
      </c>
      <c r="E394" s="50">
        <f>'[3]TRIAL BALANCE '!$I$253</f>
        <v>803934.94</v>
      </c>
      <c r="F394" s="50">
        <f>'TRIAL BALANCE '!I254</f>
        <v>644617.59</v>
      </c>
      <c r="H394" s="829">
        <f t="shared" si="10"/>
        <v>14504.870000000112</v>
      </c>
      <c r="I394" s="50"/>
    </row>
    <row r="395" spans="2:9" x14ac:dyDescent="0.25">
      <c r="B395" s="368" t="s">
        <v>1072</v>
      </c>
      <c r="D395" s="799">
        <v>12455264.32</v>
      </c>
      <c r="E395" s="50">
        <f>'[3]TRIAL BALANCE '!$I$254</f>
        <v>9256664.1099999994</v>
      </c>
      <c r="F395" s="50">
        <f>'TRIAL BALANCE '!I255</f>
        <v>12516724.699999999</v>
      </c>
      <c r="H395" s="829">
        <f t="shared" si="10"/>
        <v>3198600.2100000009</v>
      </c>
      <c r="I395" s="50"/>
    </row>
    <row r="396" spans="2:9" ht="15.75" thickBot="1" x14ac:dyDescent="0.3">
      <c r="D396" s="800">
        <v>39596497.950000003</v>
      </c>
      <c r="E396" s="99">
        <f>SUM(E391:E395)</f>
        <v>33840424</v>
      </c>
      <c r="F396" s="99">
        <f>SUM(F391:F395)</f>
        <v>25251328.329999998</v>
      </c>
      <c r="G396" s="510">
        <f>F396-E396</f>
        <v>-8589095.6700000018</v>
      </c>
      <c r="H396" s="834">
        <f t="shared" si="10"/>
        <v>5756073.950000003</v>
      </c>
      <c r="I396" s="50"/>
    </row>
    <row r="397" spans="2:9" ht="15.75" thickTop="1" x14ac:dyDescent="0.25">
      <c r="D397" s="799"/>
      <c r="E397" s="179">
        <f>E396-33840424</f>
        <v>0</v>
      </c>
      <c r="H397" s="829">
        <f t="shared" si="10"/>
        <v>0</v>
      </c>
      <c r="I397" s="50"/>
    </row>
    <row r="398" spans="2:9" x14ac:dyDescent="0.25">
      <c r="D398" s="799"/>
      <c r="H398" s="829">
        <f t="shared" si="10"/>
        <v>0</v>
      </c>
      <c r="I398" s="50"/>
    </row>
    <row r="399" spans="2:9" x14ac:dyDescent="0.25">
      <c r="B399" s="48" t="s">
        <v>670</v>
      </c>
      <c r="C399" s="48"/>
      <c r="D399" s="152"/>
      <c r="H399" s="829">
        <f t="shared" ref="H399:H461" si="11">D399-E399</f>
        <v>0</v>
      </c>
      <c r="I399" s="50"/>
    </row>
    <row r="400" spans="2:9" x14ac:dyDescent="0.25">
      <c r="D400" s="799"/>
      <c r="H400" s="829">
        <f t="shared" si="11"/>
        <v>0</v>
      </c>
      <c r="I400" s="50"/>
    </row>
    <row r="401" spans="2:9" x14ac:dyDescent="0.25">
      <c r="B401" s="368" t="s">
        <v>525</v>
      </c>
      <c r="D401" s="799">
        <v>2929533.73</v>
      </c>
      <c r="E401" s="50">
        <f>'[3]TRIAL BALANCE '!$I$256+34231</f>
        <v>2984387.87</v>
      </c>
      <c r="F401" s="50">
        <f>'TRIAL BALANCE '!I257</f>
        <v>1896582.46</v>
      </c>
      <c r="H401" s="829">
        <f t="shared" si="11"/>
        <v>-54854.14000000013</v>
      </c>
      <c r="I401" s="50"/>
    </row>
    <row r="402" spans="2:9" x14ac:dyDescent="0.25">
      <c r="B402" s="368" t="s">
        <v>516</v>
      </c>
      <c r="D402" s="799">
        <v>55745.83</v>
      </c>
      <c r="E402" s="50">
        <f>'[3]TRIAL BALANCE '!$I$257</f>
        <v>77339.02</v>
      </c>
      <c r="F402" s="50">
        <f>'TRIAL BALANCE '!I258</f>
        <v>100559.38</v>
      </c>
      <c r="H402" s="829">
        <f t="shared" si="11"/>
        <v>-21593.190000000002</v>
      </c>
      <c r="I402" s="50"/>
    </row>
    <row r="403" spans="2:9" x14ac:dyDescent="0.25">
      <c r="B403" s="368" t="s">
        <v>1015</v>
      </c>
      <c r="D403" s="799">
        <v>572502.44999999995</v>
      </c>
      <c r="E403" s="50">
        <f>'[3]TRIAL BALANCE '!$I$258</f>
        <v>28285.71</v>
      </c>
      <c r="F403" s="50">
        <f>'TRIAL BALANCE '!I259</f>
        <v>253554.1</v>
      </c>
      <c r="H403" s="829">
        <f t="shared" si="11"/>
        <v>544216.74</v>
      </c>
      <c r="I403" s="50"/>
    </row>
    <row r="404" spans="2:9" x14ac:dyDescent="0.25">
      <c r="B404" s="368" t="s">
        <v>1016</v>
      </c>
      <c r="D404" s="799">
        <v>144291.23000000001</v>
      </c>
      <c r="E404" s="50">
        <f>'[3]TRIAL BALANCE '!$I$259</f>
        <v>183601.81</v>
      </c>
      <c r="F404" s="50">
        <f>'TRIAL BALANCE '!I260:I260</f>
        <v>86180.33</v>
      </c>
      <c r="H404" s="829">
        <f t="shared" si="11"/>
        <v>-39310.579999999987</v>
      </c>
      <c r="I404" s="50"/>
    </row>
    <row r="405" spans="2:9" x14ac:dyDescent="0.25">
      <c r="B405" s="368" t="s">
        <v>1016</v>
      </c>
      <c r="D405" s="799">
        <v>405102.22000000003</v>
      </c>
      <c r="E405" s="50">
        <f>'[3]TRIAL BALANCE '!$I$260</f>
        <v>549680.32999999996</v>
      </c>
      <c r="F405" s="50">
        <f>'TRIAL BALANCE '!I261</f>
        <v>329113.61</v>
      </c>
      <c r="H405" s="829">
        <f t="shared" si="11"/>
        <v>-144578.10999999993</v>
      </c>
      <c r="I405" s="50"/>
    </row>
    <row r="406" spans="2:9" x14ac:dyDescent="0.25">
      <c r="B406" s="368" t="s">
        <v>520</v>
      </c>
      <c r="D406" s="799">
        <v>0</v>
      </c>
      <c r="E406" s="50">
        <f>'[3]TRIAL BALANCE '!$I$261</f>
        <v>28600</v>
      </c>
      <c r="F406" s="50">
        <f>'TRIAL BALANCE '!I262</f>
        <v>56217.2</v>
      </c>
      <c r="H406" s="829">
        <f t="shared" si="11"/>
        <v>-28600</v>
      </c>
      <c r="I406" s="50"/>
    </row>
    <row r="407" spans="2:9" x14ac:dyDescent="0.25">
      <c r="B407" s="368" t="s">
        <v>524</v>
      </c>
      <c r="D407" s="799">
        <v>1084321.31</v>
      </c>
      <c r="E407" s="50">
        <f>'[3]TRIAL BALANCE '!$I$262</f>
        <v>765614.68</v>
      </c>
      <c r="F407" s="50">
        <f>'TRIAL BALANCE '!I263</f>
        <v>900896.93</v>
      </c>
      <c r="H407" s="829">
        <f t="shared" si="11"/>
        <v>318706.63</v>
      </c>
      <c r="I407" s="50"/>
    </row>
    <row r="408" spans="2:9" ht="15.75" thickBot="1" x14ac:dyDescent="0.3">
      <c r="D408" s="800">
        <v>5191496.7699999996</v>
      </c>
      <c r="E408" s="797">
        <f>SUM(E401:E407)</f>
        <v>4617509.42</v>
      </c>
      <c r="F408" s="458">
        <f>SUM(F401:F407)</f>
        <v>3623104.0100000002</v>
      </c>
      <c r="G408" s="510">
        <f>F408-E408</f>
        <v>-994405.40999999968</v>
      </c>
      <c r="H408" s="834">
        <f t="shared" si="11"/>
        <v>573987.34999999963</v>
      </c>
      <c r="I408" s="50"/>
    </row>
    <row r="409" spans="2:9" ht="15.75" thickTop="1" x14ac:dyDescent="0.25">
      <c r="D409" s="799"/>
      <c r="H409" s="829">
        <f t="shared" si="11"/>
        <v>0</v>
      </c>
      <c r="I409" s="50"/>
    </row>
    <row r="410" spans="2:9" x14ac:dyDescent="0.25">
      <c r="D410" s="799"/>
      <c r="H410" s="829">
        <f t="shared" si="11"/>
        <v>0</v>
      </c>
      <c r="I410" s="50"/>
    </row>
    <row r="411" spans="2:9" x14ac:dyDescent="0.25">
      <c r="B411" s="48" t="s">
        <v>1483</v>
      </c>
      <c r="C411" s="48"/>
      <c r="D411" s="152"/>
      <c r="H411" s="829">
        <f t="shared" si="11"/>
        <v>0</v>
      </c>
      <c r="I411" s="50"/>
    </row>
    <row r="412" spans="2:9" x14ac:dyDescent="0.25">
      <c r="D412" s="799"/>
      <c r="H412" s="829">
        <f t="shared" si="11"/>
        <v>0</v>
      </c>
      <c r="I412" s="50"/>
    </row>
    <row r="413" spans="2:9" x14ac:dyDescent="0.25">
      <c r="B413" s="368" t="s">
        <v>1024</v>
      </c>
      <c r="D413" s="799">
        <v>0.12</v>
      </c>
      <c r="E413" s="50">
        <f>'[3]TRIAL BALANCE '!$I$264</f>
        <v>1045.6600000000001</v>
      </c>
      <c r="F413" s="50">
        <f>'TRIAL BALANCE '!I265</f>
        <v>0</v>
      </c>
      <c r="H413" s="829">
        <f t="shared" si="11"/>
        <v>-1045.5400000000002</v>
      </c>
      <c r="I413" s="50"/>
    </row>
    <row r="414" spans="2:9" x14ac:dyDescent="0.25">
      <c r="B414" s="368" t="s">
        <v>664</v>
      </c>
      <c r="D414" s="799">
        <v>2938.01</v>
      </c>
      <c r="E414" s="50">
        <f>'[3]TRIAL BALANCE '!$I$267</f>
        <v>1570.75</v>
      </c>
      <c r="F414" s="50">
        <f>'TRIAL BALANCE '!I268</f>
        <v>1641.19</v>
      </c>
      <c r="H414" s="829">
        <f t="shared" si="11"/>
        <v>1367.2600000000002</v>
      </c>
      <c r="I414" s="50"/>
    </row>
    <row r="415" spans="2:9" x14ac:dyDescent="0.25">
      <c r="B415" s="368" t="s">
        <v>667</v>
      </c>
      <c r="D415" s="799">
        <v>27494165.420000002</v>
      </c>
      <c r="E415" s="50">
        <f>'[3]TRIAL BALANCE '!$I$268</f>
        <v>14236590.359999999</v>
      </c>
      <c r="F415" s="50">
        <f>'TRIAL BALANCE '!I269</f>
        <v>24589944</v>
      </c>
      <c r="H415" s="829">
        <f t="shared" si="11"/>
        <v>13257575.060000002</v>
      </c>
      <c r="I415" s="50"/>
    </row>
    <row r="416" spans="2:9" x14ac:dyDescent="0.25">
      <c r="B416" s="368" t="s">
        <v>1021</v>
      </c>
      <c r="D416" s="799">
        <v>35371807.020000003</v>
      </c>
      <c r="E416" s="50">
        <f>'[3]TRIAL BALANCE '!$I$269:$I$269</f>
        <v>34614107</v>
      </c>
      <c r="F416" s="50">
        <f>'TRIAL BALANCE '!I270</f>
        <v>32151089</v>
      </c>
      <c r="H416" s="829">
        <f t="shared" si="11"/>
        <v>757700.02000000328</v>
      </c>
      <c r="I416" s="50"/>
    </row>
    <row r="417" spans="2:9" x14ac:dyDescent="0.25">
      <c r="B417" s="368" t="s">
        <v>1022</v>
      </c>
      <c r="D417" s="799">
        <v>24376.07</v>
      </c>
      <c r="E417" s="50">
        <f>'[3]TRIAL BALANCE '!$I$270</f>
        <v>27575.96</v>
      </c>
      <c r="F417" s="50">
        <f>'TRIAL BALANCE '!I271</f>
        <v>32878.339999999997</v>
      </c>
      <c r="H417" s="829">
        <f t="shared" si="11"/>
        <v>-3199.8899999999994</v>
      </c>
      <c r="I417" s="50"/>
    </row>
    <row r="418" spans="2:9" x14ac:dyDescent="0.25">
      <c r="B418" s="368" t="s">
        <v>1023</v>
      </c>
      <c r="D418" s="799">
        <v>1754867.63</v>
      </c>
      <c r="E418" s="50">
        <f>'[3]TRIAL BALANCE '!$I$271</f>
        <v>1528743.41</v>
      </c>
      <c r="F418" s="50">
        <f>'TRIAL BALANCE '!I272</f>
        <v>1879232.23</v>
      </c>
      <c r="H418" s="829">
        <f t="shared" si="11"/>
        <v>226124.21999999997</v>
      </c>
      <c r="I418" s="50"/>
    </row>
    <row r="419" spans="2:9" x14ac:dyDescent="0.25">
      <c r="B419" s="368" t="s">
        <v>581</v>
      </c>
      <c r="D419" s="799">
        <v>478880.81</v>
      </c>
      <c r="E419" s="50">
        <f>'[3]TRIAL BALANCE '!$I$272</f>
        <v>448887.5</v>
      </c>
      <c r="F419" s="50">
        <f>'TRIAL BALANCE '!I273</f>
        <v>342237.5</v>
      </c>
      <c r="H419" s="829">
        <f t="shared" si="11"/>
        <v>29993.309999999998</v>
      </c>
      <c r="I419" s="50"/>
    </row>
    <row r="420" spans="2:9" x14ac:dyDescent="0.25">
      <c r="B420" s="368" t="s">
        <v>1017</v>
      </c>
      <c r="D420" s="799">
        <v>1713271.71</v>
      </c>
      <c r="E420" s="50">
        <f>'[3]TRIAL BALANCE '!$I$273</f>
        <v>898043.07</v>
      </c>
      <c r="F420" s="50">
        <f>'TRIAL BALANCE '!I274</f>
        <v>1189585.94</v>
      </c>
      <c r="H420" s="829">
        <f t="shared" si="11"/>
        <v>815228.64</v>
      </c>
      <c r="I420" s="50"/>
    </row>
    <row r="421" spans="2:9" x14ac:dyDescent="0.25">
      <c r="B421" s="368" t="s">
        <v>567</v>
      </c>
      <c r="D421" s="799">
        <v>0</v>
      </c>
      <c r="E421" s="50"/>
      <c r="F421" s="50">
        <v>0</v>
      </c>
      <c r="H421" s="829">
        <f t="shared" si="11"/>
        <v>0</v>
      </c>
      <c r="I421" s="50"/>
    </row>
    <row r="422" spans="2:9" ht="15.75" thickBot="1" x14ac:dyDescent="0.3">
      <c r="D422" s="800">
        <v>66840306.790000014</v>
      </c>
      <c r="E422" s="811">
        <f>SUM(E413:E421)+72625</f>
        <v>51829188.709999993</v>
      </c>
      <c r="F422" s="808">
        <f>SUM(F413:F421)</f>
        <v>60186608.199999996</v>
      </c>
      <c r="G422" s="510">
        <f>F422-E422</f>
        <v>8357419.4900000021</v>
      </c>
      <c r="H422" s="834">
        <f t="shared" si="11"/>
        <v>15011118.080000021</v>
      </c>
      <c r="I422" s="50" t="s">
        <v>1513</v>
      </c>
    </row>
    <row r="423" spans="2:9" ht="15.75" thickTop="1" x14ac:dyDescent="0.25">
      <c r="D423" s="799"/>
      <c r="H423" s="829">
        <f t="shared" si="11"/>
        <v>0</v>
      </c>
      <c r="I423" s="50"/>
    </row>
    <row r="424" spans="2:9" x14ac:dyDescent="0.25">
      <c r="D424" s="799"/>
      <c r="H424" s="829">
        <f t="shared" si="11"/>
        <v>0</v>
      </c>
      <c r="I424" s="50"/>
    </row>
    <row r="425" spans="2:9" x14ac:dyDescent="0.25">
      <c r="D425" s="799"/>
      <c r="H425" s="829">
        <f t="shared" si="11"/>
        <v>0</v>
      </c>
      <c r="I425" s="50"/>
    </row>
    <row r="426" spans="2:9" x14ac:dyDescent="0.25">
      <c r="B426" s="48" t="s">
        <v>1485</v>
      </c>
      <c r="D426" s="799"/>
      <c r="H426" s="829">
        <f t="shared" si="11"/>
        <v>0</v>
      </c>
      <c r="I426" s="50"/>
    </row>
    <row r="427" spans="2:9" x14ac:dyDescent="0.25">
      <c r="D427" s="799"/>
      <c r="H427" s="829">
        <f t="shared" si="11"/>
        <v>0</v>
      </c>
      <c r="I427" s="50"/>
    </row>
    <row r="428" spans="2:9" x14ac:dyDescent="0.25">
      <c r="B428" s="368" t="s">
        <v>572</v>
      </c>
      <c r="D428" s="799">
        <v>444918.22</v>
      </c>
      <c r="E428" s="50">
        <f>'[3]TRIAL BALANCE '!$I$277</f>
        <v>27932.39</v>
      </c>
      <c r="F428" s="50">
        <f>'TRIAL BALANCE '!I278</f>
        <v>37024.959999999999</v>
      </c>
      <c r="H428" s="829">
        <f t="shared" si="11"/>
        <v>416985.82999999996</v>
      </c>
      <c r="I428" s="50"/>
    </row>
    <row r="429" spans="2:9" x14ac:dyDescent="0.25">
      <c r="B429" s="368" t="s">
        <v>573</v>
      </c>
      <c r="D429" s="799">
        <v>0</v>
      </c>
      <c r="E429" s="50">
        <f>'[3]TRIAL BALANCE '!$I$278</f>
        <v>0</v>
      </c>
      <c r="F429" s="50">
        <f>'TRIAL BALANCE '!I279</f>
        <v>0</v>
      </c>
      <c r="H429" s="829">
        <f t="shared" si="11"/>
        <v>0</v>
      </c>
      <c r="I429" s="50"/>
    </row>
    <row r="430" spans="2:9" x14ac:dyDescent="0.25">
      <c r="B430" s="368" t="s">
        <v>596</v>
      </c>
      <c r="D430" s="799">
        <v>7599.04</v>
      </c>
      <c r="E430" s="50">
        <f>'[3]TRIAL BALANCE '!$I$279</f>
        <v>3869.93</v>
      </c>
      <c r="F430" s="50">
        <f>'TRIAL BALANCE '!I280:I280</f>
        <v>10557.2</v>
      </c>
      <c r="H430" s="829">
        <f t="shared" si="11"/>
        <v>3729.11</v>
      </c>
      <c r="I430" s="50"/>
    </row>
    <row r="431" spans="2:9" x14ac:dyDescent="0.25">
      <c r="B431" s="368" t="s">
        <v>1013</v>
      </c>
      <c r="D431" s="799">
        <v>485364.7</v>
      </c>
      <c r="E431" s="50">
        <f>'[3]TRIAL BALANCE '!$I$280</f>
        <v>350458.53</v>
      </c>
      <c r="F431" s="50">
        <f>'TRIAL BALANCE '!I281</f>
        <v>231620.42</v>
      </c>
      <c r="H431" s="829">
        <f t="shared" si="11"/>
        <v>134906.16999999998</v>
      </c>
      <c r="I431" s="50"/>
    </row>
    <row r="432" spans="2:9" x14ac:dyDescent="0.25">
      <c r="B432" s="368" t="s">
        <v>1014</v>
      </c>
      <c r="D432" s="799">
        <v>1411271.79</v>
      </c>
      <c r="E432" s="50">
        <f>'[3]TRIAL BALANCE '!$I$281</f>
        <v>1132513.02</v>
      </c>
      <c r="F432" s="50">
        <f>'TRIAL BALANCE '!I282</f>
        <v>1242485.98</v>
      </c>
      <c r="H432" s="829">
        <f t="shared" si="11"/>
        <v>278758.77</v>
      </c>
      <c r="I432" s="50"/>
    </row>
    <row r="433" spans="2:9" x14ac:dyDescent="0.25">
      <c r="B433" s="368" t="s">
        <v>553</v>
      </c>
      <c r="D433" s="799">
        <v>1105506.32</v>
      </c>
      <c r="E433" s="50">
        <f>'[3]TRIAL BALANCE '!$I$282+7737</f>
        <v>714777.07</v>
      </c>
      <c r="F433" s="50">
        <f>'TRIAL BALANCE '!I283</f>
        <v>487276.27</v>
      </c>
      <c r="H433" s="829">
        <f t="shared" si="11"/>
        <v>390729.25000000012</v>
      </c>
      <c r="I433" s="50"/>
    </row>
    <row r="434" spans="2:9" x14ac:dyDescent="0.25">
      <c r="B434" s="368" t="s">
        <v>577</v>
      </c>
      <c r="D434" s="799">
        <v>90974.43</v>
      </c>
      <c r="E434" s="50">
        <f>'[3]TRIAL BALANCE '!$I$283</f>
        <v>41886</v>
      </c>
      <c r="F434" s="50">
        <f>'TRIAL BALANCE '!I284</f>
        <v>80274.100000000006</v>
      </c>
      <c r="H434" s="829">
        <f t="shared" si="11"/>
        <v>49088.429999999993</v>
      </c>
      <c r="I434" s="50"/>
    </row>
    <row r="435" spans="2:9" x14ac:dyDescent="0.25">
      <c r="B435" s="368" t="s">
        <v>953</v>
      </c>
      <c r="D435" s="799">
        <v>0</v>
      </c>
      <c r="E435" s="50">
        <f>'[3]TRIAL BALANCE '!$I$284</f>
        <v>0</v>
      </c>
      <c r="F435" s="50">
        <f>'TRIAL BALANCE '!I285</f>
        <v>0</v>
      </c>
      <c r="H435" s="829">
        <f t="shared" si="11"/>
        <v>0</v>
      </c>
      <c r="I435" s="50"/>
    </row>
    <row r="436" spans="2:9" x14ac:dyDescent="0.25">
      <c r="B436" s="368" t="s">
        <v>609</v>
      </c>
      <c r="D436" s="799">
        <v>271021.5</v>
      </c>
      <c r="E436" s="50">
        <f>'[3]TRIAL BALANCE '!$I$285</f>
        <v>198919</v>
      </c>
      <c r="F436" s="50">
        <f>'TRIAL BALANCE '!I286</f>
        <v>250289</v>
      </c>
      <c r="H436" s="829">
        <f t="shared" si="11"/>
        <v>72102.5</v>
      </c>
      <c r="I436" s="50"/>
    </row>
    <row r="437" spans="2:9" x14ac:dyDescent="0.25">
      <c r="B437" s="368" t="s">
        <v>653</v>
      </c>
      <c r="D437" s="799">
        <v>0</v>
      </c>
      <c r="E437" s="50">
        <f>'[3]TRIAL BALANCE '!$I$286</f>
        <v>0</v>
      </c>
      <c r="F437" s="50">
        <f>'TRIAL BALANCE '!I287</f>
        <v>0</v>
      </c>
      <c r="H437" s="829">
        <f t="shared" si="11"/>
        <v>0</v>
      </c>
      <c r="I437" s="50"/>
    </row>
    <row r="438" spans="2:9" x14ac:dyDescent="0.25">
      <c r="B438" s="368" t="s">
        <v>650</v>
      </c>
      <c r="D438" s="799">
        <v>1023943.51</v>
      </c>
      <c r="E438" s="50">
        <f>'[3]TRIAL BALANCE '!$I$287+2411</f>
        <v>899682.26</v>
      </c>
      <c r="F438" s="50">
        <f>'TRIAL BALANCE '!I288</f>
        <v>265021.96000000002</v>
      </c>
      <c r="H438" s="829">
        <f t="shared" si="11"/>
        <v>124261.25</v>
      </c>
      <c r="I438" s="50"/>
    </row>
    <row r="439" spans="2:9" x14ac:dyDescent="0.25">
      <c r="B439" s="368" t="s">
        <v>1685</v>
      </c>
      <c r="D439" s="799"/>
      <c r="E439" s="50">
        <v>11788476.800000001</v>
      </c>
      <c r="F439" s="50"/>
      <c r="H439" s="829">
        <f t="shared" si="11"/>
        <v>-11788476.800000001</v>
      </c>
      <c r="I439" s="50"/>
    </row>
    <row r="440" spans="2:9" ht="15.75" thickBot="1" x14ac:dyDescent="0.3">
      <c r="D440" s="800">
        <v>4840599.5100000007</v>
      </c>
      <c r="E440" s="491">
        <f>SUM(E428:E439)</f>
        <v>15158515</v>
      </c>
      <c r="F440" s="458">
        <f>SUM(F428:F438)</f>
        <v>2604549.89</v>
      </c>
      <c r="G440" s="516">
        <f>F440-E440</f>
        <v>-12553965.109999999</v>
      </c>
      <c r="H440" s="834">
        <f t="shared" si="11"/>
        <v>-10317915.489999998</v>
      </c>
      <c r="I440" s="179"/>
    </row>
    <row r="441" spans="2:9" ht="15.75" thickTop="1" x14ac:dyDescent="0.25">
      <c r="D441" s="799"/>
      <c r="H441" s="829">
        <f t="shared" si="11"/>
        <v>0</v>
      </c>
      <c r="I441" s="50"/>
    </row>
    <row r="442" spans="2:9" ht="15.75" customHeight="1" thickBot="1" x14ac:dyDescent="0.3">
      <c r="B442" s="840" t="s">
        <v>1517</v>
      </c>
      <c r="D442" s="801">
        <v>148109428.56</v>
      </c>
      <c r="E442" s="490">
        <f>E440+E422+E408+E396+E387+E379+E370+E357+E348+E343+E363</f>
        <v>131458645.60999998</v>
      </c>
      <c r="F442" s="490">
        <f>F440+F422+F408+F396+F387+F379+F370+F357+F348+F343+F363</f>
        <v>122120048.88</v>
      </c>
      <c r="G442" s="510">
        <f>F442-E442</f>
        <v>-9338596.7299999893</v>
      </c>
      <c r="H442" s="837">
        <f t="shared" si="11"/>
        <v>16650782.950000018</v>
      </c>
      <c r="I442" s="496"/>
    </row>
    <row r="443" spans="2:9" ht="15.75" thickTop="1" x14ac:dyDescent="0.25">
      <c r="D443" s="799"/>
      <c r="E443" s="412">
        <f>E440-15158515</f>
        <v>0</v>
      </c>
      <c r="F443" s="412"/>
      <c r="H443" s="829"/>
      <c r="I443" s="496"/>
    </row>
    <row r="444" spans="2:9" ht="15" customHeight="1" x14ac:dyDescent="0.25">
      <c r="B444" s="838" t="s">
        <v>1102</v>
      </c>
      <c r="C444" s="498"/>
      <c r="D444" s="812"/>
      <c r="E444" s="813"/>
      <c r="F444" s="813"/>
      <c r="H444" s="829"/>
      <c r="I444" s="50"/>
    </row>
    <row r="445" spans="2:9" x14ac:dyDescent="0.25">
      <c r="D445" s="799"/>
      <c r="H445" s="829"/>
      <c r="I445" s="50"/>
    </row>
    <row r="446" spans="2:9" x14ac:dyDescent="0.25">
      <c r="B446" s="368" t="s">
        <v>1512</v>
      </c>
      <c r="D446" s="799">
        <v>3754705.8</v>
      </c>
      <c r="E446" s="50">
        <f>'[3]TRIAL BALANCE '!$I$289</f>
        <v>3754705.8</v>
      </c>
      <c r="F446" s="50">
        <f>'TRIAL BALANCE '!I290</f>
        <v>0</v>
      </c>
      <c r="H446" s="829">
        <f t="shared" si="11"/>
        <v>0</v>
      </c>
      <c r="I446" s="50"/>
    </row>
    <row r="447" spans="2:9" x14ac:dyDescent="0.25">
      <c r="B447" s="368" t="s">
        <v>394</v>
      </c>
      <c r="D447" s="799">
        <v>171119.7</v>
      </c>
      <c r="E447" s="50">
        <f>'[3]TRIAL BALANCE '!$I$290</f>
        <v>177063.1</v>
      </c>
      <c r="F447" s="50">
        <f>'TRIAL BALANCE '!I291:I291</f>
        <v>86046.81</v>
      </c>
      <c r="H447" s="829">
        <f t="shared" si="11"/>
        <v>-5943.3999999999942</v>
      </c>
      <c r="I447" s="50"/>
    </row>
    <row r="448" spans="2:9" ht="15.75" thickBot="1" x14ac:dyDescent="0.3">
      <c r="D448" s="800">
        <v>3925825.5</v>
      </c>
      <c r="E448" s="99">
        <f>SUM(E446:E447)</f>
        <v>3931768.9</v>
      </c>
      <c r="F448" s="99">
        <f>SUM(F446:F447)</f>
        <v>86046.81</v>
      </c>
      <c r="G448" s="510">
        <f>F448-E448</f>
        <v>-3845722.09</v>
      </c>
      <c r="H448" s="829">
        <f t="shared" si="11"/>
        <v>-5943.3999999999069</v>
      </c>
      <c r="I448" s="496"/>
    </row>
    <row r="449" spans="2:9" ht="15.75" thickTop="1" x14ac:dyDescent="0.25">
      <c r="D449" s="799"/>
      <c r="H449" s="829"/>
      <c r="I449" s="50"/>
    </row>
    <row r="450" spans="2:9" x14ac:dyDescent="0.25">
      <c r="D450" s="799"/>
      <c r="H450" s="829"/>
      <c r="I450" s="50"/>
    </row>
    <row r="451" spans="2:9" ht="15" customHeight="1" x14ac:dyDescent="0.25">
      <c r="B451" s="964" t="s">
        <v>1101</v>
      </c>
      <c r="C451" s="964"/>
      <c r="D451" s="812"/>
      <c r="E451" s="813"/>
      <c r="F451" s="813"/>
      <c r="H451" s="829"/>
      <c r="I451" s="50"/>
    </row>
    <row r="452" spans="2:9" x14ac:dyDescent="0.25">
      <c r="D452" s="799"/>
      <c r="H452" s="829"/>
      <c r="I452" s="50"/>
    </row>
    <row r="453" spans="2:9" x14ac:dyDescent="0.25">
      <c r="B453" s="496" t="s">
        <v>939</v>
      </c>
      <c r="D453" s="799"/>
      <c r="H453" s="829"/>
      <c r="I453" s="50"/>
    </row>
    <row r="454" spans="2:9" x14ac:dyDescent="0.25">
      <c r="D454" s="799"/>
      <c r="H454" s="829"/>
      <c r="I454" s="50"/>
    </row>
    <row r="455" spans="2:9" x14ac:dyDescent="0.25">
      <c r="B455" s="368" t="s">
        <v>493</v>
      </c>
      <c r="D455" s="799">
        <v>266891.90000000002</v>
      </c>
      <c r="E455" s="50">
        <f>'[3]TRIAL BALANCE '!$I$293</f>
        <v>291154.8</v>
      </c>
      <c r="F455" s="50">
        <f>'TRIAL BALANCE '!I294</f>
        <v>235796.12</v>
      </c>
      <c r="H455" s="829">
        <f t="shared" si="11"/>
        <v>-24262.899999999965</v>
      </c>
      <c r="I455" s="50"/>
    </row>
    <row r="456" spans="2:9" x14ac:dyDescent="0.25">
      <c r="B456" s="368" t="s">
        <v>497</v>
      </c>
      <c r="D456" s="799">
        <v>62214.84</v>
      </c>
      <c r="E456" s="50">
        <f>'[3]TRIAL BALANCE '!$I$294</f>
        <v>62214.84</v>
      </c>
      <c r="F456" s="50">
        <f>'TRIAL BALANCE '!I295</f>
        <v>51845.7</v>
      </c>
      <c r="H456" s="829">
        <f t="shared" si="11"/>
        <v>0</v>
      </c>
      <c r="I456" s="50"/>
    </row>
    <row r="457" spans="2:9" x14ac:dyDescent="0.25">
      <c r="B457" s="368" t="s">
        <v>485</v>
      </c>
      <c r="D457" s="799">
        <v>883638.53</v>
      </c>
      <c r="E457" s="50">
        <f>'[3]TRIAL BALANCE '!$I$295</f>
        <v>1276981.0799999998</v>
      </c>
      <c r="F457" s="50">
        <f>'TRIAL BALANCE '!I296</f>
        <v>344024.98</v>
      </c>
      <c r="H457" s="829">
        <f t="shared" si="11"/>
        <v>-393342.54999999981</v>
      </c>
      <c r="I457" s="50"/>
    </row>
    <row r="458" spans="2:9" x14ac:dyDescent="0.25">
      <c r="B458" s="368" t="s">
        <v>489</v>
      </c>
      <c r="D458" s="799">
        <v>924033.33</v>
      </c>
      <c r="E458" s="50">
        <f>'[3]TRIAL BALANCE '!$I$296</f>
        <v>784490.65</v>
      </c>
      <c r="F458" s="50">
        <f>'TRIAL BALANCE '!I297:I297</f>
        <v>1631659.39</v>
      </c>
      <c r="H458" s="829">
        <f t="shared" si="11"/>
        <v>139542.67999999993</v>
      </c>
      <c r="I458" s="50"/>
    </row>
    <row r="459" spans="2:9" x14ac:dyDescent="0.25">
      <c r="B459" s="368" t="s">
        <v>481</v>
      </c>
      <c r="D459" s="799">
        <v>96495.24</v>
      </c>
      <c r="E459" s="50">
        <f>'[3]TRIAL BALANCE '!$I$297</f>
        <v>102040.09</v>
      </c>
      <c r="F459" s="50">
        <f>'TRIAL BALANCE '!I298</f>
        <v>80412.7</v>
      </c>
      <c r="H459" s="829">
        <f t="shared" si="11"/>
        <v>-5544.8499999999913</v>
      </c>
      <c r="I459" s="50"/>
    </row>
    <row r="460" spans="2:9" x14ac:dyDescent="0.25">
      <c r="B460" s="368" t="s">
        <v>477</v>
      </c>
      <c r="D460" s="799">
        <v>2538100</v>
      </c>
      <c r="E460" s="50">
        <f>'[3]TRIAL BALANCE '!$I$298</f>
        <v>1517583.37</v>
      </c>
      <c r="F460" s="50">
        <f>'TRIAL BALANCE '!I299</f>
        <v>2781763.6</v>
      </c>
      <c r="H460" s="829">
        <f t="shared" si="11"/>
        <v>1020516.6299999999</v>
      </c>
      <c r="I460" s="50"/>
    </row>
    <row r="461" spans="2:9" ht="15.75" thickBot="1" x14ac:dyDescent="0.3">
      <c r="D461" s="801">
        <v>4771373.84</v>
      </c>
      <c r="E461" s="99">
        <f>SUM(E455:E460)</f>
        <v>4034464.8299999996</v>
      </c>
      <c r="F461" s="99">
        <f>SUM(F455:F460)</f>
        <v>5125502.49</v>
      </c>
      <c r="G461" s="510">
        <f>F461-E461</f>
        <v>1091037.6600000006</v>
      </c>
      <c r="H461" s="834">
        <f t="shared" si="11"/>
        <v>736909.01000000024</v>
      </c>
      <c r="I461" s="50"/>
    </row>
    <row r="462" spans="2:9" ht="15.75" thickTop="1" x14ac:dyDescent="0.25">
      <c r="D462" s="799"/>
      <c r="H462" s="829"/>
      <c r="I462" s="50"/>
    </row>
    <row r="463" spans="2:9" x14ac:dyDescent="0.25">
      <c r="D463" s="799"/>
      <c r="H463" s="829"/>
      <c r="I463" s="50"/>
    </row>
    <row r="464" spans="2:9" x14ac:dyDescent="0.25">
      <c r="B464" s="48" t="s">
        <v>937</v>
      </c>
      <c r="C464" s="48"/>
      <c r="D464" s="152"/>
      <c r="H464" s="829"/>
      <c r="I464" s="50"/>
    </row>
    <row r="465" spans="2:9" x14ac:dyDescent="0.25">
      <c r="D465" s="799"/>
      <c r="H465" s="829"/>
      <c r="I465" s="50"/>
    </row>
    <row r="466" spans="2:9" x14ac:dyDescent="0.25">
      <c r="B466" s="368" t="s">
        <v>542</v>
      </c>
      <c r="D466" s="799">
        <v>2532497.6</v>
      </c>
      <c r="E466" s="50">
        <v>0</v>
      </c>
      <c r="F466" s="50">
        <f>'TRIAL BALANCE '!I301</f>
        <v>0</v>
      </c>
      <c r="H466" s="829">
        <f t="shared" ref="H466:H488" si="12">D466-E466</f>
        <v>2532497.6</v>
      </c>
      <c r="I466" s="50"/>
    </row>
    <row r="467" spans="2:9" x14ac:dyDescent="0.25">
      <c r="B467" s="368" t="s">
        <v>773</v>
      </c>
      <c r="D467" s="799">
        <v>0</v>
      </c>
      <c r="E467" s="50">
        <f>'[3]TRIAL BALANCE '!$I$301</f>
        <v>0</v>
      </c>
      <c r="F467">
        <f>'TRIAL BALANCE '!I302</f>
        <v>0</v>
      </c>
      <c r="H467" s="829">
        <f t="shared" si="12"/>
        <v>0</v>
      </c>
      <c r="I467" s="50"/>
    </row>
    <row r="468" spans="2:9" x14ac:dyDescent="0.25">
      <c r="B468" s="368" t="s">
        <v>1068</v>
      </c>
      <c r="D468" s="799">
        <v>631166.64</v>
      </c>
      <c r="E468" s="50">
        <v>13345798.18</v>
      </c>
      <c r="F468">
        <f>'TRIAL BALANCE '!I303</f>
        <v>0</v>
      </c>
      <c r="H468" s="829">
        <f t="shared" si="12"/>
        <v>-12714631.539999999</v>
      </c>
      <c r="I468" s="50"/>
    </row>
    <row r="469" spans="2:9" ht="15.75" thickBot="1" x14ac:dyDescent="0.3">
      <c r="D469" s="801">
        <v>3163664.24</v>
      </c>
      <c r="E469" s="99">
        <f>SUM(E466:E468)</f>
        <v>13345798.18</v>
      </c>
      <c r="F469" s="99">
        <f>SUM(F466:F468)</f>
        <v>0</v>
      </c>
      <c r="G469" s="510">
        <f>F469-E469</f>
        <v>-13345798.18</v>
      </c>
      <c r="H469" s="834">
        <f t="shared" si="12"/>
        <v>-10182133.939999999</v>
      </c>
      <c r="I469" s="50"/>
    </row>
    <row r="470" spans="2:9" ht="15.75" thickTop="1" x14ac:dyDescent="0.25">
      <c r="D470" s="799"/>
      <c r="H470" s="829"/>
      <c r="I470" s="50"/>
    </row>
    <row r="471" spans="2:9" x14ac:dyDescent="0.25">
      <c r="D471" s="799"/>
      <c r="H471" s="829"/>
      <c r="I471" s="50"/>
    </row>
    <row r="472" spans="2:9" x14ac:dyDescent="0.25">
      <c r="B472" s="416" t="s">
        <v>1486</v>
      </c>
      <c r="D472" s="799"/>
      <c r="H472" s="829"/>
      <c r="I472" s="50"/>
    </row>
    <row r="473" spans="2:9" x14ac:dyDescent="0.25">
      <c r="D473" s="799"/>
      <c r="H473" s="829"/>
      <c r="I473" s="50"/>
    </row>
    <row r="474" spans="2:9" ht="15.75" thickBot="1" x14ac:dyDescent="0.3">
      <c r="B474" s="368" t="s">
        <v>545</v>
      </c>
      <c r="D474" s="801">
        <v>4179779.2</v>
      </c>
      <c r="E474" s="458">
        <f>'[3]TRIAL BALANCE '!$I$304</f>
        <v>1065.74</v>
      </c>
      <c r="F474" s="458">
        <f>'TRIAL BALANCE '!I305</f>
        <v>10804497.24</v>
      </c>
      <c r="G474" s="510">
        <f>F474-E474</f>
        <v>10803431.5</v>
      </c>
      <c r="H474" s="834">
        <f t="shared" si="12"/>
        <v>4178713.46</v>
      </c>
      <c r="I474" s="50"/>
    </row>
    <row r="475" spans="2:9" ht="15.75" thickTop="1" x14ac:dyDescent="0.25">
      <c r="B475" s="368"/>
      <c r="D475" s="799"/>
      <c r="E475" s="460"/>
      <c r="F475" s="460"/>
      <c r="H475" s="829"/>
      <c r="I475" s="50"/>
    </row>
    <row r="476" spans="2:9" x14ac:dyDescent="0.25">
      <c r="B476" s="368"/>
      <c r="D476" s="799"/>
      <c r="E476" s="460"/>
      <c r="F476" s="460"/>
      <c r="H476" s="829"/>
      <c r="I476" s="50"/>
    </row>
    <row r="477" spans="2:9" ht="15.75" thickBot="1" x14ac:dyDescent="0.3">
      <c r="B477" s="368" t="s">
        <v>390</v>
      </c>
      <c r="D477" s="799">
        <v>0</v>
      </c>
      <c r="E477" s="460">
        <v>1935469.53</v>
      </c>
      <c r="F477" s="458">
        <f>'TRIAL BALANCE '!I189</f>
        <v>0</v>
      </c>
      <c r="G477" s="511">
        <f>F477-E477</f>
        <v>-1935469.53</v>
      </c>
      <c r="H477" s="829">
        <f t="shared" si="12"/>
        <v>-1935469.53</v>
      </c>
      <c r="I477" s="50"/>
    </row>
    <row r="478" spans="2:9" ht="15.75" thickTop="1" x14ac:dyDescent="0.25">
      <c r="B478" s="368"/>
      <c r="D478" s="799"/>
      <c r="E478" s="460"/>
      <c r="F478" s="460"/>
      <c r="H478" s="829"/>
      <c r="I478" s="50"/>
    </row>
    <row r="479" spans="2:9" x14ac:dyDescent="0.25">
      <c r="B479" s="368"/>
      <c r="D479" s="799"/>
      <c r="E479" s="460"/>
      <c r="F479" s="460"/>
      <c r="H479" s="829"/>
      <c r="I479" s="50"/>
    </row>
    <row r="480" spans="2:9" ht="15.75" thickBot="1" x14ac:dyDescent="0.3">
      <c r="B480" s="368" t="s">
        <v>391</v>
      </c>
      <c r="D480" s="799">
        <v>106259.37</v>
      </c>
      <c r="E480" s="460">
        <f>2506968+46175.22</f>
        <v>2553143.2200000002</v>
      </c>
      <c r="F480" s="458">
        <f>'TRIAL BALANCE '!I188</f>
        <v>0</v>
      </c>
      <c r="G480" s="510">
        <f>F480-E480</f>
        <v>-2553143.2200000002</v>
      </c>
      <c r="H480" s="829">
        <f t="shared" si="12"/>
        <v>-2446883.85</v>
      </c>
      <c r="I480" s="50"/>
    </row>
    <row r="481" spans="2:9" ht="15.75" thickTop="1" x14ac:dyDescent="0.25">
      <c r="B481" s="368"/>
      <c r="D481" s="799"/>
      <c r="E481" s="460"/>
      <c r="F481" s="460"/>
      <c r="H481" s="829"/>
      <c r="I481" s="50"/>
    </row>
    <row r="482" spans="2:9" ht="15.75" thickBot="1" x14ac:dyDescent="0.3">
      <c r="B482" s="839" t="s">
        <v>1518</v>
      </c>
      <c r="C482" s="48"/>
      <c r="D482" s="801">
        <v>12221076.65</v>
      </c>
      <c r="E482" s="490">
        <f>E461+E469+E480+E474+E477</f>
        <v>21869941.499999996</v>
      </c>
      <c r="F482" s="490">
        <f>F461+F469+F480+F474+F477</f>
        <v>15929999.73</v>
      </c>
      <c r="G482" s="510">
        <f>F482-E482</f>
        <v>-5939941.7699999958</v>
      </c>
      <c r="H482" s="834">
        <f t="shared" si="12"/>
        <v>-9648864.8499999959</v>
      </c>
      <c r="I482" s="50"/>
    </row>
    <row r="483" spans="2:9" ht="15.75" thickTop="1" x14ac:dyDescent="0.25">
      <c r="D483" s="799"/>
      <c r="E483" s="412"/>
      <c r="F483" s="412"/>
      <c r="G483" s="179"/>
      <c r="H483" s="829"/>
      <c r="I483" s="50"/>
    </row>
    <row r="484" spans="2:9" x14ac:dyDescent="0.25">
      <c r="B484" s="48" t="s">
        <v>1484</v>
      </c>
      <c r="D484" s="799"/>
      <c r="E484" s="179"/>
      <c r="H484" s="829"/>
      <c r="I484" s="50"/>
    </row>
    <row r="485" spans="2:9" x14ac:dyDescent="0.25">
      <c r="D485" s="799"/>
      <c r="H485" s="829"/>
      <c r="I485" s="50"/>
    </row>
    <row r="486" spans="2:9" x14ac:dyDescent="0.25">
      <c r="B486" s="368" t="s">
        <v>278</v>
      </c>
      <c r="D486" s="799">
        <v>1107990970.8800001</v>
      </c>
      <c r="E486" s="50">
        <v>1332357625</v>
      </c>
      <c r="F486" s="50">
        <f>'TRIAL BALANCE '!I266</f>
        <v>0</v>
      </c>
      <c r="H486" s="829">
        <f t="shared" si="12"/>
        <v>-224366654.11999989</v>
      </c>
      <c r="I486" s="50"/>
    </row>
    <row r="487" spans="2:9" x14ac:dyDescent="0.25">
      <c r="B487" s="368" t="s">
        <v>663</v>
      </c>
      <c r="D487" s="799">
        <v>29073922.289999999</v>
      </c>
      <c r="E487" s="50">
        <f>'[3]TRIAL BALANCE '!$I$266</f>
        <v>27906950.359999999</v>
      </c>
      <c r="F487" s="50">
        <f>'TRIAL BALANCE '!I267</f>
        <v>33549956.02</v>
      </c>
      <c r="H487" s="829">
        <f t="shared" si="12"/>
        <v>1166971.9299999997</v>
      </c>
      <c r="I487" s="50"/>
    </row>
    <row r="488" spans="2:9" ht="15.75" thickBot="1" x14ac:dyDescent="0.3">
      <c r="D488" s="801">
        <v>1137064893.1700001</v>
      </c>
      <c r="E488" s="99">
        <f>SUM(E486:E487)</f>
        <v>1360264575.3599999</v>
      </c>
      <c r="F488" s="99">
        <f>SUM(F486:F487)</f>
        <v>33549956.02</v>
      </c>
      <c r="G488" s="510">
        <f>F488-E488</f>
        <v>-1326714619.3399999</v>
      </c>
      <c r="H488" s="829">
        <f t="shared" si="12"/>
        <v>-223199682.18999982</v>
      </c>
      <c r="I488" s="50"/>
    </row>
    <row r="489" spans="2:9" ht="15.75" thickTop="1" x14ac:dyDescent="0.25">
      <c r="E489" s="412"/>
      <c r="F489" s="412"/>
      <c r="H489" s="829"/>
      <c r="I489" s="50"/>
    </row>
    <row r="490" spans="2:9" x14ac:dyDescent="0.25">
      <c r="F490" s="412"/>
      <c r="G490" s="412"/>
      <c r="H490" s="829"/>
      <c r="I490" s="50"/>
    </row>
    <row r="491" spans="2:9" x14ac:dyDescent="0.25">
      <c r="H491" s="829"/>
      <c r="I491" s="50"/>
    </row>
    <row r="492" spans="2:9" x14ac:dyDescent="0.25">
      <c r="H492" s="829"/>
      <c r="I492" s="50"/>
    </row>
    <row r="493" spans="2:9" x14ac:dyDescent="0.25">
      <c r="H493" s="179"/>
    </row>
    <row r="494" spans="2:9" x14ac:dyDescent="0.25">
      <c r="H494" s="179"/>
    </row>
    <row r="495" spans="2:9" x14ac:dyDescent="0.25">
      <c r="H495" s="179"/>
    </row>
    <row r="496" spans="2:9" x14ac:dyDescent="0.25">
      <c r="H496" s="179"/>
    </row>
    <row r="497" spans="8:8" x14ac:dyDescent="0.25">
      <c r="H497" s="179"/>
    </row>
    <row r="498" spans="8:8" x14ac:dyDescent="0.25">
      <c r="H498" s="179"/>
    </row>
    <row r="499" spans="8:8" x14ac:dyDescent="0.25">
      <c r="H499" s="179"/>
    </row>
    <row r="500" spans="8:8" x14ac:dyDescent="0.25">
      <c r="H500" s="179"/>
    </row>
    <row r="501" spans="8:8" x14ac:dyDescent="0.25">
      <c r="H501" s="179"/>
    </row>
    <row r="502" spans="8:8" x14ac:dyDescent="0.25">
      <c r="H502" s="179"/>
    </row>
    <row r="503" spans="8:8" x14ac:dyDescent="0.25">
      <c r="H503" s="179"/>
    </row>
    <row r="504" spans="8:8" x14ac:dyDescent="0.25">
      <c r="H504" s="179"/>
    </row>
    <row r="505" spans="8:8" x14ac:dyDescent="0.25">
      <c r="H505" s="179"/>
    </row>
    <row r="506" spans="8:8" x14ac:dyDescent="0.25">
      <c r="H506" s="179"/>
    </row>
    <row r="507" spans="8:8" x14ac:dyDescent="0.25">
      <c r="H507" s="179"/>
    </row>
    <row r="508" spans="8:8" x14ac:dyDescent="0.25">
      <c r="H508" s="179"/>
    </row>
    <row r="509" spans="8:8" x14ac:dyDescent="0.25">
      <c r="H509" s="179"/>
    </row>
    <row r="510" spans="8:8" x14ac:dyDescent="0.25">
      <c r="H510" s="179"/>
    </row>
    <row r="511" spans="8:8" x14ac:dyDescent="0.25">
      <c r="H511" s="179"/>
    </row>
    <row r="512" spans="8:8" x14ac:dyDescent="0.25">
      <c r="H512" s="179"/>
    </row>
    <row r="513" spans="8:8" x14ac:dyDescent="0.25">
      <c r="H513" s="179"/>
    </row>
    <row r="514" spans="8:8" x14ac:dyDescent="0.25">
      <c r="H514" s="179"/>
    </row>
    <row r="515" spans="8:8" x14ac:dyDescent="0.25">
      <c r="H515" s="179"/>
    </row>
    <row r="516" spans="8:8" x14ac:dyDescent="0.25">
      <c r="H516" s="179"/>
    </row>
    <row r="517" spans="8:8" x14ac:dyDescent="0.25">
      <c r="H517" s="179"/>
    </row>
    <row r="518" spans="8:8" x14ac:dyDescent="0.25">
      <c r="H518" s="179"/>
    </row>
    <row r="519" spans="8:8" x14ac:dyDescent="0.25">
      <c r="H519" s="179"/>
    </row>
    <row r="520" spans="8:8" x14ac:dyDescent="0.25">
      <c r="H520" s="179"/>
    </row>
    <row r="521" spans="8:8" x14ac:dyDescent="0.25">
      <c r="H521" s="179"/>
    </row>
    <row r="522" spans="8:8" x14ac:dyDescent="0.25">
      <c r="H522" s="179"/>
    </row>
    <row r="523" spans="8:8" x14ac:dyDescent="0.25">
      <c r="H523" s="179"/>
    </row>
    <row r="524" spans="8:8" x14ac:dyDescent="0.25">
      <c r="H524" s="179"/>
    </row>
    <row r="525" spans="8:8" x14ac:dyDescent="0.25">
      <c r="H525" s="179"/>
    </row>
    <row r="526" spans="8:8" x14ac:dyDescent="0.25">
      <c r="H526" s="179"/>
    </row>
    <row r="527" spans="8:8" x14ac:dyDescent="0.25">
      <c r="H527" s="179"/>
    </row>
    <row r="528" spans="8:8" x14ac:dyDescent="0.25">
      <c r="H528" s="179"/>
    </row>
    <row r="529" spans="8:8" x14ac:dyDescent="0.25">
      <c r="H529" s="179"/>
    </row>
  </sheetData>
  <mergeCells count="19">
    <mergeCell ref="B77:C77"/>
    <mergeCell ref="B18:C18"/>
    <mergeCell ref="B23:C23"/>
    <mergeCell ref="B33:C33"/>
    <mergeCell ref="B75:C75"/>
    <mergeCell ref="B70:C70"/>
    <mergeCell ref="B76:C76"/>
    <mergeCell ref="B139:C139"/>
    <mergeCell ref="B195:C195"/>
    <mergeCell ref="B451:C451"/>
    <mergeCell ref="B375:C375"/>
    <mergeCell ref="B148:C148"/>
    <mergeCell ref="B140:C140"/>
    <mergeCell ref="B180:C180"/>
    <mergeCell ref="B182:C182"/>
    <mergeCell ref="B186:C186"/>
    <mergeCell ref="B198:C198"/>
    <mergeCell ref="B239:C239"/>
    <mergeCell ref="B232:C232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53A1-866A-47F0-AF05-AFA6A9839525}">
  <sheetPr codeName="Sheet2">
    <tabColor rgb="FF92D050"/>
  </sheetPr>
  <dimension ref="A1:T404"/>
  <sheetViews>
    <sheetView topLeftCell="H1" zoomScaleNormal="100" workbookViewId="0">
      <selection activeCell="H7" sqref="H7"/>
    </sheetView>
  </sheetViews>
  <sheetFormatPr defaultColWidth="19" defaultRowHeight="15" x14ac:dyDescent="0.25"/>
  <cols>
    <col min="1" max="1" width="15.28515625" hidden="1" customWidth="1"/>
    <col min="2" max="2" width="15.5703125" hidden="1" customWidth="1"/>
    <col min="3" max="3" width="19.5703125" style="65" hidden="1" customWidth="1"/>
    <col min="4" max="4" width="23.28515625" style="65" hidden="1" customWidth="1"/>
    <col min="5" max="5" width="37.85546875" style="66" hidden="1" customWidth="1"/>
    <col min="6" max="6" width="17.140625" style="66" hidden="1" customWidth="1"/>
    <col min="7" max="7" width="55.28515625" style="66" hidden="1" customWidth="1"/>
    <col min="8" max="8" width="62.85546875" style="66" customWidth="1"/>
    <col min="9" max="9" width="24.42578125" customWidth="1"/>
    <col min="10" max="10" width="19" customWidth="1"/>
    <col min="11" max="11" width="19" hidden="1" customWidth="1"/>
    <col min="12" max="12" width="31.140625" hidden="1" customWidth="1"/>
    <col min="13" max="14" width="22.7109375" hidden="1" customWidth="1"/>
    <col min="15" max="15" width="43.140625" hidden="1" customWidth="1"/>
    <col min="16" max="16" width="42.140625" hidden="1" customWidth="1"/>
    <col min="17" max="18" width="19" customWidth="1"/>
  </cols>
  <sheetData>
    <row r="1" spans="2:16" ht="16.5" customHeight="1" x14ac:dyDescent="0.25">
      <c r="B1" s="365"/>
      <c r="C1" s="371"/>
      <c r="D1" s="895" t="s">
        <v>22</v>
      </c>
      <c r="E1" s="895"/>
      <c r="F1" s="372"/>
      <c r="G1" s="372"/>
      <c r="H1" s="896" t="s">
        <v>22</v>
      </c>
      <c r="I1" s="365"/>
      <c r="J1" s="365"/>
      <c r="K1" s="365"/>
    </row>
    <row r="2" spans="2:16" x14ac:dyDescent="0.25">
      <c r="B2" s="365"/>
      <c r="C2" s="371"/>
      <c r="D2" s="895" t="s">
        <v>1078</v>
      </c>
      <c r="E2" s="895"/>
      <c r="F2" s="895"/>
      <c r="G2" s="895"/>
      <c r="H2" s="896" t="s">
        <v>1093</v>
      </c>
      <c r="I2" s="365"/>
      <c r="J2" s="365"/>
      <c r="K2" s="365"/>
    </row>
    <row r="3" spans="2:16" ht="15" customHeight="1" x14ac:dyDescent="0.25">
      <c r="B3" s="365"/>
      <c r="C3" s="371"/>
      <c r="D3" s="895" t="s">
        <v>1079</v>
      </c>
      <c r="E3" s="895"/>
      <c r="F3" s="372"/>
      <c r="G3" s="372"/>
      <c r="H3" s="897" t="s">
        <v>2792</v>
      </c>
      <c r="I3" s="365"/>
      <c r="J3" s="365"/>
      <c r="K3" s="365"/>
    </row>
    <row r="4" spans="2:16" x14ac:dyDescent="0.25">
      <c r="B4" s="898"/>
      <c r="C4" s="898"/>
      <c r="D4" s="898"/>
      <c r="E4" s="898"/>
      <c r="F4" s="898"/>
      <c r="G4" s="898"/>
      <c r="H4" s="958" t="s">
        <v>2806</v>
      </c>
      <c r="I4" s="365"/>
      <c r="J4" s="365"/>
      <c r="K4" s="365"/>
    </row>
    <row r="5" spans="2:16" x14ac:dyDescent="0.25">
      <c r="B5" s="970"/>
      <c r="C5" s="970"/>
      <c r="D5" s="970"/>
      <c r="E5" s="970"/>
      <c r="F5" s="970"/>
      <c r="G5" s="970"/>
      <c r="H5" s="970"/>
      <c r="I5" s="365"/>
      <c r="J5" s="365"/>
      <c r="K5" s="365"/>
    </row>
    <row r="6" spans="2:16" ht="15.75" thickBot="1" x14ac:dyDescent="0.3">
      <c r="B6" s="899"/>
      <c r="C6" s="371"/>
      <c r="D6" s="900"/>
      <c r="E6" s="901"/>
      <c r="F6" s="901"/>
      <c r="G6" s="901"/>
      <c r="H6" s="902"/>
      <c r="I6" s="903"/>
      <c r="J6" s="903"/>
      <c r="K6" s="365"/>
      <c r="N6" s="179"/>
      <c r="O6" s="62"/>
    </row>
    <row r="7" spans="2:16" ht="37.5" customHeight="1" thickBot="1" x14ac:dyDescent="0.3">
      <c r="B7" s="904" t="s">
        <v>53</v>
      </c>
      <c r="C7" s="904" t="s">
        <v>54</v>
      </c>
      <c r="D7" s="904" t="s">
        <v>54</v>
      </c>
      <c r="E7" s="904" t="s">
        <v>1084</v>
      </c>
      <c r="F7" s="904" t="s">
        <v>54</v>
      </c>
      <c r="G7" s="904"/>
      <c r="H7" s="905" t="s">
        <v>1085</v>
      </c>
      <c r="I7" s="906" t="s">
        <v>55</v>
      </c>
      <c r="J7" s="906" t="s">
        <v>56</v>
      </c>
      <c r="K7" s="365"/>
      <c r="N7" s="972" t="s">
        <v>6</v>
      </c>
      <c r="O7" s="973"/>
      <c r="P7" s="974"/>
    </row>
    <row r="8" spans="2:16" ht="16.5" customHeight="1" x14ac:dyDescent="0.25">
      <c r="B8" s="904"/>
      <c r="C8" s="904"/>
      <c r="D8" s="366" t="s">
        <v>68</v>
      </c>
      <c r="E8" s="907" t="s">
        <v>69</v>
      </c>
      <c r="F8" s="907" t="s">
        <v>1158</v>
      </c>
      <c r="G8" s="908" t="s">
        <v>927</v>
      </c>
      <c r="H8" s="907" t="s">
        <v>69</v>
      </c>
      <c r="I8" s="367">
        <f>'SCHEDULE OF ACCOUNTS'!I10</f>
        <v>0</v>
      </c>
      <c r="J8" s="367"/>
      <c r="K8" s="365"/>
    </row>
    <row r="9" spans="2:16" ht="16.5" customHeight="1" x14ac:dyDescent="0.25">
      <c r="B9" s="904"/>
      <c r="C9" s="904"/>
      <c r="D9" s="366" t="s">
        <v>70</v>
      </c>
      <c r="E9" s="907" t="s">
        <v>71</v>
      </c>
      <c r="F9" s="907" t="s">
        <v>1159</v>
      </c>
      <c r="G9" s="908" t="s">
        <v>927</v>
      </c>
      <c r="H9" s="907" t="s">
        <v>71</v>
      </c>
      <c r="I9" s="367">
        <f>'SCHEDULE OF ACCOUNTS'!I11</f>
        <v>225000</v>
      </c>
      <c r="J9" s="367"/>
      <c r="K9" s="365"/>
      <c r="N9" s="196">
        <f>I11+I13+I8+I9+924427872+37</f>
        <v>937659337.62</v>
      </c>
      <c r="O9" s="62" t="s">
        <v>72</v>
      </c>
    </row>
    <row r="10" spans="2:16" ht="16.5" hidden="1" customHeight="1" x14ac:dyDescent="0.25">
      <c r="B10" s="904"/>
      <c r="C10" s="904"/>
      <c r="D10" s="366"/>
      <c r="E10" s="907"/>
      <c r="F10" s="907"/>
      <c r="G10" s="908"/>
      <c r="H10" s="907"/>
      <c r="I10" s="367"/>
      <c r="J10" s="367"/>
      <c r="K10" s="365"/>
      <c r="O10" s="62"/>
    </row>
    <row r="11" spans="2:16" ht="18" customHeight="1" x14ac:dyDescent="0.25">
      <c r="B11" s="904"/>
      <c r="C11" s="904"/>
      <c r="D11" s="909" t="s">
        <v>64</v>
      </c>
      <c r="E11" s="907" t="s">
        <v>59</v>
      </c>
      <c r="F11" s="907" t="s">
        <v>1160</v>
      </c>
      <c r="G11" s="908" t="s">
        <v>1036</v>
      </c>
      <c r="H11" s="907" t="s">
        <v>59</v>
      </c>
      <c r="I11" s="367">
        <f>'SCHEDULE OF ACCOUNTS'!I13</f>
        <v>12938831.24</v>
      </c>
      <c r="J11" s="367"/>
      <c r="K11" s="365"/>
      <c r="N11" s="197">
        <f>I15-915685970-37</f>
        <v>555969771.6500001</v>
      </c>
      <c r="O11" s="62" t="s">
        <v>958</v>
      </c>
    </row>
    <row r="12" spans="2:16" ht="18" hidden="1" customHeight="1" x14ac:dyDescent="0.25">
      <c r="B12" s="904"/>
      <c r="C12" s="904"/>
      <c r="D12" s="909"/>
      <c r="E12" s="907"/>
      <c r="F12" s="907"/>
      <c r="G12" s="908"/>
      <c r="H12" s="907"/>
      <c r="I12" s="367"/>
      <c r="J12" s="367"/>
      <c r="K12" s="365"/>
      <c r="O12" s="62"/>
    </row>
    <row r="13" spans="2:16" ht="18.75" customHeight="1" x14ac:dyDescent="0.25">
      <c r="B13" s="904"/>
      <c r="C13" s="904"/>
      <c r="D13" s="909" t="s">
        <v>689</v>
      </c>
      <c r="E13" s="907" t="s">
        <v>62</v>
      </c>
      <c r="F13" s="907" t="s">
        <v>1161</v>
      </c>
      <c r="G13" s="908" t="s">
        <v>1037</v>
      </c>
      <c r="H13" s="907" t="s">
        <v>62</v>
      </c>
      <c r="I13" s="367">
        <f>'SCHEDULE OF ACCOUNTS'!I15</f>
        <v>67597.38</v>
      </c>
      <c r="J13" s="367"/>
      <c r="K13" s="365"/>
      <c r="O13" s="62"/>
    </row>
    <row r="14" spans="2:16" ht="18.75" hidden="1" customHeight="1" x14ac:dyDescent="0.25">
      <c r="B14" s="904"/>
      <c r="C14" s="904"/>
      <c r="D14" s="909"/>
      <c r="E14" s="907"/>
      <c r="F14" s="907"/>
      <c r="G14" s="908"/>
      <c r="H14" s="907"/>
      <c r="I14" s="367"/>
      <c r="J14" s="367"/>
      <c r="K14" s="365"/>
      <c r="O14" s="62"/>
    </row>
    <row r="15" spans="2:16" ht="18.75" customHeight="1" x14ac:dyDescent="0.25">
      <c r="B15" s="904"/>
      <c r="C15" s="904"/>
      <c r="D15" s="909" t="s">
        <v>691</v>
      </c>
      <c r="E15" s="907" t="s">
        <v>63</v>
      </c>
      <c r="F15" s="907" t="s">
        <v>1162</v>
      </c>
      <c r="G15" s="908" t="s">
        <v>1038</v>
      </c>
      <c r="H15" s="907" t="s">
        <v>63</v>
      </c>
      <c r="I15" s="367">
        <f>'SCHEDULE OF ACCOUNTS'!I17</f>
        <v>1471655778.6500001</v>
      </c>
      <c r="J15" s="367"/>
      <c r="K15" s="365"/>
      <c r="N15" s="198">
        <f>I37+I38+I40+I41+I47+I50+I51+I58+I36+I66-J43-J48-J59-J39</f>
        <v>637936680.28000009</v>
      </c>
      <c r="O15" s="62" t="s">
        <v>1377</v>
      </c>
    </row>
    <row r="16" spans="2:16" ht="18.75" customHeight="1" x14ac:dyDescent="0.25">
      <c r="B16" s="904"/>
      <c r="C16" s="904"/>
      <c r="D16" s="909" t="s">
        <v>690</v>
      </c>
      <c r="E16" s="910" t="s">
        <v>67</v>
      </c>
      <c r="F16" s="907" t="s">
        <v>1163</v>
      </c>
      <c r="G16" s="908" t="s">
        <v>1038</v>
      </c>
      <c r="H16" s="907" t="s">
        <v>67</v>
      </c>
      <c r="I16" s="367">
        <f>'SCHEDULE OF ACCOUNTS'!I18</f>
        <v>246772129.63</v>
      </c>
      <c r="J16" s="367"/>
      <c r="K16" s="365"/>
      <c r="N16" s="199">
        <f>I69+I70</f>
        <v>1558990.67</v>
      </c>
      <c r="O16" s="62" t="s">
        <v>959</v>
      </c>
    </row>
    <row r="17" spans="2:17" ht="18.75" hidden="1" customHeight="1" x14ac:dyDescent="0.25">
      <c r="B17" s="904"/>
      <c r="C17" s="904"/>
      <c r="D17" s="909"/>
      <c r="E17" s="910"/>
      <c r="F17" s="907"/>
      <c r="G17" s="908"/>
      <c r="H17" s="907"/>
      <c r="I17" s="367"/>
      <c r="J17" s="367"/>
      <c r="K17" s="365"/>
      <c r="O17" s="62"/>
    </row>
    <row r="18" spans="2:17" ht="18.75" hidden="1" customHeight="1" x14ac:dyDescent="0.25">
      <c r="B18" s="904"/>
      <c r="C18" s="904"/>
      <c r="D18" s="909"/>
      <c r="E18" s="910"/>
      <c r="F18" s="911"/>
      <c r="G18" s="908"/>
      <c r="H18" s="907"/>
      <c r="I18" s="367"/>
      <c r="J18" s="367"/>
      <c r="K18" s="365"/>
      <c r="O18" s="62"/>
    </row>
    <row r="19" spans="2:17" ht="18.75" customHeight="1" x14ac:dyDescent="0.25">
      <c r="B19" s="904"/>
      <c r="C19" s="904"/>
      <c r="D19" s="366" t="s">
        <v>769</v>
      </c>
      <c r="E19" s="907" t="s">
        <v>771</v>
      </c>
      <c r="F19" s="907" t="s">
        <v>1164</v>
      </c>
      <c r="G19" s="908" t="s">
        <v>771</v>
      </c>
      <c r="H19" s="907" t="s">
        <v>771</v>
      </c>
      <c r="I19" s="367">
        <f>'SCHEDULE OF ACCOUNTS'!I21</f>
        <v>790827691.75</v>
      </c>
      <c r="J19" s="367"/>
      <c r="K19" s="365"/>
      <c r="N19" s="200">
        <f>I115+I120+I121+I122+I123+I124+I129+I130+1+I118</f>
        <v>764378256.9000001</v>
      </c>
      <c r="O19" s="62" t="s">
        <v>78</v>
      </c>
    </row>
    <row r="20" spans="2:17" ht="18.75" customHeight="1" x14ac:dyDescent="0.25">
      <c r="B20" s="904"/>
      <c r="C20" s="904"/>
      <c r="D20" s="366" t="s">
        <v>762</v>
      </c>
      <c r="E20" s="907" t="s">
        <v>763</v>
      </c>
      <c r="F20" s="907" t="s">
        <v>1165</v>
      </c>
      <c r="G20" s="908" t="s">
        <v>771</v>
      </c>
      <c r="H20" s="907" t="s">
        <v>763</v>
      </c>
      <c r="I20" s="367"/>
      <c r="J20" s="367">
        <f>'SCHEDULE OF ACCOUNTS'!J22</f>
        <v>586007691.75</v>
      </c>
      <c r="K20" s="365"/>
    </row>
    <row r="21" spans="2:17" ht="18.75" hidden="1" customHeight="1" x14ac:dyDescent="0.25">
      <c r="B21" s="904"/>
      <c r="C21" s="904"/>
      <c r="D21" s="366"/>
      <c r="E21" s="907"/>
      <c r="F21" s="907"/>
      <c r="G21" s="908"/>
      <c r="H21" s="907"/>
      <c r="I21" s="367"/>
      <c r="J21" s="367"/>
      <c r="K21" s="365"/>
      <c r="O21" s="62"/>
    </row>
    <row r="22" spans="2:17" ht="18.75" customHeight="1" x14ac:dyDescent="0.25">
      <c r="B22" s="904"/>
      <c r="C22" s="904"/>
      <c r="D22" s="366" t="s">
        <v>766</v>
      </c>
      <c r="E22" s="907" t="s">
        <v>767</v>
      </c>
      <c r="F22" s="907" t="s">
        <v>1166</v>
      </c>
      <c r="G22" s="908" t="s">
        <v>1047</v>
      </c>
      <c r="H22" s="907" t="s">
        <v>767</v>
      </c>
      <c r="I22" s="367">
        <f>'SCHEDULE OF ACCOUNTS'!I24</f>
        <v>2154099863.8200002</v>
      </c>
      <c r="J22" s="367"/>
      <c r="K22" s="365"/>
      <c r="N22" s="201">
        <f>I16+I27+I29-8741901.98</f>
        <v>1422031327.6700001</v>
      </c>
      <c r="O22" s="62" t="s">
        <v>960</v>
      </c>
    </row>
    <row r="23" spans="2:17" ht="18.75" customHeight="1" x14ac:dyDescent="0.25">
      <c r="B23" s="904"/>
      <c r="C23" s="904"/>
      <c r="D23" s="366" t="s">
        <v>764</v>
      </c>
      <c r="E23" s="907" t="s">
        <v>765</v>
      </c>
      <c r="F23" s="907" t="s">
        <v>1167</v>
      </c>
      <c r="G23" s="908" t="s">
        <v>1047</v>
      </c>
      <c r="H23" s="907" t="s">
        <v>765</v>
      </c>
      <c r="I23" s="367"/>
      <c r="J23" s="367">
        <f>'SCHEDULE OF ACCOUNTS'!J25</f>
        <v>1957652972.76</v>
      </c>
      <c r="K23" s="365"/>
      <c r="M23" s="179"/>
      <c r="N23" s="887">
        <f>I19+I30-J20-J30</f>
        <v>275309869.60000002</v>
      </c>
      <c r="O23" s="168" t="s">
        <v>947</v>
      </c>
    </row>
    <row r="24" spans="2:17" ht="18.75" hidden="1" customHeight="1" x14ac:dyDescent="0.25">
      <c r="B24" s="904"/>
      <c r="C24" s="904"/>
      <c r="D24" s="366"/>
      <c r="E24" s="907"/>
      <c r="F24" s="907"/>
      <c r="G24" s="908"/>
      <c r="H24" s="907"/>
      <c r="I24" s="367"/>
      <c r="J24" s="367"/>
      <c r="K24" s="365"/>
      <c r="O24" s="168" t="s">
        <v>956</v>
      </c>
    </row>
    <row r="25" spans="2:17" ht="18.75" customHeight="1" x14ac:dyDescent="0.25">
      <c r="B25" s="904"/>
      <c r="C25" s="904"/>
      <c r="D25" s="366" t="s">
        <v>162</v>
      </c>
      <c r="E25" s="907" t="s">
        <v>163</v>
      </c>
      <c r="F25" s="907" t="s">
        <v>1168</v>
      </c>
      <c r="G25" s="908" t="s">
        <v>50</v>
      </c>
      <c r="H25" s="907" t="s">
        <v>163</v>
      </c>
      <c r="I25" s="367">
        <f>'SCHEDULE OF ACCOUNTS'!I27</f>
        <v>1672147168.0899999</v>
      </c>
      <c r="J25" s="367"/>
      <c r="K25" s="365"/>
      <c r="N25" s="888">
        <f>I25-J26</f>
        <v>402315129.58999991</v>
      </c>
      <c r="O25" s="168" t="s">
        <v>956</v>
      </c>
    </row>
    <row r="26" spans="2:17" ht="18.75" customHeight="1" x14ac:dyDescent="0.25">
      <c r="B26" s="904"/>
      <c r="C26" s="904"/>
      <c r="D26" s="366" t="s">
        <v>760</v>
      </c>
      <c r="E26" s="907" t="s">
        <v>761</v>
      </c>
      <c r="F26" s="907" t="s">
        <v>1169</v>
      </c>
      <c r="G26" s="908" t="s">
        <v>50</v>
      </c>
      <c r="H26" s="907" t="s">
        <v>761</v>
      </c>
      <c r="I26" s="367"/>
      <c r="J26" s="367">
        <f>'SCHEDULE OF ACCOUNTS'!J28</f>
        <v>1269832038.5</v>
      </c>
      <c r="K26" s="365"/>
      <c r="N26" s="889">
        <f>I22-J23+I32-J33</f>
        <v>196446891.06000015</v>
      </c>
      <c r="O26" s="168" t="s">
        <v>957</v>
      </c>
    </row>
    <row r="27" spans="2:17" ht="20.25" customHeight="1" x14ac:dyDescent="0.25">
      <c r="B27" s="904"/>
      <c r="C27" s="904"/>
      <c r="D27" s="366" t="s">
        <v>770</v>
      </c>
      <c r="E27" s="907" t="s">
        <v>768</v>
      </c>
      <c r="F27" s="907" t="s">
        <v>1170</v>
      </c>
      <c r="G27" s="908" t="s">
        <v>1048</v>
      </c>
      <c r="H27" s="907" t="s">
        <v>997</v>
      </c>
      <c r="I27" s="367">
        <f>'SCHEDULE OF ACCOUNTS'!I29</f>
        <v>936507205.01999998</v>
      </c>
      <c r="J27" s="367"/>
      <c r="K27" s="365"/>
      <c r="N27" s="204">
        <f>I42+I45+I52+I53+I56+I62+I63-J44-J49-J55-J57-J64</f>
        <v>79054104.659999847</v>
      </c>
      <c r="O27" s="62" t="s">
        <v>90</v>
      </c>
      <c r="Q27" s="179"/>
    </row>
    <row r="28" spans="2:17" ht="20.25" hidden="1" customHeight="1" x14ac:dyDescent="0.25">
      <c r="B28" s="904"/>
      <c r="C28" s="904"/>
      <c r="D28" s="366"/>
      <c r="E28" s="907"/>
      <c r="F28" s="907"/>
      <c r="G28" s="908"/>
      <c r="H28" s="907"/>
      <c r="I28" s="367"/>
      <c r="J28" s="367"/>
      <c r="K28" s="365"/>
    </row>
    <row r="29" spans="2:17" ht="20.25" customHeight="1" x14ac:dyDescent="0.25">
      <c r="B29" s="904"/>
      <c r="C29" s="904"/>
      <c r="D29" s="366" t="s">
        <v>776</v>
      </c>
      <c r="E29" s="907" t="s">
        <v>777</v>
      </c>
      <c r="F29" s="907" t="s">
        <v>1171</v>
      </c>
      <c r="G29" s="908" t="s">
        <v>992</v>
      </c>
      <c r="H29" s="907" t="s">
        <v>992</v>
      </c>
      <c r="I29" s="367">
        <f>'SCHEDULE OF ACCOUNTS'!I31</f>
        <v>247493895</v>
      </c>
      <c r="J29" s="367"/>
      <c r="K29" s="365"/>
    </row>
    <row r="30" spans="2:17" ht="20.25" customHeight="1" x14ac:dyDescent="0.25">
      <c r="B30" s="904"/>
      <c r="C30" s="904"/>
      <c r="D30" s="366" t="s">
        <v>165</v>
      </c>
      <c r="E30" s="907" t="s">
        <v>166</v>
      </c>
      <c r="F30" s="907" t="s">
        <v>1172</v>
      </c>
      <c r="G30" s="908"/>
      <c r="H30" s="907" t="s">
        <v>1154</v>
      </c>
      <c r="I30" s="367">
        <f>'SCHEDULE OF ACCOUNTS'!I32</f>
        <v>70489869.599999994</v>
      </c>
      <c r="J30" s="367">
        <f>'SCHEDULE OF ACCOUNTS'!J32</f>
        <v>0</v>
      </c>
      <c r="K30" s="365"/>
      <c r="N30" s="767">
        <f>I74</f>
        <v>30411002829.810001</v>
      </c>
      <c r="O30" s="62" t="s">
        <v>95</v>
      </c>
    </row>
    <row r="31" spans="2:17" ht="20.25" hidden="1" customHeight="1" x14ac:dyDescent="0.25">
      <c r="B31" s="904"/>
      <c r="C31" s="904"/>
      <c r="D31" s="366"/>
      <c r="E31" s="907"/>
      <c r="F31" s="907"/>
      <c r="G31" s="908"/>
      <c r="H31" s="907"/>
      <c r="I31" s="367"/>
      <c r="J31" s="367"/>
      <c r="K31" s="365"/>
      <c r="N31" s="768"/>
      <c r="O31" s="62"/>
    </row>
    <row r="32" spans="2:17" ht="20.25" customHeight="1" x14ac:dyDescent="0.25">
      <c r="B32" s="904"/>
      <c r="C32" s="904"/>
      <c r="D32" s="366" t="s">
        <v>169</v>
      </c>
      <c r="E32" s="907" t="s">
        <v>51</v>
      </c>
      <c r="F32" s="907" t="s">
        <v>1173</v>
      </c>
      <c r="G32" s="908" t="s">
        <v>262</v>
      </c>
      <c r="H32" s="907" t="s">
        <v>262</v>
      </c>
      <c r="I32" s="367">
        <f>'SCHEDULE OF ACCOUNTS'!I34</f>
        <v>161861665.66999999</v>
      </c>
      <c r="J32" s="367"/>
      <c r="K32" s="365"/>
      <c r="N32" s="767">
        <f>I73</f>
        <v>349338581.29000002</v>
      </c>
      <c r="O32" s="62"/>
    </row>
    <row r="33" spans="2:15" ht="20.25" customHeight="1" x14ac:dyDescent="0.25">
      <c r="B33" s="904"/>
      <c r="C33" s="904"/>
      <c r="D33" s="366" t="s">
        <v>170</v>
      </c>
      <c r="E33" s="907" t="s">
        <v>171</v>
      </c>
      <c r="F33" s="907" t="s">
        <v>1174</v>
      </c>
      <c r="G33" s="908" t="s">
        <v>262</v>
      </c>
      <c r="H33" s="907" t="s">
        <v>171</v>
      </c>
      <c r="I33" s="367"/>
      <c r="J33" s="367">
        <f>'SCHEDULE OF ACCOUNTS'!J35</f>
        <v>161861665.66999999</v>
      </c>
      <c r="K33" s="365"/>
      <c r="N33" s="769">
        <f>N30+N32</f>
        <v>30760341411.100002</v>
      </c>
      <c r="O33" s="62"/>
    </row>
    <row r="34" spans="2:15" ht="20.25" hidden="1" customHeight="1" x14ac:dyDescent="0.25">
      <c r="B34" s="904"/>
      <c r="C34" s="904"/>
      <c r="D34" s="912"/>
      <c r="E34" s="368"/>
      <c r="F34" s="368"/>
      <c r="G34" s="368"/>
      <c r="H34" s="907"/>
      <c r="I34" s="367"/>
      <c r="J34" s="367"/>
      <c r="K34" s="365"/>
      <c r="O34" s="168" t="s">
        <v>947</v>
      </c>
    </row>
    <row r="35" spans="2:15" ht="20.25" hidden="1" customHeight="1" x14ac:dyDescent="0.25">
      <c r="B35" s="904"/>
      <c r="C35" s="904"/>
      <c r="D35" s="912"/>
      <c r="E35" s="368"/>
      <c r="F35" s="913"/>
      <c r="G35" s="368"/>
      <c r="H35" s="907"/>
      <c r="I35" s="367"/>
      <c r="J35" s="367"/>
      <c r="K35" s="365"/>
      <c r="O35" s="168" t="s">
        <v>956</v>
      </c>
    </row>
    <row r="36" spans="2:15" ht="20.25" customHeight="1" x14ac:dyDescent="0.25">
      <c r="B36" s="904"/>
      <c r="C36" s="904"/>
      <c r="D36" s="366" t="s">
        <v>101</v>
      </c>
      <c r="E36" s="907" t="s">
        <v>102</v>
      </c>
      <c r="F36" s="907" t="s">
        <v>1175</v>
      </c>
      <c r="G36" s="908" t="s">
        <v>1039</v>
      </c>
      <c r="H36" s="907" t="s">
        <v>1041</v>
      </c>
      <c r="I36" s="367">
        <f>'SCHEDULE OF ACCOUNTS'!I38</f>
        <v>11667</v>
      </c>
      <c r="J36" s="367"/>
      <c r="K36" s="365"/>
      <c r="N36" s="202">
        <f>I77+I80+I82+I84+I87+I89+I91+I94+I97+I100+I102+I105+I108-J78-J81-J83-J85-J88-J90-J92-J95-J98-J101-J103-J106</f>
        <v>192823088.56000006</v>
      </c>
      <c r="O36" s="62" t="s">
        <v>961</v>
      </c>
    </row>
    <row r="37" spans="2:15" ht="20.25" customHeight="1" x14ac:dyDescent="0.25">
      <c r="B37" s="904"/>
      <c r="C37" s="904"/>
      <c r="D37" s="366" t="s">
        <v>105</v>
      </c>
      <c r="E37" s="907" t="s">
        <v>103</v>
      </c>
      <c r="F37" s="907" t="s">
        <v>1176</v>
      </c>
      <c r="G37" s="908" t="s">
        <v>1039</v>
      </c>
      <c r="H37" s="907" t="s">
        <v>1042</v>
      </c>
      <c r="I37" s="367">
        <f>'SCHEDULE OF ACCOUNTS'!I39</f>
        <v>241761653.08000001</v>
      </c>
      <c r="J37" s="367"/>
      <c r="K37" s="365"/>
      <c r="N37" s="203">
        <f>I131+I132+I134+I135-J136-1+I126+I127+I119+I111-J114</f>
        <v>27801914.459999986</v>
      </c>
      <c r="O37" s="62" t="s">
        <v>110</v>
      </c>
    </row>
    <row r="38" spans="2:15" ht="20.25" customHeight="1" x14ac:dyDescent="0.25">
      <c r="B38" s="904"/>
      <c r="C38" s="904"/>
      <c r="D38" s="366" t="s">
        <v>108</v>
      </c>
      <c r="E38" s="907" t="s">
        <v>109</v>
      </c>
      <c r="F38" s="907" t="s">
        <v>1177</v>
      </c>
      <c r="G38" s="908" t="s">
        <v>1039</v>
      </c>
      <c r="H38" s="907" t="s">
        <v>1043</v>
      </c>
      <c r="I38" s="367">
        <f>'SCHEDULE OF ACCOUNTS'!I40</f>
        <v>520709182.06</v>
      </c>
      <c r="J38" s="367"/>
      <c r="K38" s="365"/>
      <c r="O38" s="62"/>
    </row>
    <row r="39" spans="2:15" ht="20.25" customHeight="1" x14ac:dyDescent="0.25">
      <c r="B39" s="904"/>
      <c r="C39" s="904"/>
      <c r="D39" s="366" t="s">
        <v>113</v>
      </c>
      <c r="E39" s="907" t="s">
        <v>114</v>
      </c>
      <c r="F39" s="907" t="s">
        <v>1178</v>
      </c>
      <c r="G39" s="908" t="s">
        <v>1039</v>
      </c>
      <c r="H39" s="907" t="s">
        <v>1044</v>
      </c>
      <c r="I39" s="367"/>
      <c r="J39" s="367">
        <f>'SCHEDULE OF ACCOUNTS'!J41</f>
        <v>206677722.28999999</v>
      </c>
      <c r="K39" s="365"/>
      <c r="N39" s="412">
        <f>N9+N11+N15+N16+N19+N22+N23+N25+N26+N27+N33+N36+N37-1</f>
        <v>36253626772.82</v>
      </c>
      <c r="O39" s="411" t="s">
        <v>23</v>
      </c>
    </row>
    <row r="40" spans="2:15" ht="20.25" customHeight="1" x14ac:dyDescent="0.25">
      <c r="B40" s="904"/>
      <c r="C40" s="904"/>
      <c r="D40" s="366" t="s">
        <v>88</v>
      </c>
      <c r="E40" s="907" t="s">
        <v>89</v>
      </c>
      <c r="F40" s="907" t="s">
        <v>1179</v>
      </c>
      <c r="G40" s="908" t="s">
        <v>1039</v>
      </c>
      <c r="H40" s="907" t="s">
        <v>993</v>
      </c>
      <c r="I40" s="367">
        <f>'SCHEDULE OF ACCOUNTS'!I42</f>
        <v>28931900.030000001</v>
      </c>
      <c r="J40" s="367"/>
      <c r="K40" s="365"/>
      <c r="N40" s="153"/>
      <c r="O40" s="762"/>
    </row>
    <row r="41" spans="2:15" ht="20.25" customHeight="1" x14ac:dyDescent="0.25">
      <c r="B41" s="904"/>
      <c r="C41" s="904"/>
      <c r="D41" s="366" t="s">
        <v>91</v>
      </c>
      <c r="E41" s="907" t="s">
        <v>92</v>
      </c>
      <c r="F41" s="907" t="s">
        <v>1180</v>
      </c>
      <c r="G41" s="908" t="s">
        <v>1039</v>
      </c>
      <c r="H41" s="907" t="s">
        <v>994</v>
      </c>
      <c r="I41" s="367">
        <f>'SCHEDULE OF ACCOUNTS'!I43</f>
        <v>29449515.690000001</v>
      </c>
      <c r="J41" s="367"/>
      <c r="K41" s="365"/>
      <c r="L41" s="387" t="s">
        <v>962</v>
      </c>
      <c r="M41" s="387">
        <v>2023</v>
      </c>
      <c r="N41" s="179"/>
      <c r="O41" s="160"/>
    </row>
    <row r="42" spans="2:15" ht="20.25" customHeight="1" x14ac:dyDescent="0.25">
      <c r="B42" s="904"/>
      <c r="C42" s="904"/>
      <c r="D42" s="914" t="s">
        <v>91</v>
      </c>
      <c r="E42" s="915" t="s">
        <v>1087</v>
      </c>
      <c r="F42" s="907" t="s">
        <v>1181</v>
      </c>
      <c r="G42" s="908"/>
      <c r="H42" s="907" t="s">
        <v>994</v>
      </c>
      <c r="I42" s="367">
        <f>'SCHEDULE OF ACCOUNTS'!I44</f>
        <v>6938605.7300000004</v>
      </c>
      <c r="J42" s="367"/>
      <c r="K42" s="365"/>
      <c r="L42" s="388" t="s">
        <v>963</v>
      </c>
      <c r="M42" s="193">
        <v>0</v>
      </c>
      <c r="N42" s="179"/>
    </row>
    <row r="43" spans="2:15" ht="20.25" customHeight="1" x14ac:dyDescent="0.25">
      <c r="B43" s="904"/>
      <c r="C43" s="904"/>
      <c r="D43" s="366" t="s">
        <v>93</v>
      </c>
      <c r="E43" s="907" t="s">
        <v>94</v>
      </c>
      <c r="F43" s="907" t="s">
        <v>1182</v>
      </c>
      <c r="G43" s="908" t="s">
        <v>1039</v>
      </c>
      <c r="H43" s="907" t="s">
        <v>1088</v>
      </c>
      <c r="I43" s="367"/>
      <c r="J43" s="367">
        <f>'SCHEDULE OF ACCOUNTS'!J45</f>
        <v>13170208.119999999</v>
      </c>
      <c r="K43" s="365"/>
      <c r="L43" s="389" t="s">
        <v>964</v>
      </c>
      <c r="M43" s="193">
        <f>I40+I41</f>
        <v>58381415.719999999</v>
      </c>
      <c r="O43" s="62"/>
    </row>
    <row r="44" spans="2:15" ht="20.25" customHeight="1" x14ac:dyDescent="0.25">
      <c r="B44" s="904"/>
      <c r="C44" s="904"/>
      <c r="D44" s="366" t="s">
        <v>93</v>
      </c>
      <c r="E44" s="907" t="s">
        <v>94</v>
      </c>
      <c r="F44" s="907" t="s">
        <v>1182</v>
      </c>
      <c r="G44" s="908" t="s">
        <v>1039</v>
      </c>
      <c r="H44" s="907" t="s">
        <v>1405</v>
      </c>
      <c r="I44" s="367"/>
      <c r="J44" s="367">
        <f>'SCHEDULE OF ACCOUNTS'!J46</f>
        <v>6938605.7300000004</v>
      </c>
      <c r="K44" s="365"/>
      <c r="L44" s="388" t="s">
        <v>374</v>
      </c>
      <c r="M44" s="390">
        <f>I58</f>
        <v>64158614.710000001</v>
      </c>
      <c r="N44" s="179"/>
      <c r="O44" s="62"/>
    </row>
    <row r="45" spans="2:15" ht="20.25" customHeight="1" x14ac:dyDescent="0.25">
      <c r="B45" s="904"/>
      <c r="C45" s="904"/>
      <c r="D45" s="366" t="s">
        <v>73</v>
      </c>
      <c r="E45" s="907" t="s">
        <v>74</v>
      </c>
      <c r="F45" s="907"/>
      <c r="G45" s="908"/>
      <c r="H45" s="192" t="s">
        <v>74</v>
      </c>
      <c r="I45" s="367">
        <f>'SCHEDULE OF ACCOUNTS'!I47</f>
        <v>13500000</v>
      </c>
      <c r="J45" s="367"/>
      <c r="K45" s="365"/>
      <c r="L45" s="388"/>
      <c r="M45" s="390"/>
      <c r="O45" s="62"/>
    </row>
    <row r="46" spans="2:15" ht="15.75" customHeight="1" x14ac:dyDescent="0.25">
      <c r="B46" s="369" t="s">
        <v>57</v>
      </c>
      <c r="C46" s="366" t="s">
        <v>58</v>
      </c>
      <c r="D46" s="366" t="s">
        <v>75</v>
      </c>
      <c r="E46" s="907" t="s">
        <v>76</v>
      </c>
      <c r="F46" s="907"/>
      <c r="G46" s="908"/>
      <c r="H46" s="907"/>
      <c r="I46" s="367"/>
      <c r="J46" s="367"/>
      <c r="K46" s="365"/>
      <c r="L46" s="388" t="s">
        <v>966</v>
      </c>
      <c r="M46" s="390">
        <f>I66+I50+I51</f>
        <v>659126.65</v>
      </c>
      <c r="O46" s="62"/>
    </row>
    <row r="47" spans="2:15" x14ac:dyDescent="0.25">
      <c r="B47" s="369" t="s">
        <v>60</v>
      </c>
      <c r="C47" s="366" t="s">
        <v>61</v>
      </c>
      <c r="D47" s="366" t="s">
        <v>77</v>
      </c>
      <c r="E47" s="907" t="s">
        <v>749</v>
      </c>
      <c r="F47" s="907" t="s">
        <v>1186</v>
      </c>
      <c r="G47" s="908" t="s">
        <v>1039</v>
      </c>
      <c r="H47" s="907" t="s">
        <v>749</v>
      </c>
      <c r="I47" s="367">
        <f>'SCHEDULE OF ACCOUNTS'!I49</f>
        <v>11014863.02</v>
      </c>
      <c r="J47" s="367"/>
      <c r="K47" s="365"/>
      <c r="L47" s="388" t="s">
        <v>968</v>
      </c>
      <c r="M47" s="390">
        <f>I37+I38+I47</f>
        <v>773485698.15999997</v>
      </c>
      <c r="N47" s="179"/>
      <c r="O47" s="62"/>
    </row>
    <row r="48" spans="2:15" x14ac:dyDescent="0.25">
      <c r="B48" s="369"/>
      <c r="C48" s="366"/>
      <c r="D48" s="366" t="s">
        <v>750</v>
      </c>
      <c r="E48" s="907" t="s">
        <v>115</v>
      </c>
      <c r="F48" s="907" t="s">
        <v>1187</v>
      </c>
      <c r="G48" s="908" t="s">
        <v>1039</v>
      </c>
      <c r="H48" s="907" t="s">
        <v>1090</v>
      </c>
      <c r="I48" s="367"/>
      <c r="J48" s="367">
        <f>'SCHEDULE OF ACCOUNTS'!J50</f>
        <v>7039999.29</v>
      </c>
      <c r="K48" s="365"/>
      <c r="L48" s="391" t="s">
        <v>671</v>
      </c>
      <c r="M48" s="392">
        <f>M43+M44+M45+M46+M47+M42</f>
        <v>896684855.24000001</v>
      </c>
      <c r="N48" s="205"/>
      <c r="O48" s="62"/>
    </row>
    <row r="49" spans="1:15" x14ac:dyDescent="0.25">
      <c r="B49" s="369"/>
      <c r="C49" s="366"/>
      <c r="D49" s="366" t="s">
        <v>750</v>
      </c>
      <c r="E49" s="907" t="s">
        <v>115</v>
      </c>
      <c r="F49" s="907" t="s">
        <v>1188</v>
      </c>
      <c r="G49" s="908" t="s">
        <v>1039</v>
      </c>
      <c r="H49" s="907" t="s">
        <v>1091</v>
      </c>
      <c r="I49" s="367"/>
      <c r="J49" s="367">
        <f>'SCHEDULE OF ACCOUNTS'!J51</f>
        <v>121943900.54000001</v>
      </c>
      <c r="K49" s="365"/>
      <c r="L49" s="388" t="s">
        <v>969</v>
      </c>
      <c r="M49" s="193">
        <f>-J39-J43-J48-J59</f>
        <v>-258759841.95999998</v>
      </c>
      <c r="N49" s="167"/>
      <c r="O49" s="62"/>
    </row>
    <row r="50" spans="1:15" x14ac:dyDescent="0.25">
      <c r="B50" s="369"/>
      <c r="C50" s="366"/>
      <c r="D50" s="366" t="s">
        <v>118</v>
      </c>
      <c r="E50" s="907" t="s">
        <v>119</v>
      </c>
      <c r="F50" s="907" t="s">
        <v>1189</v>
      </c>
      <c r="G50" s="908" t="s">
        <v>1039</v>
      </c>
      <c r="H50" s="907" t="s">
        <v>1026</v>
      </c>
      <c r="I50" s="367">
        <f>'SCHEDULE OF ACCOUNTS'!I52</f>
        <v>623351.12</v>
      </c>
      <c r="J50" s="367"/>
      <c r="K50" s="365"/>
      <c r="L50" s="388" t="s">
        <v>967</v>
      </c>
      <c r="M50" s="193"/>
      <c r="N50" s="167"/>
      <c r="O50" s="62"/>
    </row>
    <row r="51" spans="1:15" x14ac:dyDescent="0.25">
      <c r="B51" s="369"/>
      <c r="C51" s="366"/>
      <c r="D51" s="366" t="s">
        <v>122</v>
      </c>
      <c r="E51" s="907" t="s">
        <v>123</v>
      </c>
      <c r="F51" s="907" t="s">
        <v>1190</v>
      </c>
      <c r="G51" s="908" t="s">
        <v>1039</v>
      </c>
      <c r="H51" s="907" t="s">
        <v>1027</v>
      </c>
      <c r="I51" s="367">
        <f>'SCHEDULE OF ACCOUNTS'!I53</f>
        <v>24389.88</v>
      </c>
      <c r="J51" s="367"/>
      <c r="K51" s="365"/>
      <c r="L51" s="391" t="s">
        <v>970</v>
      </c>
      <c r="M51" s="393">
        <f>M48+M49</f>
        <v>637925013.27999997</v>
      </c>
      <c r="N51" s="167"/>
      <c r="O51" s="62"/>
    </row>
    <row r="52" spans="1:15" x14ac:dyDescent="0.25">
      <c r="B52" s="369"/>
      <c r="C52" s="366"/>
      <c r="D52" s="366" t="s">
        <v>128</v>
      </c>
      <c r="E52" s="907" t="s">
        <v>129</v>
      </c>
      <c r="F52" s="907" t="s">
        <v>1191</v>
      </c>
      <c r="G52" s="908" t="s">
        <v>1039</v>
      </c>
      <c r="H52" s="907" t="s">
        <v>1028</v>
      </c>
      <c r="I52" s="367">
        <f>'SCHEDULE OF ACCOUNTS'!I54</f>
        <v>6456172.5099999998</v>
      </c>
      <c r="J52" s="367"/>
      <c r="K52" s="365"/>
      <c r="L52" s="167"/>
      <c r="M52" s="167"/>
      <c r="N52" s="166"/>
      <c r="O52" s="62"/>
    </row>
    <row r="53" spans="1:15" x14ac:dyDescent="0.25">
      <c r="B53" s="369"/>
      <c r="C53" s="366"/>
      <c r="D53" s="366" t="s">
        <v>132</v>
      </c>
      <c r="E53" s="907" t="s">
        <v>133</v>
      </c>
      <c r="F53" s="907" t="s">
        <v>1192</v>
      </c>
      <c r="G53" s="908" t="s">
        <v>1039</v>
      </c>
      <c r="H53" s="907" t="s">
        <v>1029</v>
      </c>
      <c r="I53" s="367">
        <f>'SCHEDULE OF ACCOUNTS'!I55</f>
        <v>968664.7</v>
      </c>
      <c r="J53" s="367"/>
      <c r="K53" s="365"/>
      <c r="L53" s="388" t="s">
        <v>963</v>
      </c>
      <c r="M53" s="193">
        <f>I56+I45</f>
        <v>1115088321.3199999</v>
      </c>
      <c r="N53" s="166"/>
      <c r="O53" s="62"/>
    </row>
    <row r="54" spans="1:15" x14ac:dyDescent="0.25">
      <c r="B54" s="369"/>
      <c r="C54" s="366"/>
      <c r="D54" s="366" t="s">
        <v>136</v>
      </c>
      <c r="E54" s="907" t="s">
        <v>137</v>
      </c>
      <c r="F54" s="907" t="s">
        <v>1193</v>
      </c>
      <c r="G54" s="908" t="s">
        <v>1039</v>
      </c>
      <c r="H54" s="907" t="s">
        <v>137</v>
      </c>
      <c r="I54" s="367">
        <f>'SCHEDULE OF ACCOUNTS'!I56</f>
        <v>0</v>
      </c>
      <c r="J54" s="367"/>
      <c r="K54" s="365"/>
      <c r="L54" s="388" t="s">
        <v>964</v>
      </c>
      <c r="M54" s="193">
        <f>I42</f>
        <v>6938605.7300000004</v>
      </c>
      <c r="N54" s="157"/>
      <c r="O54" s="62"/>
    </row>
    <row r="55" spans="1:15" s="63" customFormat="1" x14ac:dyDescent="0.25">
      <c r="A55"/>
      <c r="B55" s="369" t="s">
        <v>65</v>
      </c>
      <c r="C55" s="366" t="s">
        <v>66</v>
      </c>
      <c r="D55" s="366" t="s">
        <v>151</v>
      </c>
      <c r="E55" s="907" t="s">
        <v>152</v>
      </c>
      <c r="F55" s="907" t="s">
        <v>1188</v>
      </c>
      <c r="G55" s="908" t="s">
        <v>1039</v>
      </c>
      <c r="H55" s="907" t="s">
        <v>152</v>
      </c>
      <c r="I55" s="367"/>
      <c r="J55" s="367">
        <f>'SCHEDULE OF ACCOUNTS'!J57</f>
        <v>1020331438.78</v>
      </c>
      <c r="K55" s="365"/>
      <c r="L55" s="388" t="s">
        <v>965</v>
      </c>
      <c r="M55" s="193">
        <f>I62</f>
        <v>1143744205.77</v>
      </c>
      <c r="N55" s="157"/>
      <c r="O55" s="62"/>
    </row>
    <row r="56" spans="1:15" s="63" customFormat="1" x14ac:dyDescent="0.25">
      <c r="A56"/>
      <c r="B56" s="369" t="s">
        <v>81</v>
      </c>
      <c r="C56" s="366" t="s">
        <v>82</v>
      </c>
      <c r="D56" s="366" t="s">
        <v>83</v>
      </c>
      <c r="E56" s="907" t="s">
        <v>84</v>
      </c>
      <c r="F56" s="907" t="s">
        <v>1194</v>
      </c>
      <c r="G56" s="908" t="s">
        <v>1039</v>
      </c>
      <c r="H56" s="907" t="s">
        <v>84</v>
      </c>
      <c r="I56" s="367">
        <f>'SCHEDULE OF ACCOUNTS'!I58</f>
        <v>1101588321.3199999</v>
      </c>
      <c r="J56" s="367"/>
      <c r="K56" s="374"/>
      <c r="L56" s="388" t="s">
        <v>966</v>
      </c>
      <c r="M56" s="193">
        <f>I52+I53</f>
        <v>7424837.21</v>
      </c>
      <c r="N56" s="157"/>
      <c r="O56" s="62"/>
    </row>
    <row r="57" spans="1:15" s="63" customFormat="1" x14ac:dyDescent="0.25">
      <c r="A57"/>
      <c r="B57" s="369" t="s">
        <v>86</v>
      </c>
      <c r="C57" s="366" t="s">
        <v>87</v>
      </c>
      <c r="D57" s="366" t="s">
        <v>85</v>
      </c>
      <c r="E57" s="907" t="s">
        <v>76</v>
      </c>
      <c r="F57" s="907" t="s">
        <v>1185</v>
      </c>
      <c r="G57" s="908" t="s">
        <v>1039</v>
      </c>
      <c r="H57" s="907" t="s">
        <v>1086</v>
      </c>
      <c r="I57" s="367"/>
      <c r="J57" s="367">
        <f>'SCHEDULE OF ACCOUNTS'!J59</f>
        <v>1044927920.3200001</v>
      </c>
      <c r="K57" s="365"/>
      <c r="L57" s="388" t="s">
        <v>967</v>
      </c>
      <c r="M57" s="193">
        <f>I63</f>
        <v>3252877.38</v>
      </c>
      <c r="N57" s="157"/>
      <c r="O57" s="62"/>
    </row>
    <row r="58" spans="1:15" s="63" customFormat="1" x14ac:dyDescent="0.25">
      <c r="A58"/>
      <c r="B58" s="369" t="s">
        <v>96</v>
      </c>
      <c r="C58" s="366" t="s">
        <v>97</v>
      </c>
      <c r="D58" s="366" t="s">
        <v>98</v>
      </c>
      <c r="E58" s="907" t="s">
        <v>96</v>
      </c>
      <c r="F58" s="907" t="s">
        <v>1195</v>
      </c>
      <c r="G58" s="908" t="s">
        <v>1040</v>
      </c>
      <c r="H58" s="907" t="s">
        <v>995</v>
      </c>
      <c r="I58" s="367">
        <f>'SCHEDULE OF ACCOUNTS'!I60</f>
        <v>64158614.710000001</v>
      </c>
      <c r="J58" s="367"/>
      <c r="K58" s="374"/>
      <c r="L58" s="193"/>
      <c r="M58" s="193">
        <f>M53+M54+M55+M56+M57</f>
        <v>2276448847.4099998</v>
      </c>
      <c r="N58" s="157"/>
      <c r="O58" s="62"/>
    </row>
    <row r="59" spans="1:15" s="63" customFormat="1" x14ac:dyDescent="0.25">
      <c r="A59"/>
      <c r="B59" s="369"/>
      <c r="C59" s="366"/>
      <c r="D59" s="366" t="s">
        <v>79</v>
      </c>
      <c r="E59" s="907" t="s">
        <v>80</v>
      </c>
      <c r="F59" s="907" t="s">
        <v>1195</v>
      </c>
      <c r="G59" s="908" t="s">
        <v>1040</v>
      </c>
      <c r="H59" s="907" t="s">
        <v>996</v>
      </c>
      <c r="I59" s="367"/>
      <c r="J59" s="367">
        <f>'SCHEDULE OF ACCOUNTS'!J61</f>
        <v>31871912.260000002</v>
      </c>
      <c r="K59" s="365"/>
      <c r="L59" s="388" t="s">
        <v>969</v>
      </c>
      <c r="M59" s="193">
        <f>-J44-J49-J55-J57-J64</f>
        <v>-2197394742.75</v>
      </c>
      <c r="N59" s="157"/>
      <c r="O59" s="62"/>
    </row>
    <row r="60" spans="1:15" s="63" customFormat="1" hidden="1" x14ac:dyDescent="0.25">
      <c r="A60"/>
      <c r="B60" s="369" t="s">
        <v>99</v>
      </c>
      <c r="C60" s="366" t="s">
        <v>100</v>
      </c>
      <c r="D60" s="373"/>
      <c r="E60" s="373"/>
      <c r="F60" s="374"/>
      <c r="G60" s="374"/>
      <c r="H60" s="367"/>
      <c r="I60" s="367"/>
      <c r="J60" s="367"/>
      <c r="K60" s="374"/>
      <c r="L60" s="394"/>
      <c r="M60" s="395"/>
      <c r="N60" s="157"/>
      <c r="O60" s="62"/>
    </row>
    <row r="61" spans="1:15" s="63" customFormat="1" x14ac:dyDescent="0.25">
      <c r="A61"/>
      <c r="B61" s="369" t="s">
        <v>103</v>
      </c>
      <c r="C61" s="366" t="s">
        <v>104</v>
      </c>
      <c r="D61" s="366" t="s">
        <v>140</v>
      </c>
      <c r="E61" s="907" t="s">
        <v>141</v>
      </c>
      <c r="F61" s="907" t="s">
        <v>1196</v>
      </c>
      <c r="G61" s="908" t="s">
        <v>1045</v>
      </c>
      <c r="H61" s="907" t="s">
        <v>141</v>
      </c>
      <c r="I61" s="367"/>
      <c r="J61" s="367"/>
      <c r="K61" s="374"/>
      <c r="L61" s="393" t="s">
        <v>971</v>
      </c>
      <c r="M61" s="193">
        <f>M58+M59</f>
        <v>79054104.659999847</v>
      </c>
      <c r="N61" s="158"/>
      <c r="O61" s="62"/>
    </row>
    <row r="62" spans="1:15" s="63" customFormat="1" x14ac:dyDescent="0.25">
      <c r="A62"/>
      <c r="B62" s="369" t="s">
        <v>106</v>
      </c>
      <c r="C62" s="366" t="s">
        <v>107</v>
      </c>
      <c r="D62" s="366" t="s">
        <v>146</v>
      </c>
      <c r="E62" s="907" t="s">
        <v>147</v>
      </c>
      <c r="F62" s="907" t="s">
        <v>1196</v>
      </c>
      <c r="G62" s="908" t="s">
        <v>1045</v>
      </c>
      <c r="H62" s="907" t="s">
        <v>147</v>
      </c>
      <c r="I62" s="367">
        <f>'SCHEDULE OF ACCOUNTS'!I64</f>
        <v>1143744205.77</v>
      </c>
      <c r="J62" s="367"/>
      <c r="K62" s="365"/>
      <c r="L62" s="193"/>
      <c r="M62" s="193"/>
      <c r="N62" s="170"/>
    </row>
    <row r="63" spans="1:15" s="63" customFormat="1" x14ac:dyDescent="0.25">
      <c r="A63"/>
      <c r="B63" s="369" t="s">
        <v>111</v>
      </c>
      <c r="C63" s="366" t="s">
        <v>112</v>
      </c>
      <c r="D63" s="366" t="s">
        <v>751</v>
      </c>
      <c r="E63" s="907" t="s">
        <v>150</v>
      </c>
      <c r="F63" s="907" t="s">
        <v>1197</v>
      </c>
      <c r="G63" s="908" t="s">
        <v>1045</v>
      </c>
      <c r="H63" s="907" t="s">
        <v>150</v>
      </c>
      <c r="I63" s="367">
        <f>'SCHEDULE OF ACCOUNTS'!I65</f>
        <v>3252877.38</v>
      </c>
      <c r="J63" s="367"/>
      <c r="K63" s="365"/>
      <c r="L63" s="416"/>
      <c r="M63" s="500"/>
      <c r="N63" s="170"/>
    </row>
    <row r="64" spans="1:15" s="63" customFormat="1" x14ac:dyDescent="0.25">
      <c r="A64"/>
      <c r="B64" s="369" t="s">
        <v>116</v>
      </c>
      <c r="C64" s="366" t="s">
        <v>117</v>
      </c>
      <c r="D64" s="366" t="s">
        <v>752</v>
      </c>
      <c r="E64" s="907" t="s">
        <v>753</v>
      </c>
      <c r="F64" s="907" t="s">
        <v>1198</v>
      </c>
      <c r="G64" s="908" t="s">
        <v>1045</v>
      </c>
      <c r="H64" s="907" t="s">
        <v>1092</v>
      </c>
      <c r="I64" s="367"/>
      <c r="J64" s="367">
        <f>'SCHEDULE OF ACCOUNTS'!J66</f>
        <v>3252877.38</v>
      </c>
      <c r="K64" s="365"/>
      <c r="N64" s="170"/>
    </row>
    <row r="65" spans="1:15" s="63" customFormat="1" hidden="1" x14ac:dyDescent="0.25">
      <c r="A65"/>
      <c r="B65" s="369" t="s">
        <v>120</v>
      </c>
      <c r="C65" s="366" t="s">
        <v>121</v>
      </c>
      <c r="D65" s="373"/>
      <c r="E65" s="373"/>
      <c r="F65" s="374"/>
      <c r="G65" s="374"/>
      <c r="H65" s="367"/>
      <c r="I65" s="367"/>
      <c r="J65" s="367"/>
      <c r="K65" s="374"/>
      <c r="N65" s="170"/>
    </row>
    <row r="66" spans="1:15" s="63" customFormat="1" x14ac:dyDescent="0.25">
      <c r="A66"/>
      <c r="B66" s="369" t="s">
        <v>126</v>
      </c>
      <c r="C66" s="366" t="s">
        <v>127</v>
      </c>
      <c r="D66" s="909" t="s">
        <v>692</v>
      </c>
      <c r="E66" s="907" t="s">
        <v>149</v>
      </c>
      <c r="F66" s="907" t="s">
        <v>1199</v>
      </c>
      <c r="G66" s="908" t="s">
        <v>928</v>
      </c>
      <c r="H66" s="907" t="s">
        <v>149</v>
      </c>
      <c r="I66" s="367">
        <f>'SCHEDULE OF ACCOUNTS'!I68</f>
        <v>11385.65</v>
      </c>
      <c r="J66" s="367"/>
      <c r="K66" s="365"/>
      <c r="N66" s="173"/>
    </row>
    <row r="67" spans="1:15" s="63" customFormat="1" hidden="1" x14ac:dyDescent="0.25">
      <c r="A67"/>
      <c r="B67" s="369"/>
      <c r="C67" s="366"/>
      <c r="D67" s="916"/>
      <c r="E67" s="368"/>
      <c r="F67" s="368"/>
      <c r="G67" s="368"/>
      <c r="H67" s="907"/>
      <c r="I67" s="367"/>
      <c r="J67" s="367"/>
      <c r="K67" s="374"/>
      <c r="L67" s="171" t="s">
        <v>968</v>
      </c>
      <c r="M67" s="172"/>
      <c r="N67" s="170"/>
    </row>
    <row r="68" spans="1:15" s="63" customFormat="1" hidden="1" x14ac:dyDescent="0.25">
      <c r="A68"/>
      <c r="B68" s="369" t="s">
        <v>130</v>
      </c>
      <c r="C68" s="366" t="s">
        <v>131</v>
      </c>
      <c r="D68" s="373"/>
      <c r="E68" s="373"/>
      <c r="F68" s="913"/>
      <c r="G68" s="374"/>
      <c r="H68" s="367"/>
      <c r="I68" s="367"/>
      <c r="J68" s="367"/>
      <c r="K68" s="374"/>
      <c r="L68" s="169"/>
      <c r="M68" s="172"/>
      <c r="N68" s="170"/>
    </row>
    <row r="69" spans="1:15" s="63" customFormat="1" x14ac:dyDescent="0.25">
      <c r="A69"/>
      <c r="B69" s="369" t="s">
        <v>134</v>
      </c>
      <c r="C69" s="366" t="s">
        <v>135</v>
      </c>
      <c r="D69" s="366" t="s">
        <v>781</v>
      </c>
      <c r="E69" s="907" t="s">
        <v>782</v>
      </c>
      <c r="F69" s="907" t="s">
        <v>1200</v>
      </c>
      <c r="G69" s="908" t="s">
        <v>1046</v>
      </c>
      <c r="H69" s="907" t="s">
        <v>782</v>
      </c>
      <c r="I69" s="367">
        <v>0</v>
      </c>
      <c r="J69" s="367"/>
      <c r="K69" s="374"/>
      <c r="L69" s="166"/>
      <c r="M69" s="170"/>
      <c r="N69" s="170"/>
    </row>
    <row r="70" spans="1:15" s="63" customFormat="1" x14ac:dyDescent="0.25">
      <c r="A70"/>
      <c r="B70" s="369" t="s">
        <v>138</v>
      </c>
      <c r="C70" s="366" t="s">
        <v>139</v>
      </c>
      <c r="D70" s="366" t="s">
        <v>155</v>
      </c>
      <c r="E70" s="907" t="s">
        <v>156</v>
      </c>
      <c r="F70" s="907" t="s">
        <v>1201</v>
      </c>
      <c r="G70" s="908" t="s">
        <v>1046</v>
      </c>
      <c r="H70" s="907" t="s">
        <v>156</v>
      </c>
      <c r="I70" s="367">
        <f>'SCHEDULE OF ACCOUNTS'!I72</f>
        <v>1558990.67</v>
      </c>
      <c r="J70" s="367"/>
      <c r="K70" s="374"/>
      <c r="L70" s="166"/>
      <c r="M70" s="170"/>
      <c r="N70" s="170"/>
    </row>
    <row r="71" spans="1:15" s="63" customFormat="1" hidden="1" x14ac:dyDescent="0.25">
      <c r="A71"/>
      <c r="B71" s="369" t="s">
        <v>142</v>
      </c>
      <c r="C71" s="366" t="s">
        <v>143</v>
      </c>
      <c r="D71" s="373"/>
      <c r="E71" s="373"/>
      <c r="F71" s="374"/>
      <c r="G71" s="374"/>
      <c r="H71" s="367"/>
      <c r="I71" s="367"/>
      <c r="J71" s="367"/>
      <c r="K71" s="374"/>
      <c r="L71" s="165"/>
      <c r="M71" s="166"/>
      <c r="N71" s="166"/>
    </row>
    <row r="72" spans="1:15" s="63" customFormat="1" ht="19.5" hidden="1" customHeight="1" x14ac:dyDescent="0.25">
      <c r="A72"/>
      <c r="B72" s="369"/>
      <c r="C72" s="366"/>
      <c r="D72" s="373"/>
      <c r="E72" s="373"/>
      <c r="F72" s="913"/>
      <c r="G72" s="374"/>
      <c r="H72" s="367"/>
      <c r="I72" s="367"/>
      <c r="J72" s="367"/>
      <c r="K72" s="374"/>
      <c r="L72" s="165"/>
      <c r="M72" s="170"/>
      <c r="N72" s="170"/>
    </row>
    <row r="73" spans="1:15" s="63" customFormat="1" ht="15" customHeight="1" x14ac:dyDescent="0.25">
      <c r="A73"/>
      <c r="B73" s="369" t="s">
        <v>144</v>
      </c>
      <c r="C73" s="366" t="s">
        <v>145</v>
      </c>
      <c r="D73" s="366" t="s">
        <v>174</v>
      </c>
      <c r="E73" s="907" t="s">
        <v>175</v>
      </c>
      <c r="F73" s="907" t="s">
        <v>1202</v>
      </c>
      <c r="G73" s="908" t="s">
        <v>1049</v>
      </c>
      <c r="H73" s="907" t="s">
        <v>175</v>
      </c>
      <c r="I73" s="367">
        <f>'SCHEDULE OF ACCOUNTS'!I75</f>
        <v>349338581.29000002</v>
      </c>
      <c r="J73" s="367"/>
      <c r="K73" s="374"/>
      <c r="L73" s="207"/>
      <c r="M73" s="969"/>
      <c r="N73" s="969"/>
      <c r="O73" s="207"/>
    </row>
    <row r="74" spans="1:15" s="63" customFormat="1" x14ac:dyDescent="0.25">
      <c r="A74"/>
      <c r="B74" s="369"/>
      <c r="C74" s="366"/>
      <c r="D74" s="366" t="s">
        <v>181</v>
      </c>
      <c r="E74" s="907" t="s">
        <v>182</v>
      </c>
      <c r="F74" s="907" t="s">
        <v>1203</v>
      </c>
      <c r="G74" s="908" t="s">
        <v>1049</v>
      </c>
      <c r="H74" s="907" t="s">
        <v>182</v>
      </c>
      <c r="I74" s="367">
        <f>'SCHEDULE OF ACCOUNTS'!I76</f>
        <v>30411002829.810001</v>
      </c>
      <c r="J74" s="367"/>
      <c r="K74" s="374"/>
      <c r="L74" s="166"/>
      <c r="M74" s="166"/>
      <c r="N74" s="170"/>
    </row>
    <row r="75" spans="1:15" s="63" customFormat="1" hidden="1" x14ac:dyDescent="0.25">
      <c r="A75"/>
      <c r="B75" s="369"/>
      <c r="C75" s="366"/>
      <c r="D75" s="373"/>
      <c r="E75" s="373"/>
      <c r="F75" s="374"/>
      <c r="G75" s="374"/>
      <c r="H75" s="367"/>
      <c r="I75" s="367"/>
      <c r="J75" s="367"/>
      <c r="K75" s="374"/>
      <c r="L75" s="165"/>
      <c r="M75" s="166"/>
      <c r="N75" s="166"/>
    </row>
    <row r="76" spans="1:15" s="63" customFormat="1" ht="25.5" hidden="1" customHeight="1" x14ac:dyDescent="0.25">
      <c r="A76"/>
      <c r="B76" s="369" t="s">
        <v>142</v>
      </c>
      <c r="C76" s="366" t="s">
        <v>148</v>
      </c>
      <c r="D76" s="373"/>
      <c r="E76" s="373"/>
      <c r="F76" s="479"/>
      <c r="G76" s="374"/>
      <c r="H76" s="367"/>
      <c r="I76" s="367"/>
      <c r="J76" s="367"/>
      <c r="K76" s="374"/>
      <c r="L76" s="165"/>
      <c r="M76" s="170"/>
      <c r="N76" s="170"/>
    </row>
    <row r="77" spans="1:15" s="63" customFormat="1" x14ac:dyDescent="0.25">
      <c r="A77"/>
      <c r="B77" s="369"/>
      <c r="C77" s="366"/>
      <c r="D77" s="366" t="s">
        <v>185</v>
      </c>
      <c r="E77" s="907" t="s">
        <v>186</v>
      </c>
      <c r="F77" s="907" t="s">
        <v>1204</v>
      </c>
      <c r="G77" s="908" t="s">
        <v>183</v>
      </c>
      <c r="H77" s="907" t="s">
        <v>186</v>
      </c>
      <c r="I77" s="367">
        <f>'SCHEDULE OF ACCOUNTS'!I79</f>
        <v>70721642.950000003</v>
      </c>
      <c r="J77" s="367"/>
      <c r="K77" s="486" t="s">
        <v>1138</v>
      </c>
      <c r="L77" s="166"/>
      <c r="M77" s="166"/>
      <c r="N77" s="170"/>
    </row>
    <row r="78" spans="1:15" s="63" customFormat="1" x14ac:dyDescent="0.25">
      <c r="A78"/>
      <c r="B78" s="369" t="s">
        <v>153</v>
      </c>
      <c r="C78" s="366" t="s">
        <v>154</v>
      </c>
      <c r="D78" s="366" t="s">
        <v>189</v>
      </c>
      <c r="E78" s="907" t="s">
        <v>190</v>
      </c>
      <c r="F78" s="907" t="s">
        <v>1205</v>
      </c>
      <c r="G78" s="908" t="s">
        <v>183</v>
      </c>
      <c r="H78" s="907" t="s">
        <v>190</v>
      </c>
      <c r="I78" s="367"/>
      <c r="J78" s="367">
        <f>'SCHEDULE OF ACCOUNTS'!J80</f>
        <v>69907828.680000007</v>
      </c>
      <c r="K78" s="486" t="s">
        <v>1139</v>
      </c>
      <c r="L78" s="166"/>
      <c r="M78" s="166"/>
      <c r="N78" s="170"/>
    </row>
    <row r="79" spans="1:15" s="63" customFormat="1" hidden="1" x14ac:dyDescent="0.25">
      <c r="A79"/>
      <c r="B79" s="369" t="s">
        <v>157</v>
      </c>
      <c r="C79" s="366" t="s">
        <v>158</v>
      </c>
      <c r="D79" s="373"/>
      <c r="E79" s="373"/>
      <c r="F79" s="374"/>
      <c r="G79" s="374"/>
      <c r="H79" s="367"/>
      <c r="I79" s="367"/>
      <c r="J79" s="367"/>
      <c r="K79" s="373"/>
      <c r="L79" s="166"/>
      <c r="M79" s="166"/>
      <c r="N79" s="166"/>
    </row>
    <row r="80" spans="1:15" s="63" customFormat="1" x14ac:dyDescent="0.25">
      <c r="A80"/>
      <c r="B80" s="369" t="s">
        <v>160</v>
      </c>
      <c r="C80" s="366" t="s">
        <v>161</v>
      </c>
      <c r="D80" s="366" t="s">
        <v>215</v>
      </c>
      <c r="E80" s="907" t="s">
        <v>216</v>
      </c>
      <c r="F80" s="907" t="s">
        <v>1206</v>
      </c>
      <c r="G80" s="908" t="s">
        <v>1050</v>
      </c>
      <c r="H80" s="907" t="s">
        <v>216</v>
      </c>
      <c r="I80" s="367">
        <f>'SCHEDULE OF ACCOUNTS'!I82</f>
        <v>1160068948.9100001</v>
      </c>
      <c r="J80" s="367"/>
      <c r="K80" s="487" t="s">
        <v>1140</v>
      </c>
      <c r="L80" s="166"/>
      <c r="M80" s="166"/>
      <c r="N80" s="166"/>
    </row>
    <row r="81" spans="1:14" s="63" customFormat="1" x14ac:dyDescent="0.25">
      <c r="A81"/>
      <c r="B81" s="369"/>
      <c r="C81" s="366"/>
      <c r="D81" s="366" t="s">
        <v>178</v>
      </c>
      <c r="E81" s="907" t="s">
        <v>179</v>
      </c>
      <c r="F81" s="907" t="s">
        <v>1207</v>
      </c>
      <c r="G81" s="908" t="s">
        <v>1050</v>
      </c>
      <c r="H81" s="907" t="s">
        <v>179</v>
      </c>
      <c r="I81" s="367"/>
      <c r="J81" s="367">
        <f>'SCHEDULE OF ACCOUNTS'!J83</f>
        <v>1159727430.78</v>
      </c>
      <c r="K81" s="487" t="s">
        <v>1137</v>
      </c>
      <c r="L81" s="166"/>
      <c r="M81" s="166"/>
      <c r="N81" s="166"/>
    </row>
    <row r="82" spans="1:14" s="63" customFormat="1" x14ac:dyDescent="0.25">
      <c r="A82"/>
      <c r="B82" s="369"/>
      <c r="C82" s="366"/>
      <c r="D82" s="366" t="s">
        <v>206</v>
      </c>
      <c r="E82" s="907" t="s">
        <v>207</v>
      </c>
      <c r="F82" s="907" t="s">
        <v>1208</v>
      </c>
      <c r="G82" s="908" t="s">
        <v>1050</v>
      </c>
      <c r="H82" s="907" t="s">
        <v>207</v>
      </c>
      <c r="I82" s="367">
        <f>'SCHEDULE OF ACCOUNTS'!I84</f>
        <v>4518600</v>
      </c>
      <c r="J82" s="367"/>
      <c r="K82" s="487" t="s">
        <v>1140</v>
      </c>
      <c r="L82" s="166"/>
      <c r="M82" s="166"/>
      <c r="N82" s="170"/>
    </row>
    <row r="83" spans="1:14" s="63" customFormat="1" x14ac:dyDescent="0.25">
      <c r="A83"/>
      <c r="B83" s="369"/>
      <c r="C83" s="366"/>
      <c r="D83" s="366" t="s">
        <v>208</v>
      </c>
      <c r="E83" s="907" t="s">
        <v>209</v>
      </c>
      <c r="F83" s="907" t="s">
        <v>1209</v>
      </c>
      <c r="G83" s="908" t="s">
        <v>1050</v>
      </c>
      <c r="H83" s="907" t="s">
        <v>209</v>
      </c>
      <c r="I83" s="367"/>
      <c r="J83" s="367">
        <f>'SCHEDULE OF ACCOUNTS'!J85</f>
        <v>4518600</v>
      </c>
      <c r="K83" s="487" t="s">
        <v>1137</v>
      </c>
      <c r="L83" s="166"/>
      <c r="M83" s="166"/>
      <c r="N83" s="166"/>
    </row>
    <row r="84" spans="1:14" s="63" customFormat="1" x14ac:dyDescent="0.25">
      <c r="A84"/>
      <c r="B84" s="369"/>
      <c r="C84" s="366"/>
      <c r="D84" s="366" t="s">
        <v>193</v>
      </c>
      <c r="E84" s="907" t="s">
        <v>194</v>
      </c>
      <c r="F84" s="907" t="s">
        <v>1210</v>
      </c>
      <c r="G84" s="908" t="s">
        <v>1050</v>
      </c>
      <c r="H84" s="907" t="s">
        <v>998</v>
      </c>
      <c r="I84" s="367">
        <f>'SCHEDULE OF ACCOUNTS'!I86</f>
        <v>922591.08</v>
      </c>
      <c r="J84" s="367"/>
      <c r="K84" s="487" t="s">
        <v>1140</v>
      </c>
      <c r="L84" s="61"/>
      <c r="M84" s="167"/>
      <c r="N84" s="167"/>
    </row>
    <row r="85" spans="1:14" s="63" customFormat="1" x14ac:dyDescent="0.25">
      <c r="A85"/>
      <c r="B85" s="369"/>
      <c r="C85" s="366"/>
      <c r="D85" s="366" t="s">
        <v>197</v>
      </c>
      <c r="E85" s="907" t="s">
        <v>198</v>
      </c>
      <c r="F85" s="907" t="s">
        <v>1211</v>
      </c>
      <c r="G85" s="908" t="s">
        <v>1050</v>
      </c>
      <c r="H85" s="907" t="s">
        <v>1051</v>
      </c>
      <c r="I85" s="367"/>
      <c r="J85" s="367">
        <f>'SCHEDULE OF ACCOUNTS'!J87</f>
        <v>922590.08</v>
      </c>
      <c r="K85" s="487" t="s">
        <v>1137</v>
      </c>
      <c r="L85" s="206"/>
      <c r="M85" s="167"/>
      <c r="N85" s="167"/>
    </row>
    <row r="86" spans="1:14" s="63" customFormat="1" hidden="1" x14ac:dyDescent="0.25">
      <c r="A86"/>
      <c r="B86" s="369"/>
      <c r="C86" s="366"/>
      <c r="D86" s="373"/>
      <c r="E86" s="373"/>
      <c r="F86" s="374"/>
      <c r="G86" s="374"/>
      <c r="H86" s="367"/>
      <c r="I86" s="367"/>
      <c r="J86" s="367"/>
      <c r="K86" s="373"/>
      <c r="L86" s="61"/>
      <c r="M86" s="167"/>
      <c r="N86" s="167"/>
    </row>
    <row r="87" spans="1:14" s="63" customFormat="1" x14ac:dyDescent="0.25">
      <c r="A87"/>
      <c r="B87" s="369" t="s">
        <v>159</v>
      </c>
      <c r="C87" s="366" t="s">
        <v>164</v>
      </c>
      <c r="D87" s="366" t="s">
        <v>232</v>
      </c>
      <c r="E87" s="907" t="s">
        <v>231</v>
      </c>
      <c r="F87" s="907" t="s">
        <v>1212</v>
      </c>
      <c r="G87" s="908" t="s">
        <v>1052</v>
      </c>
      <c r="H87" s="907" t="s">
        <v>231</v>
      </c>
      <c r="I87" s="367">
        <f>'SCHEDULE OF ACCOUNTS'!I89</f>
        <v>12862817.039999999</v>
      </c>
      <c r="J87" s="367"/>
      <c r="K87" s="488" t="s">
        <v>1141</v>
      </c>
      <c r="L87" s="61"/>
      <c r="M87" s="167"/>
      <c r="N87" s="167"/>
    </row>
    <row r="88" spans="1:14" s="63" customFormat="1" x14ac:dyDescent="0.25">
      <c r="A88"/>
      <c r="B88" s="369"/>
      <c r="C88" s="917"/>
      <c r="D88" s="366" t="s">
        <v>233</v>
      </c>
      <c r="E88" s="907" t="s">
        <v>234</v>
      </c>
      <c r="F88" s="907" t="s">
        <v>1213</v>
      </c>
      <c r="G88" s="908" t="s">
        <v>1052</v>
      </c>
      <c r="H88" s="907" t="s">
        <v>234</v>
      </c>
      <c r="I88" s="367"/>
      <c r="J88" s="367">
        <f>'SCHEDULE OF ACCOUNTS'!J90</f>
        <v>8264626.9400000004</v>
      </c>
      <c r="K88" s="488" t="s">
        <v>1142</v>
      </c>
      <c r="L88" s="61"/>
      <c r="M88" s="167"/>
      <c r="N88" s="167"/>
    </row>
    <row r="89" spans="1:14" s="63" customFormat="1" x14ac:dyDescent="0.25">
      <c r="A89"/>
      <c r="B89" s="369" t="s">
        <v>167</v>
      </c>
      <c r="C89" s="366" t="s">
        <v>168</v>
      </c>
      <c r="D89" s="909" t="s">
        <v>693</v>
      </c>
      <c r="E89" s="907" t="s">
        <v>201</v>
      </c>
      <c r="F89" s="907" t="s">
        <v>1214</v>
      </c>
      <c r="G89" s="908" t="s">
        <v>1052</v>
      </c>
      <c r="H89" s="907" t="s">
        <v>201</v>
      </c>
      <c r="I89" s="367">
        <f>'SCHEDULE OF ACCOUNTS'!I91</f>
        <v>14007697.26</v>
      </c>
      <c r="J89" s="367"/>
      <c r="K89" s="488" t="s">
        <v>1141</v>
      </c>
      <c r="L89" s="166"/>
      <c r="M89" s="166"/>
      <c r="N89" s="174"/>
    </row>
    <row r="90" spans="1:14" s="63" customFormat="1" x14ac:dyDescent="0.25">
      <c r="A90"/>
      <c r="B90" s="369" t="s">
        <v>172</v>
      </c>
      <c r="C90" s="366" t="s">
        <v>173</v>
      </c>
      <c r="D90" s="909" t="s">
        <v>694</v>
      </c>
      <c r="E90" s="907" t="s">
        <v>748</v>
      </c>
      <c r="F90" s="907" t="s">
        <v>1215</v>
      </c>
      <c r="G90" s="908" t="s">
        <v>1052</v>
      </c>
      <c r="H90" s="907" t="s">
        <v>1053</v>
      </c>
      <c r="I90" s="367"/>
      <c r="J90" s="367">
        <f>'SCHEDULE OF ACCOUNTS'!J92</f>
        <v>11778358.77</v>
      </c>
      <c r="K90" s="488" t="s">
        <v>1142</v>
      </c>
      <c r="L90" s="166"/>
      <c r="M90" s="166"/>
      <c r="N90" s="166"/>
    </row>
    <row r="91" spans="1:14" s="63" customFormat="1" x14ac:dyDescent="0.25">
      <c r="A91"/>
      <c r="B91" s="369"/>
      <c r="C91" s="366"/>
      <c r="D91" s="909" t="s">
        <v>783</v>
      </c>
      <c r="E91" s="907" t="s">
        <v>784</v>
      </c>
      <c r="F91" s="907" t="s">
        <v>1216</v>
      </c>
      <c r="G91" s="908" t="s">
        <v>1052</v>
      </c>
      <c r="H91" s="907" t="s">
        <v>784</v>
      </c>
      <c r="I91" s="367">
        <f>'SCHEDULE OF ACCOUNTS'!I93</f>
        <v>341606.14</v>
      </c>
      <c r="J91" s="367"/>
      <c r="K91" s="488" t="s">
        <v>1141</v>
      </c>
      <c r="L91" s="166"/>
      <c r="M91" s="166"/>
      <c r="N91" s="166"/>
    </row>
    <row r="92" spans="1:14" s="63" customFormat="1" x14ac:dyDescent="0.25">
      <c r="A92"/>
      <c r="B92" s="369"/>
      <c r="C92" s="366"/>
      <c r="D92" s="909" t="s">
        <v>785</v>
      </c>
      <c r="E92" s="907" t="s">
        <v>786</v>
      </c>
      <c r="F92" s="907" t="s">
        <v>1217</v>
      </c>
      <c r="G92" s="908" t="s">
        <v>1052</v>
      </c>
      <c r="H92" s="907" t="s">
        <v>786</v>
      </c>
      <c r="I92" s="367"/>
      <c r="J92" s="367">
        <f>'SCHEDULE OF ACCOUNTS'!J94</f>
        <v>339720.08</v>
      </c>
      <c r="K92" s="488" t="s">
        <v>1142</v>
      </c>
      <c r="L92" s="207"/>
      <c r="M92" s="166"/>
      <c r="N92" s="166"/>
    </row>
    <row r="93" spans="1:14" s="63" customFormat="1" hidden="1" x14ac:dyDescent="0.25">
      <c r="A93"/>
      <c r="B93" s="369" t="s">
        <v>176</v>
      </c>
      <c r="C93" s="366" t="s">
        <v>177</v>
      </c>
      <c r="D93" s="373"/>
      <c r="E93" s="373"/>
      <c r="F93" s="374"/>
      <c r="G93" s="374"/>
      <c r="H93" s="367"/>
      <c r="I93" s="367"/>
      <c r="J93" s="367"/>
      <c r="K93" s="488" t="s">
        <v>1142</v>
      </c>
      <c r="L93" s="166"/>
      <c r="M93" s="166"/>
      <c r="N93" s="166"/>
    </row>
    <row r="94" spans="1:14" s="63" customFormat="1" x14ac:dyDescent="0.25">
      <c r="A94"/>
      <c r="B94" s="369" t="s">
        <v>183</v>
      </c>
      <c r="C94" s="366" t="s">
        <v>184</v>
      </c>
      <c r="D94" s="366" t="s">
        <v>236</v>
      </c>
      <c r="E94" s="907" t="s">
        <v>237</v>
      </c>
      <c r="F94" s="907" t="s">
        <v>1218</v>
      </c>
      <c r="G94" s="908" t="s">
        <v>235</v>
      </c>
      <c r="H94" s="907" t="s">
        <v>237</v>
      </c>
      <c r="I94" s="367">
        <f>'SCHEDULE OF ACCOUNTS'!I96</f>
        <v>19935556.670000002</v>
      </c>
      <c r="J94" s="367"/>
      <c r="K94" s="488" t="s">
        <v>1141</v>
      </c>
      <c r="L94" s="166"/>
      <c r="M94" s="166"/>
      <c r="N94" s="166"/>
    </row>
    <row r="95" spans="1:14" s="63" customFormat="1" x14ac:dyDescent="0.25">
      <c r="A95"/>
      <c r="B95" s="369" t="s">
        <v>187</v>
      </c>
      <c r="C95" s="366" t="s">
        <v>188</v>
      </c>
      <c r="D95" s="366" t="s">
        <v>238</v>
      </c>
      <c r="E95" s="907" t="s">
        <v>239</v>
      </c>
      <c r="F95" s="907" t="s">
        <v>1219</v>
      </c>
      <c r="G95" s="908" t="s">
        <v>235</v>
      </c>
      <c r="H95" s="907" t="s">
        <v>239</v>
      </c>
      <c r="I95" s="367"/>
      <c r="J95" s="367">
        <f>'SCHEDULE OF ACCOUNTS'!J97</f>
        <v>9875296.4600000009</v>
      </c>
      <c r="K95" s="488" t="s">
        <v>1142</v>
      </c>
      <c r="L95" s="166"/>
      <c r="M95" s="166"/>
    </row>
    <row r="96" spans="1:14" s="63" customFormat="1" hidden="1" x14ac:dyDescent="0.25">
      <c r="A96"/>
      <c r="B96" s="369" t="s">
        <v>191</v>
      </c>
      <c r="C96" s="366" t="s">
        <v>192</v>
      </c>
      <c r="D96" s="373"/>
      <c r="E96" s="373"/>
      <c r="F96" s="374"/>
      <c r="G96" s="374"/>
      <c r="H96" s="367"/>
      <c r="I96" s="367"/>
      <c r="J96" s="367"/>
      <c r="K96" s="373"/>
      <c r="L96" s="166"/>
      <c r="M96" s="166"/>
    </row>
    <row r="97" spans="1:15" s="63" customFormat="1" x14ac:dyDescent="0.25">
      <c r="A97"/>
      <c r="B97" s="369" t="s">
        <v>195</v>
      </c>
      <c r="C97" s="366" t="s">
        <v>196</v>
      </c>
      <c r="D97" s="366" t="s">
        <v>225</v>
      </c>
      <c r="E97" s="907" t="s">
        <v>226</v>
      </c>
      <c r="F97" s="907" t="s">
        <v>1220</v>
      </c>
      <c r="G97" s="908" t="s">
        <v>1059</v>
      </c>
      <c r="H97" s="907" t="s">
        <v>226</v>
      </c>
      <c r="I97" s="367">
        <f>'SCHEDULE OF ACCOUNTS'!I99</f>
        <v>1261063.95</v>
      </c>
      <c r="J97" s="367"/>
      <c r="K97" s="488" t="s">
        <v>1141</v>
      </c>
      <c r="L97" s="166"/>
      <c r="M97" s="166"/>
    </row>
    <row r="98" spans="1:15" s="63" customFormat="1" x14ac:dyDescent="0.25">
      <c r="A98"/>
      <c r="B98" s="369" t="s">
        <v>199</v>
      </c>
      <c r="C98" s="366" t="s">
        <v>200</v>
      </c>
      <c r="D98" s="366" t="s">
        <v>229</v>
      </c>
      <c r="E98" s="907" t="s">
        <v>230</v>
      </c>
      <c r="F98" s="907" t="s">
        <v>1221</v>
      </c>
      <c r="G98" s="908" t="s">
        <v>1059</v>
      </c>
      <c r="H98" s="907" t="s">
        <v>230</v>
      </c>
      <c r="I98" s="367"/>
      <c r="J98" s="367">
        <f>'SCHEDULE OF ACCOUNTS'!J100</f>
        <v>1174428.75</v>
      </c>
      <c r="K98" s="488" t="s">
        <v>1142</v>
      </c>
      <c r="L98" s="166"/>
      <c r="M98" s="166"/>
    </row>
    <row r="99" spans="1:15" s="63" customFormat="1" hidden="1" x14ac:dyDescent="0.25">
      <c r="A99"/>
      <c r="B99" s="369"/>
      <c r="C99" s="366"/>
      <c r="D99" s="912"/>
      <c r="E99" s="368"/>
      <c r="F99" s="368"/>
      <c r="G99" s="368"/>
      <c r="H99" s="907"/>
      <c r="I99" s="367"/>
      <c r="J99" s="367"/>
      <c r="K99" s="373"/>
      <c r="L99" s="166"/>
      <c r="M99" s="166"/>
    </row>
    <row r="100" spans="1:15" s="63" customFormat="1" x14ac:dyDescent="0.25">
      <c r="A100"/>
      <c r="B100" s="369"/>
      <c r="C100" s="366"/>
      <c r="D100" s="366" t="s">
        <v>221</v>
      </c>
      <c r="E100" s="907" t="s">
        <v>222</v>
      </c>
      <c r="F100" s="907" t="s">
        <v>1222</v>
      </c>
      <c r="G100" s="908" t="s">
        <v>1055</v>
      </c>
      <c r="H100" s="907" t="s">
        <v>1057</v>
      </c>
      <c r="I100" s="367">
        <f>'SCHEDULE OF ACCOUNTS'!I102</f>
        <v>0</v>
      </c>
      <c r="J100" s="367"/>
      <c r="K100" s="487" t="s">
        <v>1140</v>
      </c>
      <c r="L100" s="166"/>
      <c r="M100" s="166"/>
    </row>
    <row r="101" spans="1:15" s="63" customFormat="1" x14ac:dyDescent="0.25">
      <c r="A101"/>
      <c r="B101" s="369"/>
      <c r="C101" s="366"/>
      <c r="D101" s="366" t="s">
        <v>210</v>
      </c>
      <c r="E101" s="907" t="s">
        <v>211</v>
      </c>
      <c r="F101" s="907" t="s">
        <v>1223</v>
      </c>
      <c r="G101" s="908" t="s">
        <v>1055</v>
      </c>
      <c r="H101" s="907" t="s">
        <v>1058</v>
      </c>
      <c r="I101" s="367"/>
      <c r="J101" s="367">
        <f>'SCHEDULE OF ACCOUNTS'!J103</f>
        <v>0</v>
      </c>
      <c r="K101" s="487" t="s">
        <v>1137</v>
      </c>
      <c r="L101" s="166"/>
      <c r="M101" s="166"/>
    </row>
    <row r="102" spans="1:15" s="63" customFormat="1" x14ac:dyDescent="0.25">
      <c r="A102"/>
      <c r="B102" s="369"/>
      <c r="C102" s="366"/>
      <c r="D102" s="909" t="s">
        <v>696</v>
      </c>
      <c r="E102" s="907" t="s">
        <v>217</v>
      </c>
      <c r="F102" s="907" t="s">
        <v>1224</v>
      </c>
      <c r="G102" s="908" t="s">
        <v>1055</v>
      </c>
      <c r="H102" s="907" t="s">
        <v>217</v>
      </c>
      <c r="I102" s="367">
        <f>'SCHEDULE OF ACCOUNTS'!I104</f>
        <v>0</v>
      </c>
      <c r="J102" s="367"/>
      <c r="K102" s="486" t="s">
        <v>1138</v>
      </c>
      <c r="L102" s="166"/>
      <c r="M102" s="166"/>
    </row>
    <row r="103" spans="1:15" s="63" customFormat="1" x14ac:dyDescent="0.25">
      <c r="A103"/>
      <c r="B103" s="369"/>
      <c r="C103" s="366"/>
      <c r="D103" s="909" t="s">
        <v>697</v>
      </c>
      <c r="E103" s="907" t="s">
        <v>220</v>
      </c>
      <c r="F103" s="907" t="s">
        <v>1225</v>
      </c>
      <c r="G103" s="908" t="s">
        <v>1055</v>
      </c>
      <c r="H103" s="907" t="s">
        <v>220</v>
      </c>
      <c r="I103" s="367"/>
      <c r="J103" s="367">
        <f>'SCHEDULE OF ACCOUNTS'!J105</f>
        <v>0</v>
      </c>
      <c r="K103" s="486" t="s">
        <v>1139</v>
      </c>
      <c r="L103" s="166"/>
      <c r="M103" s="166"/>
    </row>
    <row r="104" spans="1:15" s="63" customFormat="1" hidden="1" x14ac:dyDescent="0.25">
      <c r="A104"/>
      <c r="B104" s="369" t="s">
        <v>202</v>
      </c>
      <c r="C104" s="366" t="s">
        <v>203</v>
      </c>
      <c r="D104" s="373"/>
      <c r="E104" s="373"/>
      <c r="F104" s="374"/>
      <c r="G104" s="374"/>
      <c r="H104" s="367"/>
      <c r="I104" s="367"/>
      <c r="J104" s="367"/>
      <c r="K104" s="373"/>
      <c r="L104" s="166"/>
      <c r="M104" s="166"/>
    </row>
    <row r="105" spans="1:15" s="63" customFormat="1" x14ac:dyDescent="0.25">
      <c r="A105"/>
      <c r="B105" s="369" t="s">
        <v>204</v>
      </c>
      <c r="C105" s="366" t="s">
        <v>205</v>
      </c>
      <c r="D105" s="366" t="s">
        <v>240</v>
      </c>
      <c r="E105" s="907" t="s">
        <v>241</v>
      </c>
      <c r="F105" s="907" t="s">
        <v>1226</v>
      </c>
      <c r="G105" s="908" t="s">
        <v>241</v>
      </c>
      <c r="H105" s="907" t="s">
        <v>241</v>
      </c>
      <c r="I105" s="367">
        <f>'SCHEDULE OF ACCOUNTS'!I107</f>
        <v>42479875.539999999</v>
      </c>
      <c r="J105" s="367"/>
      <c r="K105" s="488" t="s">
        <v>1141</v>
      </c>
      <c r="L105" s="166"/>
      <c r="M105" s="166"/>
      <c r="O105" s="377"/>
    </row>
    <row r="106" spans="1:15" s="63" customFormat="1" x14ac:dyDescent="0.25">
      <c r="A106"/>
      <c r="B106" s="369"/>
      <c r="C106" s="366"/>
      <c r="D106" s="366" t="s">
        <v>242</v>
      </c>
      <c r="E106" s="907" t="s">
        <v>243</v>
      </c>
      <c r="F106" s="907" t="s">
        <v>1227</v>
      </c>
      <c r="G106" s="908" t="s">
        <v>241</v>
      </c>
      <c r="H106" s="907" t="s">
        <v>243</v>
      </c>
      <c r="I106" s="367"/>
      <c r="J106" s="367">
        <f>'SCHEDULE OF ACCOUNTS'!J108</f>
        <v>9795382.9900000002</v>
      </c>
      <c r="K106" s="488" t="s">
        <v>1142</v>
      </c>
      <c r="L106" s="166"/>
      <c r="M106" s="166"/>
    </row>
    <row r="107" spans="1:15" s="63" customFormat="1" hidden="1" x14ac:dyDescent="0.25">
      <c r="A107"/>
      <c r="B107" s="369"/>
      <c r="C107" s="366"/>
      <c r="D107" s="373"/>
      <c r="E107" s="373"/>
      <c r="F107" s="374"/>
      <c r="G107" s="374"/>
      <c r="H107" s="367"/>
      <c r="I107" s="367"/>
      <c r="J107" s="367"/>
      <c r="K107" s="373"/>
      <c r="L107" s="166"/>
      <c r="M107" s="166"/>
    </row>
    <row r="108" spans="1:15" s="63" customFormat="1" x14ac:dyDescent="0.25">
      <c r="A108"/>
      <c r="B108" s="369" t="s">
        <v>212</v>
      </c>
      <c r="C108" s="366" t="s">
        <v>213</v>
      </c>
      <c r="D108" s="909" t="s">
        <v>695</v>
      </c>
      <c r="E108" s="907" t="s">
        <v>214</v>
      </c>
      <c r="F108" s="907" t="s">
        <v>1228</v>
      </c>
      <c r="G108" s="908" t="s">
        <v>931</v>
      </c>
      <c r="H108" s="907" t="s">
        <v>1054</v>
      </c>
      <c r="I108" s="367">
        <f>'SCHEDULE OF ACCOUNTS'!I110</f>
        <v>142006952.55000001</v>
      </c>
      <c r="J108" s="367"/>
      <c r="K108" s="487" t="s">
        <v>1140</v>
      </c>
      <c r="L108" s="166"/>
      <c r="M108" s="166"/>
    </row>
    <row r="109" spans="1:15" s="63" customFormat="1" hidden="1" x14ac:dyDescent="0.25">
      <c r="A109"/>
      <c r="B109" s="369"/>
      <c r="C109" s="366"/>
      <c r="D109" s="916"/>
      <c r="E109" s="368"/>
      <c r="F109" s="368"/>
      <c r="G109" s="368"/>
      <c r="H109" s="907"/>
      <c r="I109" s="367"/>
      <c r="J109" s="367"/>
      <c r="K109" s="373"/>
      <c r="L109" s="166"/>
      <c r="M109" s="166"/>
    </row>
    <row r="110" spans="1:15" s="63" customFormat="1" hidden="1" x14ac:dyDescent="0.25">
      <c r="A110"/>
      <c r="B110" s="369"/>
      <c r="C110" s="366"/>
      <c r="D110" s="373"/>
      <c r="E110" s="373"/>
      <c r="F110" s="913"/>
      <c r="G110" s="374"/>
      <c r="H110" s="367"/>
      <c r="I110" s="367"/>
      <c r="J110" s="367"/>
      <c r="K110" s="373"/>
      <c r="L110" s="166"/>
      <c r="M110" s="166"/>
    </row>
    <row r="111" spans="1:15" s="63" customFormat="1" x14ac:dyDescent="0.25">
      <c r="A111"/>
      <c r="B111" s="369" t="s">
        <v>218</v>
      </c>
      <c r="C111" s="366" t="s">
        <v>219</v>
      </c>
      <c r="D111" s="909" t="s">
        <v>698</v>
      </c>
      <c r="E111" s="907" t="s">
        <v>244</v>
      </c>
      <c r="F111" s="907" t="s">
        <v>1229</v>
      </c>
      <c r="G111" s="908" t="s">
        <v>1060</v>
      </c>
      <c r="H111" s="907" t="s">
        <v>1674</v>
      </c>
      <c r="I111" s="367">
        <f>'SCHEDULE OF ACCOUNTS'!I113</f>
        <v>631169.64</v>
      </c>
      <c r="J111" s="367"/>
      <c r="K111" s="777"/>
      <c r="L111" s="166"/>
      <c r="M111" s="166"/>
    </row>
    <row r="112" spans="1:15" s="63" customFormat="1" hidden="1" x14ac:dyDescent="0.25">
      <c r="A112"/>
      <c r="B112" s="369"/>
      <c r="C112" s="366"/>
      <c r="D112" s="916"/>
      <c r="E112" s="368"/>
      <c r="F112" s="368"/>
      <c r="G112" s="368"/>
      <c r="H112" s="907"/>
      <c r="I112" s="367"/>
      <c r="J112" s="367"/>
      <c r="K112" s="374"/>
      <c r="L112" s="166"/>
      <c r="M112" s="166"/>
    </row>
    <row r="113" spans="1:14" s="63" customFormat="1" hidden="1" x14ac:dyDescent="0.25">
      <c r="A113"/>
      <c r="B113" s="369"/>
      <c r="C113" s="366"/>
      <c r="D113" s="373"/>
      <c r="E113" s="373"/>
      <c r="F113" s="913"/>
      <c r="G113" s="374"/>
      <c r="H113" s="367"/>
      <c r="I113" s="367"/>
      <c r="J113" s="367"/>
      <c r="K113" s="374"/>
      <c r="L113" s="166"/>
      <c r="M113" s="166"/>
    </row>
    <row r="114" spans="1:14" s="63" customFormat="1" x14ac:dyDescent="0.25">
      <c r="A114"/>
      <c r="B114" s="369"/>
      <c r="C114" s="366"/>
      <c r="D114" s="373"/>
      <c r="E114" s="373"/>
      <c r="F114" s="907" t="s">
        <v>1245</v>
      </c>
      <c r="G114" s="908" t="s">
        <v>263</v>
      </c>
      <c r="H114" s="907" t="s">
        <v>1675</v>
      </c>
      <c r="I114" s="367"/>
      <c r="J114" s="367">
        <f>'SCHEDULE OF ACCOUNTS'!J114</f>
        <v>631166.64</v>
      </c>
      <c r="K114" s="777"/>
      <c r="L114" s="166"/>
      <c r="M114" s="166"/>
    </row>
    <row r="115" spans="1:14" s="63" customFormat="1" x14ac:dyDescent="0.25">
      <c r="A115"/>
      <c r="B115" s="369"/>
      <c r="C115" s="366"/>
      <c r="D115" s="366" t="s">
        <v>124</v>
      </c>
      <c r="E115" s="907" t="s">
        <v>125</v>
      </c>
      <c r="F115" s="907" t="s">
        <v>1230</v>
      </c>
      <c r="G115" s="908" t="s">
        <v>1034</v>
      </c>
      <c r="H115" s="907" t="s">
        <v>999</v>
      </c>
      <c r="I115" s="367">
        <f>'SCHEDULE OF ACCOUNTS'!I116</f>
        <v>568446.29</v>
      </c>
      <c r="J115" s="367"/>
      <c r="K115" s="374"/>
      <c r="L115" s="166"/>
      <c r="M115" s="166"/>
    </row>
    <row r="116" spans="1:14" s="63" customFormat="1" hidden="1" x14ac:dyDescent="0.25">
      <c r="A116"/>
      <c r="B116" s="369" t="s">
        <v>223</v>
      </c>
      <c r="C116" s="366" t="s">
        <v>224</v>
      </c>
      <c r="D116" s="373"/>
      <c r="E116" s="373"/>
      <c r="F116" s="374"/>
      <c r="G116" s="374"/>
      <c r="H116" s="367"/>
      <c r="I116" s="367"/>
      <c r="J116" s="367"/>
      <c r="K116" s="374"/>
      <c r="L116" s="166"/>
      <c r="M116" s="166"/>
    </row>
    <row r="117" spans="1:14" s="63" customFormat="1" hidden="1" x14ac:dyDescent="0.25">
      <c r="A117"/>
      <c r="B117" s="369" t="s">
        <v>227</v>
      </c>
      <c r="C117" s="366" t="s">
        <v>228</v>
      </c>
      <c r="D117" s="373"/>
      <c r="E117" s="373"/>
      <c r="F117" s="374"/>
      <c r="G117" s="374"/>
      <c r="H117" s="367"/>
      <c r="I117" s="367"/>
      <c r="J117" s="367"/>
      <c r="K117" s="374"/>
      <c r="L117" s="166"/>
      <c r="M117" s="166"/>
    </row>
    <row r="118" spans="1:14" x14ac:dyDescent="0.25">
      <c r="B118" s="369"/>
      <c r="C118" s="366"/>
      <c r="D118" s="366" t="s">
        <v>254</v>
      </c>
      <c r="E118" s="907" t="s">
        <v>255</v>
      </c>
      <c r="F118" s="907" t="s">
        <v>1231</v>
      </c>
      <c r="G118" s="908" t="s">
        <v>930</v>
      </c>
      <c r="H118" s="907" t="s">
        <v>255</v>
      </c>
      <c r="I118" s="367">
        <f>'SCHEDULE OF ACCOUNTS'!I119</f>
        <v>642600</v>
      </c>
      <c r="J118" s="367"/>
      <c r="K118" s="374"/>
    </row>
    <row r="119" spans="1:14" x14ac:dyDescent="0.25">
      <c r="B119" s="369"/>
      <c r="C119" s="366"/>
      <c r="D119" s="366"/>
      <c r="E119" s="907"/>
      <c r="F119" s="907" t="s">
        <v>1231</v>
      </c>
      <c r="G119" s="908" t="s">
        <v>930</v>
      </c>
      <c r="H119" s="907" t="s">
        <v>1407</v>
      </c>
      <c r="I119" s="367">
        <f>'SCHEDULE OF ACCOUNTS'!I120</f>
        <v>2374633.65</v>
      </c>
      <c r="J119" s="367"/>
      <c r="K119" s="374"/>
    </row>
    <row r="120" spans="1:14" x14ac:dyDescent="0.25">
      <c r="B120" s="369"/>
      <c r="C120" s="366"/>
      <c r="D120" s="366" t="s">
        <v>247</v>
      </c>
      <c r="E120" s="907" t="s">
        <v>245</v>
      </c>
      <c r="F120" s="907" t="s">
        <v>1232</v>
      </c>
      <c r="G120" s="908" t="s">
        <v>930</v>
      </c>
      <c r="H120" s="907" t="s">
        <v>245</v>
      </c>
      <c r="I120" s="367">
        <f>'SCHEDULE OF ACCOUNTS'!I121</f>
        <v>717771.5</v>
      </c>
      <c r="J120" s="367"/>
      <c r="K120" s="374"/>
    </row>
    <row r="121" spans="1:14" x14ac:dyDescent="0.25">
      <c r="B121" s="369"/>
      <c r="C121" s="366"/>
      <c r="D121" s="909" t="s">
        <v>699</v>
      </c>
      <c r="E121" s="907" t="s">
        <v>248</v>
      </c>
      <c r="F121" s="907" t="s">
        <v>1233</v>
      </c>
      <c r="G121" s="908" t="s">
        <v>930</v>
      </c>
      <c r="H121" s="907" t="s">
        <v>248</v>
      </c>
      <c r="I121" s="367">
        <f>'SCHEDULE OF ACCOUNTS'!I122</f>
        <v>571163.78</v>
      </c>
      <c r="J121" s="367"/>
      <c r="K121" s="374"/>
    </row>
    <row r="122" spans="1:14" x14ac:dyDescent="0.25">
      <c r="B122" s="369"/>
      <c r="C122" s="366"/>
      <c r="D122" s="909" t="s">
        <v>700</v>
      </c>
      <c r="E122" s="907" t="s">
        <v>249</v>
      </c>
      <c r="F122" s="907" t="s">
        <v>1234</v>
      </c>
      <c r="G122" s="908" t="s">
        <v>930</v>
      </c>
      <c r="H122" s="907" t="s">
        <v>249</v>
      </c>
      <c r="I122" s="367">
        <f>'SCHEDULE OF ACCOUNTS'!I123</f>
        <v>189126.39999999999</v>
      </c>
      <c r="J122" s="367"/>
      <c r="K122" s="374"/>
      <c r="M122" s="179"/>
      <c r="N122" s="50"/>
    </row>
    <row r="123" spans="1:14" s="62" customFormat="1" x14ac:dyDescent="0.25">
      <c r="A123"/>
      <c r="B123" s="369" t="s">
        <v>245</v>
      </c>
      <c r="C123" s="366" t="s">
        <v>246</v>
      </c>
      <c r="D123" s="909" t="s">
        <v>701</v>
      </c>
      <c r="E123" s="907" t="s">
        <v>250</v>
      </c>
      <c r="F123" s="907" t="s">
        <v>1235</v>
      </c>
      <c r="G123" s="908" t="s">
        <v>930</v>
      </c>
      <c r="H123" s="907" t="s">
        <v>250</v>
      </c>
      <c r="I123" s="367">
        <f>'SCHEDULE OF ACCOUNTS'!I124</f>
        <v>112832702.16</v>
      </c>
      <c r="J123" s="367"/>
      <c r="K123" s="374"/>
      <c r="L123" s="167"/>
      <c r="M123" s="167"/>
    </row>
    <row r="124" spans="1:14" s="62" customFormat="1" x14ac:dyDescent="0.25">
      <c r="A124"/>
      <c r="B124" s="369"/>
      <c r="C124" s="366"/>
      <c r="D124" s="366" t="s">
        <v>702</v>
      </c>
      <c r="E124" s="907" t="s">
        <v>251</v>
      </c>
      <c r="F124" s="907" t="s">
        <v>1236</v>
      </c>
      <c r="G124" s="908" t="s">
        <v>930</v>
      </c>
      <c r="H124" s="907" t="s">
        <v>251</v>
      </c>
      <c r="I124" s="367">
        <f>'SCHEDULE OF ACCOUNTS'!I125</f>
        <v>4716928.95</v>
      </c>
      <c r="J124" s="367"/>
      <c r="K124" s="374"/>
      <c r="L124" s="167"/>
      <c r="M124" s="167"/>
    </row>
    <row r="125" spans="1:14" s="62" customFormat="1" hidden="1" x14ac:dyDescent="0.25">
      <c r="A125"/>
      <c r="B125" s="369"/>
      <c r="C125" s="366"/>
      <c r="D125" s="912"/>
      <c r="E125" s="368"/>
      <c r="F125" s="368"/>
      <c r="G125" s="368"/>
      <c r="H125" s="907"/>
      <c r="I125" s="367"/>
      <c r="J125" s="367"/>
      <c r="K125" s="374"/>
      <c r="L125" s="167"/>
      <c r="M125" s="167"/>
    </row>
    <row r="126" spans="1:14" s="62" customFormat="1" x14ac:dyDescent="0.25">
      <c r="A126"/>
      <c r="B126" s="369"/>
      <c r="C126" s="366"/>
      <c r="D126" s="366" t="s">
        <v>787</v>
      </c>
      <c r="E126" s="907" t="s">
        <v>788</v>
      </c>
      <c r="F126" s="907" t="s">
        <v>1237</v>
      </c>
      <c r="G126" s="908" t="s">
        <v>929</v>
      </c>
      <c r="H126" s="907" t="s">
        <v>1672</v>
      </c>
      <c r="I126" s="367">
        <f>'SCHEDULE OF ACCOUNTS'!I127</f>
        <v>220000</v>
      </c>
      <c r="J126" s="367"/>
      <c r="K126" s="365"/>
      <c r="L126" s="167"/>
      <c r="M126" s="167"/>
    </row>
    <row r="127" spans="1:14" s="62" customFormat="1" x14ac:dyDescent="0.25">
      <c r="A127"/>
      <c r="B127" s="369"/>
      <c r="C127" s="366"/>
      <c r="D127" s="366" t="s">
        <v>789</v>
      </c>
      <c r="E127" s="907" t="s">
        <v>790</v>
      </c>
      <c r="F127" s="907" t="s">
        <v>1238</v>
      </c>
      <c r="G127" s="908" t="s">
        <v>929</v>
      </c>
      <c r="H127" s="907" t="s">
        <v>1673</v>
      </c>
      <c r="I127" s="367">
        <f>'SCHEDULE OF ACCOUNTS'!I128</f>
        <v>92506.42</v>
      </c>
      <c r="J127" s="367"/>
      <c r="K127" s="365"/>
      <c r="L127" s="167"/>
      <c r="M127" s="167"/>
    </row>
    <row r="128" spans="1:14" s="62" customFormat="1" hidden="1" x14ac:dyDescent="0.25">
      <c r="A128"/>
      <c r="B128" s="369"/>
      <c r="C128" s="366"/>
      <c r="D128" s="912"/>
      <c r="E128" s="368"/>
      <c r="F128" s="368"/>
      <c r="G128" s="368"/>
      <c r="H128" s="907"/>
      <c r="I128" s="367"/>
      <c r="J128" s="367"/>
      <c r="K128" s="374"/>
      <c r="L128" s="167"/>
      <c r="M128" s="167"/>
    </row>
    <row r="129" spans="1:15" s="62" customFormat="1" x14ac:dyDescent="0.25">
      <c r="A129"/>
      <c r="B129" s="369"/>
      <c r="C129" s="366"/>
      <c r="D129" s="366" t="s">
        <v>257</v>
      </c>
      <c r="E129" s="907" t="s">
        <v>256</v>
      </c>
      <c r="F129" s="907" t="s">
        <v>1239</v>
      </c>
      <c r="G129" s="908" t="s">
        <v>1061</v>
      </c>
      <c r="H129" s="907" t="s">
        <v>1000</v>
      </c>
      <c r="I129" s="367">
        <f>'SCHEDULE OF ACCOUNTS'!I130</f>
        <v>5166167.87</v>
      </c>
      <c r="J129" s="367"/>
      <c r="K129" s="374"/>
      <c r="L129" s="167"/>
      <c r="M129" s="167"/>
    </row>
    <row r="130" spans="1:15" s="62" customFormat="1" x14ac:dyDescent="0.25">
      <c r="A130"/>
      <c r="B130" s="369"/>
      <c r="C130" s="366"/>
      <c r="D130" s="366" t="s">
        <v>258</v>
      </c>
      <c r="E130" s="907" t="s">
        <v>259</v>
      </c>
      <c r="F130" s="907" t="s">
        <v>1239</v>
      </c>
      <c r="G130" s="908" t="s">
        <v>1061</v>
      </c>
      <c r="H130" s="907" t="s">
        <v>1000</v>
      </c>
      <c r="I130" s="367">
        <f>'SCHEDULE OF ACCOUNTS'!I131</f>
        <v>638973348.95000005</v>
      </c>
      <c r="J130" s="367"/>
      <c r="K130" s="374"/>
      <c r="L130" s="167"/>
      <c r="M130" s="167"/>
    </row>
    <row r="131" spans="1:15" s="62" customFormat="1" x14ac:dyDescent="0.25">
      <c r="A131"/>
      <c r="B131" s="369"/>
      <c r="C131" s="366"/>
      <c r="D131" s="366"/>
      <c r="E131" s="907" t="s">
        <v>973</v>
      </c>
      <c r="F131" s="907"/>
      <c r="G131" s="908"/>
      <c r="H131" s="907"/>
      <c r="I131" s="367"/>
      <c r="J131" s="367"/>
      <c r="K131" s="374"/>
      <c r="L131" s="167"/>
      <c r="M131" s="167"/>
    </row>
    <row r="132" spans="1:15" s="62" customFormat="1" x14ac:dyDescent="0.25">
      <c r="A132"/>
      <c r="B132" s="369"/>
      <c r="C132" s="366"/>
      <c r="D132" s="366"/>
      <c r="E132" s="907" t="s">
        <v>974</v>
      </c>
      <c r="F132" s="907"/>
      <c r="G132" s="908"/>
      <c r="H132" s="907"/>
      <c r="I132" s="367"/>
      <c r="J132" s="367"/>
      <c r="K132" s="374"/>
      <c r="L132" s="167"/>
      <c r="M132" s="167"/>
    </row>
    <row r="133" spans="1:15" s="62" customFormat="1" hidden="1" x14ac:dyDescent="0.25">
      <c r="A133"/>
      <c r="B133" s="369"/>
      <c r="C133" s="366"/>
      <c r="D133" s="912"/>
      <c r="E133" s="368"/>
      <c r="F133" s="368"/>
      <c r="G133" s="368"/>
      <c r="H133" s="907"/>
      <c r="I133" s="367"/>
      <c r="J133" s="367"/>
      <c r="K133" s="374"/>
      <c r="L133" s="167"/>
      <c r="M133" s="167"/>
    </row>
    <row r="134" spans="1:15" s="62" customFormat="1" x14ac:dyDescent="0.25">
      <c r="A134"/>
      <c r="B134" s="369"/>
      <c r="C134" s="366"/>
      <c r="D134" s="366" t="s">
        <v>261</v>
      </c>
      <c r="E134" s="907" t="s">
        <v>260</v>
      </c>
      <c r="F134" s="907" t="s">
        <v>1243</v>
      </c>
      <c r="G134" s="908" t="s">
        <v>263</v>
      </c>
      <c r="H134" s="907" t="s">
        <v>260</v>
      </c>
      <c r="I134" s="367">
        <f>'SCHEDULE OF ACCOUNTS'!I135</f>
        <v>42828304.920000002</v>
      </c>
      <c r="J134" s="367"/>
      <c r="K134" s="365"/>
      <c r="L134" s="167"/>
      <c r="M134" s="167"/>
    </row>
    <row r="135" spans="1:15" s="62" customFormat="1" x14ac:dyDescent="0.25">
      <c r="A135"/>
      <c r="B135" s="369"/>
      <c r="C135" s="366"/>
      <c r="D135" s="366" t="s">
        <v>265</v>
      </c>
      <c r="E135" s="907" t="s">
        <v>263</v>
      </c>
      <c r="F135" s="907" t="s">
        <v>1244</v>
      </c>
      <c r="G135" s="908" t="s">
        <v>263</v>
      </c>
      <c r="H135" s="907" t="s">
        <v>263</v>
      </c>
      <c r="I135" s="367">
        <f>'SCHEDULE OF ACCOUNTS'!I136</f>
        <v>992765229.57000005</v>
      </c>
      <c r="J135" s="367"/>
      <c r="K135" s="365"/>
      <c r="L135" s="167"/>
      <c r="M135" s="167"/>
    </row>
    <row r="136" spans="1:15" s="62" customFormat="1" x14ac:dyDescent="0.25">
      <c r="A136"/>
      <c r="B136" s="369"/>
      <c r="C136" s="366"/>
      <c r="D136" s="366" t="s">
        <v>268</v>
      </c>
      <c r="E136" s="907" t="s">
        <v>269</v>
      </c>
      <c r="F136" s="907" t="s">
        <v>1245</v>
      </c>
      <c r="G136" s="908" t="s">
        <v>263</v>
      </c>
      <c r="H136" s="907" t="s">
        <v>269</v>
      </c>
      <c r="I136" s="367"/>
      <c r="J136" s="367">
        <f>'SCHEDULE OF ACCOUNTS'!J137</f>
        <v>1010478762.1</v>
      </c>
      <c r="K136" s="374"/>
      <c r="L136" s="167"/>
      <c r="M136" s="167"/>
    </row>
    <row r="137" spans="1:15" s="62" customFormat="1" x14ac:dyDescent="0.25">
      <c r="A137"/>
      <c r="B137" s="369" t="s">
        <v>252</v>
      </c>
      <c r="C137" s="366" t="s">
        <v>253</v>
      </c>
      <c r="D137" s="373"/>
      <c r="E137" s="373"/>
      <c r="F137" s="907"/>
      <c r="G137" s="908"/>
      <c r="H137" s="907"/>
      <c r="I137" s="367"/>
      <c r="J137" s="367"/>
      <c r="K137" s="374"/>
      <c r="L137" s="167"/>
      <c r="M137" s="167"/>
    </row>
    <row r="138" spans="1:15" s="62" customFormat="1" hidden="1" x14ac:dyDescent="0.25">
      <c r="A138"/>
      <c r="B138" s="369"/>
      <c r="C138" s="366"/>
      <c r="D138" s="373"/>
      <c r="E138" s="373"/>
      <c r="F138" s="374"/>
      <c r="G138" s="374"/>
      <c r="H138" s="367"/>
      <c r="I138" s="367"/>
      <c r="J138" s="367"/>
      <c r="K138" s="374"/>
      <c r="L138" s="167"/>
      <c r="M138" s="167"/>
    </row>
    <row r="139" spans="1:15" s="62" customFormat="1" hidden="1" x14ac:dyDescent="0.25">
      <c r="A139"/>
      <c r="B139" s="369"/>
      <c r="C139" s="366"/>
      <c r="D139" s="373"/>
      <c r="E139" s="373"/>
      <c r="F139" s="913"/>
      <c r="G139" s="374"/>
      <c r="H139" s="367"/>
      <c r="I139" s="367"/>
      <c r="J139" s="367"/>
      <c r="K139" s="374"/>
      <c r="L139" s="167"/>
      <c r="M139" s="167"/>
    </row>
    <row r="140" spans="1:15" s="62" customFormat="1" x14ac:dyDescent="0.25">
      <c r="A140"/>
      <c r="B140" s="369"/>
      <c r="C140" s="366"/>
      <c r="D140" s="366" t="s">
        <v>274</v>
      </c>
      <c r="E140" s="907" t="s">
        <v>272</v>
      </c>
      <c r="F140" s="907" t="s">
        <v>1246</v>
      </c>
      <c r="G140" s="908" t="s">
        <v>1062</v>
      </c>
      <c r="H140" s="907" t="s">
        <v>1003</v>
      </c>
      <c r="I140" s="367"/>
      <c r="J140" s="367">
        <f>'SCHEDULE OF ACCOUNTS'!J141</f>
        <v>13779210.710000001</v>
      </c>
      <c r="K140" s="374"/>
      <c r="L140" s="167"/>
      <c r="M140" s="167"/>
    </row>
    <row r="141" spans="1:15" x14ac:dyDescent="0.25">
      <c r="B141" s="369" t="s">
        <v>263</v>
      </c>
      <c r="C141" s="366" t="s">
        <v>264</v>
      </c>
      <c r="D141" s="366" t="s">
        <v>276</v>
      </c>
      <c r="E141" s="907" t="s">
        <v>275</v>
      </c>
      <c r="F141" s="907" t="s">
        <v>1247</v>
      </c>
      <c r="G141" s="908" t="s">
        <v>1062</v>
      </c>
      <c r="H141" s="907" t="s">
        <v>1004</v>
      </c>
      <c r="I141" s="367"/>
      <c r="J141" s="367">
        <f>'SCHEDULE OF ACCOUNTS'!J142</f>
        <v>197437.07</v>
      </c>
      <c r="K141" s="374"/>
      <c r="L141" s="50"/>
      <c r="M141" s="179"/>
      <c r="O141" s="62"/>
    </row>
    <row r="142" spans="1:15" x14ac:dyDescent="0.25">
      <c r="B142" s="369" t="s">
        <v>266</v>
      </c>
      <c r="C142" s="366" t="s">
        <v>267</v>
      </c>
      <c r="D142" s="366" t="s">
        <v>976</v>
      </c>
      <c r="E142" s="907" t="s">
        <v>952</v>
      </c>
      <c r="F142" s="907" t="s">
        <v>1248</v>
      </c>
      <c r="G142" s="908" t="s">
        <v>1062</v>
      </c>
      <c r="H142" s="907" t="s">
        <v>952</v>
      </c>
      <c r="I142" s="367"/>
      <c r="J142" s="367">
        <f>'SCHEDULE OF ACCOUNTS'!J143</f>
        <v>310331.52000000002</v>
      </c>
      <c r="K142" s="374"/>
      <c r="L142" s="179"/>
      <c r="O142" s="62"/>
    </row>
    <row r="143" spans="1:15" x14ac:dyDescent="0.25">
      <c r="B143" s="369"/>
      <c r="C143" s="366"/>
      <c r="D143" s="366"/>
      <c r="E143" s="907"/>
      <c r="F143" s="907">
        <v>29999990</v>
      </c>
      <c r="G143" s="908"/>
      <c r="H143" s="69" t="s">
        <v>1401</v>
      </c>
      <c r="I143" s="367"/>
      <c r="J143" s="367">
        <f>'SCHEDULE OF ACCOUNTS'!J144</f>
        <v>4412093.2</v>
      </c>
      <c r="K143" s="374"/>
      <c r="L143" s="179"/>
      <c r="O143" s="62"/>
    </row>
    <row r="144" spans="1:15" ht="15.75" thickBot="1" x14ac:dyDescent="0.3">
      <c r="B144" s="369"/>
      <c r="C144" s="366"/>
      <c r="D144" s="366"/>
      <c r="E144" s="907"/>
      <c r="F144" s="907">
        <v>29999990</v>
      </c>
      <c r="G144" s="908"/>
      <c r="H144" s="69" t="s">
        <v>1402</v>
      </c>
      <c r="I144" s="367"/>
      <c r="J144" s="367">
        <f>'SCHEDULE OF ACCOUNTS'!J145</f>
        <v>1393612.48</v>
      </c>
      <c r="K144" s="374"/>
      <c r="L144" s="179"/>
      <c r="O144" s="62"/>
    </row>
    <row r="145" spans="1:16" s="62" customFormat="1" ht="15.75" thickBot="1" x14ac:dyDescent="0.3">
      <c r="A145"/>
      <c r="B145" s="369"/>
      <c r="C145" s="366"/>
      <c r="D145" s="366" t="s">
        <v>270</v>
      </c>
      <c r="E145" s="907" t="s">
        <v>271</v>
      </c>
      <c r="F145" s="907" t="s">
        <v>1249</v>
      </c>
      <c r="G145" s="908" t="s">
        <v>1062</v>
      </c>
      <c r="H145" s="907" t="s">
        <v>271</v>
      </c>
      <c r="I145" s="367"/>
      <c r="J145" s="367">
        <f>'SCHEDULE OF ACCOUNTS'!J147</f>
        <v>456620150.24000001</v>
      </c>
      <c r="K145" s="365"/>
      <c r="L145" s="167"/>
      <c r="M145" s="167"/>
      <c r="N145" s="972" t="s">
        <v>9</v>
      </c>
      <c r="O145" s="973"/>
      <c r="P145" s="974"/>
    </row>
    <row r="146" spans="1:16" s="62" customFormat="1" hidden="1" x14ac:dyDescent="0.25">
      <c r="A146"/>
      <c r="B146" s="369"/>
      <c r="C146" s="366"/>
      <c r="D146" s="373"/>
      <c r="E146" s="373"/>
      <c r="F146" s="374"/>
      <c r="G146" s="374"/>
      <c r="H146" s="367"/>
      <c r="I146" s="367"/>
      <c r="J146" s="367"/>
      <c r="K146" s="374"/>
      <c r="L146" s="167"/>
      <c r="M146" s="167"/>
    </row>
    <row r="147" spans="1:16" s="62" customFormat="1" x14ac:dyDescent="0.25">
      <c r="A147"/>
      <c r="B147" s="369"/>
      <c r="C147" s="366"/>
      <c r="D147" s="366" t="s">
        <v>277</v>
      </c>
      <c r="E147" s="907" t="s">
        <v>977</v>
      </c>
      <c r="F147" s="907" t="s">
        <v>1250</v>
      </c>
      <c r="G147" s="908" t="s">
        <v>1063</v>
      </c>
      <c r="H147" s="907" t="s">
        <v>977</v>
      </c>
      <c r="I147" s="367"/>
      <c r="J147" s="367">
        <f>'SCHEDULE OF ACCOUNTS'!J149</f>
        <v>140000000</v>
      </c>
      <c r="K147" s="365"/>
      <c r="L147" s="167"/>
      <c r="M147" s="167"/>
    </row>
    <row r="148" spans="1:16" s="62" customFormat="1" hidden="1" x14ac:dyDescent="0.25">
      <c r="A148"/>
      <c r="B148" s="369"/>
      <c r="C148" s="366"/>
      <c r="D148" s="912"/>
      <c r="E148" s="368"/>
      <c r="F148" s="368"/>
      <c r="G148" s="368"/>
      <c r="H148" s="907"/>
      <c r="I148" s="367"/>
      <c r="J148" s="367"/>
      <c r="K148" s="374"/>
      <c r="L148" s="167"/>
      <c r="M148" s="167"/>
    </row>
    <row r="149" spans="1:16" s="62" customFormat="1" x14ac:dyDescent="0.25">
      <c r="A149"/>
      <c r="B149" s="369"/>
      <c r="C149" s="366"/>
      <c r="D149" s="900" t="s">
        <v>295</v>
      </c>
      <c r="E149" s="907" t="s">
        <v>296</v>
      </c>
      <c r="F149" s="907" t="s">
        <v>1251</v>
      </c>
      <c r="G149" s="908" t="s">
        <v>932</v>
      </c>
      <c r="H149" s="907" t="s">
        <v>1006</v>
      </c>
      <c r="I149" s="367"/>
      <c r="J149" s="367">
        <f>'SCHEDULE OF ACCOUNTS'!J151</f>
        <v>413018.68</v>
      </c>
      <c r="K149" s="374"/>
      <c r="L149" s="167"/>
      <c r="M149" s="167"/>
      <c r="N149" s="62">
        <f>J140+J141+J142+J145+J147+J143+J144</f>
        <v>616712835.22000003</v>
      </c>
      <c r="O149" s="62" t="s">
        <v>975</v>
      </c>
    </row>
    <row r="150" spans="1:16" s="62" customFormat="1" x14ac:dyDescent="0.25">
      <c r="A150"/>
      <c r="B150" s="369"/>
      <c r="C150" s="366"/>
      <c r="D150" s="900" t="s">
        <v>300</v>
      </c>
      <c r="E150" s="903" t="s">
        <v>301</v>
      </c>
      <c r="F150" s="907" t="s">
        <v>1252</v>
      </c>
      <c r="G150" s="908" t="s">
        <v>932</v>
      </c>
      <c r="H150" s="903" t="s">
        <v>1007</v>
      </c>
      <c r="I150" s="367"/>
      <c r="J150" s="367">
        <f>'SCHEDULE OF ACCOUNTS'!J152</f>
        <v>611649.5</v>
      </c>
      <c r="K150" s="374"/>
      <c r="L150" s="167"/>
      <c r="M150" s="167"/>
      <c r="N150" s="62">
        <f>J149+J150+J151+J152+J153+J154+J158-I157+J159+J155+J156+J157-I152</f>
        <v>22001055.300000001</v>
      </c>
      <c r="O150" s="62" t="s">
        <v>283</v>
      </c>
    </row>
    <row r="151" spans="1:16" s="62" customFormat="1" x14ac:dyDescent="0.25">
      <c r="A151"/>
      <c r="B151" s="369"/>
      <c r="C151" s="366"/>
      <c r="D151" s="900" t="s">
        <v>304</v>
      </c>
      <c r="E151" s="903" t="s">
        <v>302</v>
      </c>
      <c r="F151" s="907" t="s">
        <v>1253</v>
      </c>
      <c r="G151" s="908" t="s">
        <v>932</v>
      </c>
      <c r="H151" s="903" t="s">
        <v>1008</v>
      </c>
      <c r="I151" s="367"/>
      <c r="J151" s="367">
        <f>'SCHEDULE OF ACCOUNTS'!J153</f>
        <v>93810.8</v>
      </c>
      <c r="K151" s="374"/>
      <c r="L151" s="167"/>
      <c r="M151" s="167"/>
      <c r="N151" s="62">
        <f>J162+J165</f>
        <v>107411889.42</v>
      </c>
      <c r="O151" s="62" t="s">
        <v>287</v>
      </c>
    </row>
    <row r="152" spans="1:16" s="62" customFormat="1" x14ac:dyDescent="0.25">
      <c r="A152"/>
      <c r="B152" s="369"/>
      <c r="C152" s="366"/>
      <c r="D152" s="900" t="s">
        <v>307</v>
      </c>
      <c r="E152" s="903" t="s">
        <v>308</v>
      </c>
      <c r="F152" s="907" t="s">
        <v>1254</v>
      </c>
      <c r="G152" s="908" t="s">
        <v>932</v>
      </c>
      <c r="H152" s="903" t="s">
        <v>1009</v>
      </c>
      <c r="I152" s="367">
        <f>'SCHEDULE OF ACCOUNTS'!I154</f>
        <v>356889.99</v>
      </c>
      <c r="J152" s="367">
        <f>'SCHEDULE OF ACCOUNTS'!J154</f>
        <v>0</v>
      </c>
      <c r="K152" s="374"/>
      <c r="L152" s="167"/>
      <c r="M152" s="167"/>
      <c r="N152" s="62">
        <f>J167</f>
        <v>19996900.359999999</v>
      </c>
      <c r="O152" s="62" t="s">
        <v>292</v>
      </c>
    </row>
    <row r="153" spans="1:16" s="62" customFormat="1" x14ac:dyDescent="0.25">
      <c r="A153"/>
      <c r="B153" s="369"/>
      <c r="C153" s="366"/>
      <c r="D153" s="366" t="s">
        <v>312</v>
      </c>
      <c r="E153" s="907" t="s">
        <v>313</v>
      </c>
      <c r="F153" s="907" t="s">
        <v>1255</v>
      </c>
      <c r="G153" s="908" t="s">
        <v>932</v>
      </c>
      <c r="H153" s="907" t="s">
        <v>313</v>
      </c>
      <c r="I153" s="367"/>
      <c r="J153" s="367">
        <f>'SCHEDULE OF ACCOUNTS'!J155</f>
        <v>833198.81</v>
      </c>
      <c r="K153" s="374"/>
      <c r="N153" s="62">
        <f>J169+J170</f>
        <v>322927904.54999995</v>
      </c>
      <c r="O153" s="62" t="s">
        <v>297</v>
      </c>
    </row>
    <row r="154" spans="1:16" s="62" customFormat="1" x14ac:dyDescent="0.25">
      <c r="A154"/>
      <c r="B154" s="369"/>
      <c r="C154" s="366"/>
      <c r="D154" s="366" t="s">
        <v>322</v>
      </c>
      <c r="E154" s="907" t="s">
        <v>323</v>
      </c>
      <c r="F154" s="907" t="s">
        <v>1256</v>
      </c>
      <c r="G154" s="908" t="s">
        <v>323</v>
      </c>
      <c r="H154" s="907" t="s">
        <v>323</v>
      </c>
      <c r="I154" s="367"/>
      <c r="J154" s="367">
        <f>'SCHEDULE OF ACCOUNTS'!J156</f>
        <v>45649.599999999999</v>
      </c>
      <c r="K154" s="374"/>
      <c r="N154" s="504">
        <f>N149+N150+N151+N152+N153</f>
        <v>1089050584.8499999</v>
      </c>
      <c r="O154" s="62" t="s">
        <v>1094</v>
      </c>
    </row>
    <row r="155" spans="1:16" s="62" customFormat="1" x14ac:dyDescent="0.25">
      <c r="A155"/>
      <c r="B155" s="369"/>
      <c r="C155" s="366"/>
      <c r="D155" s="366" t="s">
        <v>316</v>
      </c>
      <c r="E155" s="907" t="s">
        <v>317</v>
      </c>
      <c r="F155" s="907" t="s">
        <v>1257</v>
      </c>
      <c r="G155" s="908" t="s">
        <v>932</v>
      </c>
      <c r="H155" s="907" t="s">
        <v>317</v>
      </c>
      <c r="I155" s="367"/>
      <c r="J155" s="367">
        <f>'SCHEDULE OF ACCOUNTS'!J157</f>
        <v>131005.74</v>
      </c>
      <c r="K155" s="374"/>
    </row>
    <row r="156" spans="1:16" s="62" customFormat="1" x14ac:dyDescent="0.25">
      <c r="A156"/>
      <c r="B156" s="369"/>
      <c r="C156" s="366"/>
      <c r="D156" s="366"/>
      <c r="E156" s="907"/>
      <c r="F156" s="918" t="s">
        <v>1374</v>
      </c>
      <c r="G156" s="908"/>
      <c r="H156" s="69" t="s">
        <v>1375</v>
      </c>
      <c r="I156" s="367"/>
      <c r="J156" s="367">
        <f>'SCHEDULE OF ACCOUNTS'!J158</f>
        <v>13679924.689999999</v>
      </c>
      <c r="K156" s="374"/>
      <c r="N156" s="167"/>
    </row>
    <row r="157" spans="1:16" s="62" customFormat="1" x14ac:dyDescent="0.25">
      <c r="A157"/>
      <c r="B157" s="369"/>
      <c r="C157" s="366"/>
      <c r="D157" s="909" t="s">
        <v>703</v>
      </c>
      <c r="E157" s="907" t="s">
        <v>309</v>
      </c>
      <c r="F157" s="907" t="s">
        <v>1258</v>
      </c>
      <c r="G157" s="908" t="s">
        <v>932</v>
      </c>
      <c r="H157" s="907" t="s">
        <v>1010</v>
      </c>
      <c r="I157" s="367"/>
      <c r="J157" s="367">
        <f>'SCHEDULE OF ACCOUNTS'!J159</f>
        <v>6549687.4699999997</v>
      </c>
      <c r="K157" s="374"/>
    </row>
    <row r="158" spans="1:16" s="62" customFormat="1" x14ac:dyDescent="0.25">
      <c r="A158"/>
      <c r="B158" s="369"/>
      <c r="C158" s="366"/>
      <c r="D158" s="909" t="s">
        <v>704</v>
      </c>
      <c r="E158" s="907" t="s">
        <v>298</v>
      </c>
      <c r="F158" s="907"/>
      <c r="G158" s="908"/>
      <c r="H158" s="907"/>
      <c r="I158" s="367"/>
      <c r="J158" s="367"/>
      <c r="K158" s="374"/>
      <c r="L158" s="167"/>
    </row>
    <row r="159" spans="1:16" s="62" customFormat="1" x14ac:dyDescent="0.25">
      <c r="A159"/>
      <c r="B159" s="369"/>
      <c r="C159" s="366"/>
      <c r="D159" s="366" t="s">
        <v>759</v>
      </c>
      <c r="E159" s="907" t="s">
        <v>341</v>
      </c>
      <c r="F159" s="907" t="s">
        <v>1260</v>
      </c>
      <c r="G159" s="908" t="s">
        <v>932</v>
      </c>
      <c r="H159" s="907" t="s">
        <v>341</v>
      </c>
      <c r="I159" s="367"/>
      <c r="J159" s="367">
        <f>'SCHEDULE OF ACCOUNTS'!J161</f>
        <v>0</v>
      </c>
      <c r="K159" s="374"/>
      <c r="L159" s="368"/>
    </row>
    <row r="160" spans="1:16" s="62" customFormat="1" hidden="1" x14ac:dyDescent="0.25">
      <c r="A160"/>
      <c r="B160" s="369"/>
      <c r="C160" s="366"/>
      <c r="D160" s="916"/>
      <c r="E160" s="368"/>
      <c r="F160" s="368"/>
      <c r="G160" s="368"/>
      <c r="H160" s="907"/>
      <c r="I160" s="367"/>
      <c r="J160" s="367"/>
      <c r="K160" s="374"/>
      <c r="L160" s="167"/>
    </row>
    <row r="161" spans="1:16" s="62" customFormat="1" hidden="1" x14ac:dyDescent="0.25">
      <c r="A161"/>
      <c r="B161" s="369"/>
      <c r="C161" s="366"/>
      <c r="D161" s="371"/>
      <c r="E161" s="365"/>
      <c r="F161" s="368"/>
      <c r="G161" s="368"/>
      <c r="H161" s="903"/>
      <c r="I161" s="367"/>
      <c r="J161" s="367"/>
      <c r="K161" s="374"/>
      <c r="L161" s="167"/>
    </row>
    <row r="162" spans="1:16" s="62" customFormat="1" x14ac:dyDescent="0.25">
      <c r="A162"/>
      <c r="B162" s="369"/>
      <c r="C162" s="366"/>
      <c r="D162" s="366" t="s">
        <v>326</v>
      </c>
      <c r="E162" s="907" t="s">
        <v>327</v>
      </c>
      <c r="F162" s="907" t="s">
        <v>1261</v>
      </c>
      <c r="G162" s="908" t="s">
        <v>934</v>
      </c>
      <c r="H162" s="907" t="s">
        <v>327</v>
      </c>
      <c r="I162" s="367"/>
      <c r="J162" s="367">
        <f>'SCHEDULE OF ACCOUNTS'!J164</f>
        <v>106720132.36</v>
      </c>
      <c r="K162" s="374"/>
      <c r="L162" s="167"/>
      <c r="N162" s="62">
        <f>J172</f>
        <v>6880800804.0100002</v>
      </c>
      <c r="O162" s="62" t="s">
        <v>332</v>
      </c>
    </row>
    <row r="163" spans="1:16" s="62" customFormat="1" x14ac:dyDescent="0.25">
      <c r="A163"/>
      <c r="B163" s="369"/>
      <c r="C163" s="366"/>
      <c r="D163" s="366" t="s">
        <v>336</v>
      </c>
      <c r="E163" s="907" t="s">
        <v>337</v>
      </c>
      <c r="F163" s="907" t="s">
        <v>1262</v>
      </c>
      <c r="G163" s="908" t="s">
        <v>934</v>
      </c>
      <c r="H163" s="907" t="s">
        <v>337</v>
      </c>
      <c r="I163" s="367"/>
      <c r="J163" s="367">
        <f>'SCHEDULE OF ACCOUNTS'!J165</f>
        <v>99239.58</v>
      </c>
      <c r="K163" s="374"/>
      <c r="L163" s="167"/>
      <c r="N163" s="62">
        <f>J164+J163</f>
        <v>48210291.390000001</v>
      </c>
      <c r="O163" s="62" t="s">
        <v>338</v>
      </c>
    </row>
    <row r="164" spans="1:16" s="62" customFormat="1" x14ac:dyDescent="0.25">
      <c r="A164"/>
      <c r="B164" s="369"/>
      <c r="C164" s="366"/>
      <c r="D164" s="366" t="s">
        <v>330</v>
      </c>
      <c r="E164" s="907" t="s">
        <v>331</v>
      </c>
      <c r="F164" s="907" t="s">
        <v>1263</v>
      </c>
      <c r="G164" s="908" t="s">
        <v>934</v>
      </c>
      <c r="H164" s="907" t="s">
        <v>1005</v>
      </c>
      <c r="I164" s="367"/>
      <c r="J164" s="367">
        <f>'SCHEDULE OF ACCOUNTS'!J166</f>
        <v>48111051.810000002</v>
      </c>
      <c r="K164" s="374"/>
      <c r="L164" s="167"/>
      <c r="N164" s="504">
        <f>N162+N163</f>
        <v>6929011095.4000006</v>
      </c>
    </row>
    <row r="165" spans="1:16" s="62" customFormat="1" ht="15.75" thickBot="1" x14ac:dyDescent="0.3">
      <c r="A165"/>
      <c r="B165" s="369"/>
      <c r="C165" s="366"/>
      <c r="D165" s="366" t="s">
        <v>286</v>
      </c>
      <c r="E165" s="907" t="s">
        <v>284</v>
      </c>
      <c r="F165" s="907" t="s">
        <v>1264</v>
      </c>
      <c r="G165" s="908" t="s">
        <v>934</v>
      </c>
      <c r="H165" s="907" t="s">
        <v>1012</v>
      </c>
      <c r="I165" s="367"/>
      <c r="J165" s="367">
        <f>'SCHEDULE OF ACCOUNTS'!J167</f>
        <v>691757.06</v>
      </c>
      <c r="K165" s="374"/>
      <c r="L165" s="167"/>
    </row>
    <row r="166" spans="1:16" s="62" customFormat="1" ht="15.75" hidden="1" thickBot="1" x14ac:dyDescent="0.3">
      <c r="A166"/>
      <c r="B166" s="369"/>
      <c r="C166" s="366"/>
      <c r="D166" s="912"/>
      <c r="E166" s="368"/>
      <c r="F166" s="368"/>
      <c r="G166" s="368"/>
      <c r="H166" s="907"/>
      <c r="I166" s="367"/>
      <c r="J166" s="367"/>
      <c r="K166" s="374"/>
      <c r="L166" s="167"/>
      <c r="N166" s="82">
        <f>SUM(N162:N163)</f>
        <v>6929011095.4000006</v>
      </c>
    </row>
    <row r="167" spans="1:16" s="62" customFormat="1" ht="15.75" thickBot="1" x14ac:dyDescent="0.3">
      <c r="A167"/>
      <c r="B167" s="369" t="s">
        <v>272</v>
      </c>
      <c r="C167" s="366" t="s">
        <v>273</v>
      </c>
      <c r="D167" s="366" t="s">
        <v>290</v>
      </c>
      <c r="E167" s="907" t="s">
        <v>291</v>
      </c>
      <c r="F167" s="907" t="s">
        <v>1265</v>
      </c>
      <c r="G167" s="908" t="s">
        <v>1065</v>
      </c>
      <c r="H167" s="907" t="s">
        <v>291</v>
      </c>
      <c r="I167" s="367"/>
      <c r="J167" s="367">
        <f>'SCHEDULE OF ACCOUNTS'!J169</f>
        <v>19996900.359999999</v>
      </c>
      <c r="K167" s="374"/>
      <c r="L167" s="167"/>
      <c r="N167" s="410">
        <f>N154+N162+N163</f>
        <v>8018061680.250001</v>
      </c>
      <c r="O167" s="411" t="s">
        <v>672</v>
      </c>
    </row>
    <row r="168" spans="1:16" s="62" customFormat="1" hidden="1" x14ac:dyDescent="0.25">
      <c r="A168"/>
      <c r="B168" s="369"/>
      <c r="C168" s="366"/>
      <c r="D168" s="912"/>
      <c r="E168" s="368"/>
      <c r="F168" s="368"/>
      <c r="G168" s="368"/>
      <c r="H168" s="907"/>
      <c r="I168" s="367"/>
      <c r="J168" s="367"/>
      <c r="K168" s="374"/>
      <c r="N168" s="84"/>
      <c r="O168" s="84" t="s">
        <v>672</v>
      </c>
    </row>
    <row r="169" spans="1:16" s="62" customFormat="1" ht="15.75" thickBot="1" x14ac:dyDescent="0.3">
      <c r="A169"/>
      <c r="B169" s="369"/>
      <c r="C169" s="366"/>
      <c r="D169" s="366" t="s">
        <v>754</v>
      </c>
      <c r="E169" s="907" t="s">
        <v>756</v>
      </c>
      <c r="F169" s="907" t="s">
        <v>1266</v>
      </c>
      <c r="G169" s="908" t="s">
        <v>933</v>
      </c>
      <c r="H169" s="907" t="s">
        <v>793</v>
      </c>
      <c r="I169" s="367"/>
      <c r="J169" s="367">
        <f>'SCHEDULE OF ACCOUNTS'!J171</f>
        <v>9121143.4600000009</v>
      </c>
      <c r="K169" s="374"/>
      <c r="P169" s="63"/>
    </row>
    <row r="170" spans="1:16" s="62" customFormat="1" ht="15.75" thickBot="1" x14ac:dyDescent="0.3">
      <c r="A170"/>
      <c r="B170" s="369"/>
      <c r="C170" s="366"/>
      <c r="D170" s="366" t="s">
        <v>757</v>
      </c>
      <c r="E170" s="907" t="s">
        <v>755</v>
      </c>
      <c r="F170" s="907" t="s">
        <v>1267</v>
      </c>
      <c r="G170" s="908" t="s">
        <v>933</v>
      </c>
      <c r="H170" s="907" t="s">
        <v>755</v>
      </c>
      <c r="I170" s="367"/>
      <c r="J170" s="367">
        <f>'SCHEDULE OF ACCOUNTS'!J172</f>
        <v>313806761.08999997</v>
      </c>
      <c r="K170" s="374"/>
      <c r="N170" s="410">
        <f>J175+J176+J177</f>
        <v>27328979719.779999</v>
      </c>
      <c r="O170" s="411" t="s">
        <v>10</v>
      </c>
      <c r="P170" s="63"/>
    </row>
    <row r="171" spans="1:16" s="62" customFormat="1" hidden="1" x14ac:dyDescent="0.25">
      <c r="A171"/>
      <c r="B171" s="369"/>
      <c r="C171" s="366"/>
      <c r="D171" s="912"/>
      <c r="E171" s="368"/>
      <c r="F171" s="368"/>
      <c r="G171" s="368"/>
      <c r="H171" s="907"/>
      <c r="I171" s="367"/>
      <c r="J171" s="367"/>
      <c r="K171" s="374"/>
    </row>
    <row r="172" spans="1:16" s="63" customFormat="1" x14ac:dyDescent="0.25">
      <c r="A172"/>
      <c r="B172" s="369" t="s">
        <v>280</v>
      </c>
      <c r="C172" s="366" t="s">
        <v>279</v>
      </c>
      <c r="D172" s="366" t="s">
        <v>281</v>
      </c>
      <c r="E172" s="907" t="s">
        <v>282</v>
      </c>
      <c r="F172" s="907" t="s">
        <v>1268</v>
      </c>
      <c r="G172" s="908" t="s">
        <v>1064</v>
      </c>
      <c r="H172" s="907" t="s">
        <v>282</v>
      </c>
      <c r="I172" s="367"/>
      <c r="J172" s="367">
        <f>'SCHEDULE OF ACCOUNTS'!J174</f>
        <v>6880800804.0100002</v>
      </c>
      <c r="K172" s="374"/>
    </row>
    <row r="173" spans="1:16" s="63" customFormat="1" x14ac:dyDescent="0.25">
      <c r="A173"/>
      <c r="B173" s="369" t="s">
        <v>284</v>
      </c>
      <c r="C173" s="366" t="s">
        <v>285</v>
      </c>
      <c r="D173" s="366" t="s">
        <v>343</v>
      </c>
      <c r="E173" s="907" t="s">
        <v>344</v>
      </c>
      <c r="F173" s="907"/>
      <c r="G173" s="908"/>
      <c r="H173" s="907"/>
      <c r="I173" s="367"/>
      <c r="J173" s="367"/>
      <c r="K173" s="374"/>
      <c r="N173" s="419">
        <f>K181+K183+K187+K190+K189+K188</f>
        <v>346713265.95999998</v>
      </c>
      <c r="O173" s="495" t="s">
        <v>1653</v>
      </c>
    </row>
    <row r="174" spans="1:16" s="63" customFormat="1" hidden="1" x14ac:dyDescent="0.25">
      <c r="A174"/>
      <c r="B174" s="369" t="s">
        <v>288</v>
      </c>
      <c r="C174" s="366" t="s">
        <v>289</v>
      </c>
      <c r="D174" s="373"/>
      <c r="E174" s="373"/>
      <c r="F174" s="913"/>
      <c r="G174" s="374"/>
      <c r="H174" s="367"/>
      <c r="I174" s="367"/>
      <c r="J174" s="367"/>
      <c r="K174" s="374"/>
      <c r="N174" s="62"/>
      <c r="O174" s="62"/>
    </row>
    <row r="175" spans="1:16" s="63" customFormat="1" x14ac:dyDescent="0.25">
      <c r="A175"/>
      <c r="B175" s="369" t="s">
        <v>293</v>
      </c>
      <c r="C175" s="366" t="s">
        <v>294</v>
      </c>
      <c r="D175" s="366" t="s">
        <v>347</v>
      </c>
      <c r="E175" s="907" t="s">
        <v>348</v>
      </c>
      <c r="F175" s="907" t="s">
        <v>1269</v>
      </c>
      <c r="G175" s="908" t="s">
        <v>348</v>
      </c>
      <c r="H175" s="907" t="s">
        <v>348</v>
      </c>
      <c r="I175" s="367"/>
      <c r="J175" s="367">
        <f>'SCHEDULE OF ACCOUNTS'!J177</f>
        <v>8493703483.0699997</v>
      </c>
      <c r="K175" s="374"/>
      <c r="N175" s="397">
        <f>K192+K193+K195</f>
        <v>777026873.01999998</v>
      </c>
      <c r="O175" s="495" t="s">
        <v>1031</v>
      </c>
    </row>
    <row r="176" spans="1:16" s="63" customFormat="1" x14ac:dyDescent="0.25">
      <c r="A176"/>
      <c r="B176" s="369" t="s">
        <v>298</v>
      </c>
      <c r="C176" s="366" t="s">
        <v>299</v>
      </c>
      <c r="D176" s="366" t="s">
        <v>351</v>
      </c>
      <c r="E176" s="907" t="s">
        <v>352</v>
      </c>
      <c r="F176" s="907" t="s">
        <v>1270</v>
      </c>
      <c r="G176" s="908" t="s">
        <v>1066</v>
      </c>
      <c r="H176" s="907" t="s">
        <v>352</v>
      </c>
      <c r="I176" s="367"/>
      <c r="J176" s="367">
        <f>'SCHEDULE OF ACCOUNTS'!J178</f>
        <v>18806393136.110001</v>
      </c>
      <c r="K176" s="374"/>
      <c r="N176" s="420">
        <f>K199+K194+K198</f>
        <v>5144588.7300000004</v>
      </c>
      <c r="O176" s="495" t="s">
        <v>1383</v>
      </c>
    </row>
    <row r="177" spans="1:20" s="63" customFormat="1" ht="15.75" thickBot="1" x14ac:dyDescent="0.3">
      <c r="A177"/>
      <c r="B177" s="369" t="s">
        <v>302</v>
      </c>
      <c r="C177" s="366" t="s">
        <v>303</v>
      </c>
      <c r="D177" s="366" t="s">
        <v>353</v>
      </c>
      <c r="E177" s="907" t="s">
        <v>354</v>
      </c>
      <c r="F177" s="907" t="s">
        <v>1271</v>
      </c>
      <c r="G177" s="908" t="s">
        <v>354</v>
      </c>
      <c r="H177" s="907" t="s">
        <v>354</v>
      </c>
      <c r="I177" s="367"/>
      <c r="J177" s="367">
        <f>'SCHEDULE OF ACCOUNTS'!J179</f>
        <v>28883100.600000001</v>
      </c>
      <c r="K177" s="374"/>
      <c r="L177" s="61"/>
      <c r="N177" s="62">
        <f>SUM(N173:N176)</f>
        <v>1128884727.71</v>
      </c>
      <c r="O177" s="208" t="s">
        <v>1654</v>
      </c>
      <c r="P177" s="189"/>
    </row>
    <row r="178" spans="1:20" s="63" customFormat="1" ht="15.75" hidden="1" thickBot="1" x14ac:dyDescent="0.3">
      <c r="A178"/>
      <c r="B178" s="369" t="s">
        <v>305</v>
      </c>
      <c r="C178" s="366" t="s">
        <v>306</v>
      </c>
      <c r="D178" s="373"/>
      <c r="E178" s="373"/>
      <c r="F178" s="374"/>
      <c r="G178" s="374"/>
      <c r="H178" s="367"/>
      <c r="I178" s="367"/>
      <c r="J178" s="367"/>
      <c r="K178" s="374"/>
      <c r="N178" s="62"/>
      <c r="O178" s="189"/>
      <c r="P178" s="189"/>
    </row>
    <row r="179" spans="1:20" s="63" customFormat="1" ht="15.75" hidden="1" thickBot="1" x14ac:dyDescent="0.3">
      <c r="A179"/>
      <c r="B179" s="369"/>
      <c r="C179" s="366"/>
      <c r="D179" s="373"/>
      <c r="E179" s="373"/>
      <c r="F179" s="374"/>
      <c r="G179" s="374"/>
      <c r="H179" s="367"/>
      <c r="I179" s="367"/>
      <c r="J179" s="367"/>
      <c r="K179" s="374"/>
      <c r="N179" s="62"/>
      <c r="O179" s="189"/>
      <c r="P179" s="189"/>
    </row>
    <row r="180" spans="1:20" s="63" customFormat="1" ht="15.75" hidden="1" thickBot="1" x14ac:dyDescent="0.3">
      <c r="A180"/>
      <c r="B180" s="369"/>
      <c r="C180" s="366"/>
      <c r="D180" s="373"/>
      <c r="E180" s="373"/>
      <c r="F180" s="913"/>
      <c r="G180" s="374"/>
      <c r="H180" s="367"/>
      <c r="I180" s="367"/>
      <c r="J180" s="367"/>
      <c r="K180" s="374"/>
      <c r="N180" s="62"/>
      <c r="O180" s="189"/>
      <c r="P180" s="189"/>
    </row>
    <row r="181" spans="1:20" s="63" customFormat="1" x14ac:dyDescent="0.25">
      <c r="A181"/>
      <c r="B181" s="369" t="s">
        <v>310</v>
      </c>
      <c r="C181" s="366" t="s">
        <v>311</v>
      </c>
      <c r="D181" s="366" t="s">
        <v>372</v>
      </c>
      <c r="E181" s="907" t="s">
        <v>373</v>
      </c>
      <c r="F181" s="907" t="s">
        <v>1272</v>
      </c>
      <c r="G181" s="908" t="s">
        <v>1030</v>
      </c>
      <c r="H181" s="907" t="s">
        <v>373</v>
      </c>
      <c r="I181" s="367"/>
      <c r="J181" s="367">
        <f>'SCHEDULE OF ACCOUNTS'!J183</f>
        <v>211448677.18000001</v>
      </c>
      <c r="K181" s="770">
        <f>J181</f>
        <v>211448677.18000001</v>
      </c>
      <c r="L181" s="414" t="s">
        <v>1098</v>
      </c>
      <c r="M181" s="377"/>
      <c r="N181" s="62"/>
      <c r="O181" s="189"/>
      <c r="P181" s="189"/>
    </row>
    <row r="182" spans="1:20" s="63" customFormat="1" hidden="1" x14ac:dyDescent="0.25">
      <c r="A182"/>
      <c r="B182" s="369" t="s">
        <v>314</v>
      </c>
      <c r="C182" s="366" t="s">
        <v>315</v>
      </c>
      <c r="D182" s="366" t="s">
        <v>366</v>
      </c>
      <c r="E182" s="907" t="s">
        <v>363</v>
      </c>
      <c r="F182" s="907"/>
      <c r="G182" s="908"/>
      <c r="H182" s="907" t="s">
        <v>363</v>
      </c>
      <c r="I182" s="367"/>
      <c r="J182" s="367"/>
      <c r="K182" s="771"/>
      <c r="L182" s="61"/>
      <c r="M182" s="377"/>
      <c r="N182" s="62"/>
      <c r="O182" s="189"/>
      <c r="P182" s="189"/>
    </row>
    <row r="183" spans="1:20" s="63" customFormat="1" x14ac:dyDescent="0.25">
      <c r="A183"/>
      <c r="B183" s="369"/>
      <c r="C183" s="366"/>
      <c r="D183" s="366" t="s">
        <v>367</v>
      </c>
      <c r="E183" s="907" t="s">
        <v>364</v>
      </c>
      <c r="F183" s="907" t="s">
        <v>1273</v>
      </c>
      <c r="G183" s="908" t="s">
        <v>1030</v>
      </c>
      <c r="H183" s="907" t="s">
        <v>364</v>
      </c>
      <c r="I183" s="367"/>
      <c r="J183" s="367">
        <f>'SCHEDULE OF ACCOUNTS'!J185</f>
        <v>11764403.1</v>
      </c>
      <c r="K183" s="771">
        <f>J183</f>
        <v>11764403.1</v>
      </c>
      <c r="L183" s="414" t="s">
        <v>1097</v>
      </c>
      <c r="M183" s="377"/>
      <c r="N183" s="62">
        <f>K207</f>
        <v>50613303.709999993</v>
      </c>
      <c r="O183" s="189" t="s">
        <v>1386</v>
      </c>
      <c r="P183" s="208" t="s">
        <v>1389</v>
      </c>
    </row>
    <row r="184" spans="1:20" s="63" customFormat="1" x14ac:dyDescent="0.25">
      <c r="A184"/>
      <c r="B184" s="369" t="s">
        <v>318</v>
      </c>
      <c r="C184" s="366" t="s">
        <v>319</v>
      </c>
      <c r="D184" s="366" t="s">
        <v>356</v>
      </c>
      <c r="E184" s="907" t="s">
        <v>355</v>
      </c>
      <c r="F184" s="907" t="s">
        <v>1274</v>
      </c>
      <c r="G184" s="908" t="s">
        <v>1030</v>
      </c>
      <c r="H184" s="907" t="s">
        <v>355</v>
      </c>
      <c r="I184" s="367"/>
      <c r="J184" s="367">
        <f>'SCHEDULE OF ACCOUNTS'!J186</f>
        <v>8212.1200000000008</v>
      </c>
      <c r="K184" s="482"/>
      <c r="L184" s="61"/>
      <c r="M184" s="377"/>
      <c r="N184" s="62">
        <f>K246</f>
        <v>12039839.620000001</v>
      </c>
      <c r="O184" s="189" t="s">
        <v>473</v>
      </c>
      <c r="P184" s="208" t="s">
        <v>1390</v>
      </c>
    </row>
    <row r="185" spans="1:20" s="63" customFormat="1" x14ac:dyDescent="0.25">
      <c r="A185"/>
      <c r="B185" s="369" t="s">
        <v>320</v>
      </c>
      <c r="C185" s="366" t="s">
        <v>321</v>
      </c>
      <c r="D185" s="366" t="s">
        <v>357</v>
      </c>
      <c r="E185" s="907" t="s">
        <v>358</v>
      </c>
      <c r="F185" s="907" t="s">
        <v>1275</v>
      </c>
      <c r="G185" s="908" t="s">
        <v>1030</v>
      </c>
      <c r="H185" s="907" t="s">
        <v>358</v>
      </c>
      <c r="I185" s="367"/>
      <c r="J185" s="367">
        <f>'SCHEDULE OF ACCOUNTS'!J187</f>
        <v>75289.820000000007</v>
      </c>
      <c r="K185" s="482"/>
      <c r="L185" s="61"/>
      <c r="M185" s="377"/>
      <c r="N185" s="62">
        <f>K234</f>
        <v>2812992.89</v>
      </c>
      <c r="O185" s="189" t="s">
        <v>512</v>
      </c>
      <c r="P185" s="208" t="s">
        <v>1390</v>
      </c>
    </row>
    <row r="186" spans="1:20" x14ac:dyDescent="0.25">
      <c r="B186" s="369" t="s">
        <v>324</v>
      </c>
      <c r="C186" s="366" t="s">
        <v>325</v>
      </c>
      <c r="D186" s="366" t="s">
        <v>360</v>
      </c>
      <c r="E186" s="907" t="s">
        <v>359</v>
      </c>
      <c r="F186" s="907" t="s">
        <v>1276</v>
      </c>
      <c r="G186" s="908" t="s">
        <v>1030</v>
      </c>
      <c r="H186" s="907" t="s">
        <v>359</v>
      </c>
      <c r="I186" s="367"/>
      <c r="J186" s="367">
        <f>'SCHEDULE OF ACCOUNTS'!J188</f>
        <v>123258359.52</v>
      </c>
      <c r="K186" s="483"/>
      <c r="N186" s="62">
        <f>K257</f>
        <v>3623104.0100000002</v>
      </c>
      <c r="O186" s="189" t="s">
        <v>533</v>
      </c>
      <c r="P186" s="208" t="s">
        <v>1390</v>
      </c>
    </row>
    <row r="187" spans="1:20" x14ac:dyDescent="0.25">
      <c r="B187" s="369" t="s">
        <v>328</v>
      </c>
      <c r="C187" s="366" t="s">
        <v>329</v>
      </c>
      <c r="D187" s="366" t="s">
        <v>361</v>
      </c>
      <c r="E187" s="907" t="s">
        <v>362</v>
      </c>
      <c r="F187" s="907" t="s">
        <v>1277</v>
      </c>
      <c r="G187" s="908" t="s">
        <v>1030</v>
      </c>
      <c r="H187" s="907" t="s">
        <v>362</v>
      </c>
      <c r="I187" s="367"/>
      <c r="J187" s="367">
        <f>'SCHEDULE OF ACCOUNTS'!J189</f>
        <v>41657.22</v>
      </c>
      <c r="K187" s="772">
        <f>J184+J185+J186+J187</f>
        <v>123383518.67999999</v>
      </c>
      <c r="L187" s="414" t="s">
        <v>1096</v>
      </c>
      <c r="N187" s="62">
        <f>K227</f>
        <v>729825.35</v>
      </c>
      <c r="O187" s="189" t="s">
        <v>554</v>
      </c>
      <c r="P187" s="208" t="s">
        <v>1390</v>
      </c>
    </row>
    <row r="188" spans="1:20" s="63" customFormat="1" x14ac:dyDescent="0.25">
      <c r="A188"/>
      <c r="B188" s="369" t="s">
        <v>333</v>
      </c>
      <c r="C188" s="366" t="s">
        <v>334</v>
      </c>
      <c r="D188" s="909" t="s">
        <v>705</v>
      </c>
      <c r="E188" s="907" t="s">
        <v>391</v>
      </c>
      <c r="F188" s="907" t="s">
        <v>1278</v>
      </c>
      <c r="G188" s="908" t="s">
        <v>1030</v>
      </c>
      <c r="H188" s="907" t="s">
        <v>391</v>
      </c>
      <c r="I188" s="367">
        <f>'SCHEDULE OF ACCOUNTS'!I190</f>
        <v>0</v>
      </c>
      <c r="J188" s="367">
        <f>'SCHEDULE OF ACCOUNTS'!J190</f>
        <v>0</v>
      </c>
      <c r="K188" s="771">
        <f>J188</f>
        <v>0</v>
      </c>
      <c r="L188" s="414" t="s">
        <v>1385</v>
      </c>
      <c r="M188" s="377"/>
      <c r="N188" s="62">
        <f>K251</f>
        <v>25251328.330000002</v>
      </c>
      <c r="O188" s="161" t="s">
        <v>585</v>
      </c>
      <c r="P188" s="208" t="s">
        <v>1390</v>
      </c>
      <c r="R188" s="72"/>
      <c r="S188" s="72"/>
      <c r="T188" s="72"/>
    </row>
    <row r="189" spans="1:20" s="63" customFormat="1" x14ac:dyDescent="0.25">
      <c r="A189"/>
      <c r="B189" s="369" t="s">
        <v>339</v>
      </c>
      <c r="C189" s="366" t="s">
        <v>340</v>
      </c>
      <c r="D189" s="366" t="s">
        <v>389</v>
      </c>
      <c r="E189" s="907" t="s">
        <v>390</v>
      </c>
      <c r="F189" s="907" t="s">
        <v>1279</v>
      </c>
      <c r="G189" s="908" t="s">
        <v>1030</v>
      </c>
      <c r="H189" s="907" t="s">
        <v>390</v>
      </c>
      <c r="I189" s="367">
        <f>'SCHEDULE OF ACCOUNTS'!I191</f>
        <v>0</v>
      </c>
      <c r="J189" s="367">
        <f>'SCHEDULE OF ACCOUNTS'!J191</f>
        <v>0</v>
      </c>
      <c r="K189" s="771">
        <f>J189</f>
        <v>0</v>
      </c>
      <c r="L189" s="414" t="s">
        <v>1378</v>
      </c>
      <c r="M189" s="377"/>
      <c r="N189" s="62">
        <f>K265</f>
        <v>60186608.199999996</v>
      </c>
      <c r="O189" s="189" t="s">
        <v>613</v>
      </c>
      <c r="P189" s="208" t="s">
        <v>1390</v>
      </c>
      <c r="R189" s="72"/>
      <c r="S189" s="72"/>
      <c r="T189" s="72"/>
    </row>
    <row r="190" spans="1:20" s="63" customFormat="1" ht="15.75" thickBot="1" x14ac:dyDescent="0.3">
      <c r="A190"/>
      <c r="B190" s="369" t="s">
        <v>342</v>
      </c>
      <c r="C190" s="366" t="s">
        <v>335</v>
      </c>
      <c r="D190" s="366" t="s">
        <v>376</v>
      </c>
      <c r="E190" s="907" t="s">
        <v>99</v>
      </c>
      <c r="F190" s="907" t="s">
        <v>1280</v>
      </c>
      <c r="G190" s="908" t="s">
        <v>1030</v>
      </c>
      <c r="H190" s="907" t="s">
        <v>99</v>
      </c>
      <c r="I190" s="367"/>
      <c r="J190" s="367">
        <f>'SCHEDULE OF ACCOUNTS'!J192</f>
        <v>116667</v>
      </c>
      <c r="K190" s="773">
        <f>J190</f>
        <v>116667</v>
      </c>
      <c r="L190" s="414" t="s">
        <v>1099</v>
      </c>
      <c r="M190" s="377"/>
      <c r="N190" s="62">
        <f>K237</f>
        <v>1536597.4500000002</v>
      </c>
      <c r="O190" s="161" t="s">
        <v>626</v>
      </c>
      <c r="P190" s="208" t="s">
        <v>1390</v>
      </c>
    </row>
    <row r="191" spans="1:20" s="63" customFormat="1" hidden="1" x14ac:dyDescent="0.25">
      <c r="A191"/>
      <c r="B191" s="369" t="s">
        <v>345</v>
      </c>
      <c r="C191" s="366" t="s">
        <v>346</v>
      </c>
      <c r="D191" s="373"/>
      <c r="E191" s="373"/>
      <c r="F191" s="374"/>
      <c r="G191" s="374"/>
      <c r="H191" s="367"/>
      <c r="I191" s="367"/>
      <c r="J191" s="367"/>
      <c r="K191" s="374"/>
      <c r="L191" s="377"/>
      <c r="M191" s="377"/>
      <c r="N191" s="62"/>
      <c r="O191" s="189" t="s">
        <v>585</v>
      </c>
      <c r="P191" s="189"/>
    </row>
    <row r="192" spans="1:20" s="63" customFormat="1" x14ac:dyDescent="0.25">
      <c r="A192"/>
      <c r="B192" s="369" t="s">
        <v>349</v>
      </c>
      <c r="C192" s="366" t="s">
        <v>350</v>
      </c>
      <c r="D192" s="366" t="s">
        <v>377</v>
      </c>
      <c r="E192" s="907" t="s">
        <v>378</v>
      </c>
      <c r="F192" s="907" t="s">
        <v>1281</v>
      </c>
      <c r="G192" s="908" t="s">
        <v>1031</v>
      </c>
      <c r="H192" s="907" t="s">
        <v>378</v>
      </c>
      <c r="I192" s="367"/>
      <c r="J192" s="367">
        <f>'SCHEDULE OF ACCOUNTS'!J194</f>
        <v>22366942.539999999</v>
      </c>
      <c r="K192" s="774">
        <f>J192</f>
        <v>22366942.539999999</v>
      </c>
      <c r="L192" s="415" t="s">
        <v>1379</v>
      </c>
      <c r="M192" s="377"/>
      <c r="N192" s="155">
        <f>K229</f>
        <v>4241372.58</v>
      </c>
      <c r="O192" s="159" t="s">
        <v>635</v>
      </c>
      <c r="P192" s="208" t="s">
        <v>1390</v>
      </c>
    </row>
    <row r="193" spans="2:20" x14ac:dyDescent="0.25">
      <c r="B193" s="369" t="s">
        <v>368</v>
      </c>
      <c r="C193" s="366" t="s">
        <v>365</v>
      </c>
      <c r="D193" s="366" t="s">
        <v>744</v>
      </c>
      <c r="E193" s="907" t="s">
        <v>369</v>
      </c>
      <c r="F193" s="907" t="s">
        <v>1282</v>
      </c>
      <c r="G193" s="908" t="s">
        <v>1031</v>
      </c>
      <c r="H193" s="907" t="s">
        <v>369</v>
      </c>
      <c r="I193" s="367"/>
      <c r="J193" s="367">
        <f>'SCHEDULE OF ACCOUNTS'!J195</f>
        <v>754659930.48000002</v>
      </c>
      <c r="K193" s="775">
        <f>J193</f>
        <v>754659930.48000002</v>
      </c>
      <c r="L193" s="415" t="s">
        <v>1380</v>
      </c>
      <c r="N193" s="155">
        <f>K224</f>
        <v>2547915.04</v>
      </c>
      <c r="O193" s="161" t="s">
        <v>642</v>
      </c>
      <c r="P193" s="208" t="s">
        <v>1390</v>
      </c>
    </row>
    <row r="194" spans="2:20" x14ac:dyDescent="0.25">
      <c r="B194" s="369" t="s">
        <v>370</v>
      </c>
      <c r="C194" s="366" t="s">
        <v>371</v>
      </c>
      <c r="D194" s="366" t="s">
        <v>379</v>
      </c>
      <c r="E194" s="907" t="s">
        <v>380</v>
      </c>
      <c r="F194" s="907" t="s">
        <v>1283</v>
      </c>
      <c r="G194" s="908" t="s">
        <v>1031</v>
      </c>
      <c r="H194" s="907" t="s">
        <v>380</v>
      </c>
      <c r="I194" s="367"/>
      <c r="J194" s="367">
        <f>'SCHEDULE OF ACCOUNTS'!J196</f>
        <v>80445.539999999994</v>
      </c>
      <c r="K194" s="776">
        <f>J194</f>
        <v>80445.539999999994</v>
      </c>
      <c r="L194" s="417" t="s">
        <v>1383</v>
      </c>
      <c r="N194" s="155">
        <f>K273</f>
        <v>2604549.89</v>
      </c>
      <c r="O194" s="161" t="s">
        <v>651</v>
      </c>
      <c r="P194" s="208" t="s">
        <v>1390</v>
      </c>
      <c r="Q194" s="63"/>
    </row>
    <row r="195" spans="2:20" x14ac:dyDescent="0.25">
      <c r="B195" s="369" t="s">
        <v>99</v>
      </c>
      <c r="C195" s="366" t="s">
        <v>375</v>
      </c>
      <c r="D195" s="371" t="s">
        <v>709</v>
      </c>
      <c r="E195" s="907" t="s">
        <v>710</v>
      </c>
      <c r="F195" s="907" t="s">
        <v>1284</v>
      </c>
      <c r="G195" s="908" t="s">
        <v>1031</v>
      </c>
      <c r="H195" s="907" t="s">
        <v>710</v>
      </c>
      <c r="I195" s="367"/>
      <c r="J195" s="367">
        <f>'SCHEDULE OF ACCOUNTS'!J197</f>
        <v>0</v>
      </c>
      <c r="K195" s="775">
        <f>J195</f>
        <v>0</v>
      </c>
      <c r="L195" s="415" t="s">
        <v>1381</v>
      </c>
      <c r="N195" s="155">
        <f>K241</f>
        <v>6545915.5200000005</v>
      </c>
      <c r="O195" s="161" t="s">
        <v>657</v>
      </c>
      <c r="P195" s="208" t="s">
        <v>1390</v>
      </c>
      <c r="R195" s="61"/>
      <c r="S195" s="61"/>
      <c r="T195" s="61"/>
    </row>
    <row r="196" spans="2:20" x14ac:dyDescent="0.25">
      <c r="B196" s="369"/>
      <c r="C196" s="366"/>
      <c r="D196" s="366" t="s">
        <v>778</v>
      </c>
      <c r="E196" s="907" t="s">
        <v>779</v>
      </c>
      <c r="F196" s="907" t="s">
        <v>1285</v>
      </c>
      <c r="G196" s="908" t="s">
        <v>1031</v>
      </c>
      <c r="H196" s="907" t="s">
        <v>779</v>
      </c>
      <c r="I196" s="367"/>
      <c r="J196" s="367">
        <f>'SCHEDULE OF ACCOUNTS'!J198</f>
        <v>0</v>
      </c>
      <c r="K196" s="765"/>
      <c r="N196" s="62">
        <f>K291</f>
        <v>86046.81</v>
      </c>
      <c r="O196" s="189" t="s">
        <v>676</v>
      </c>
      <c r="P196" s="208" t="s">
        <v>676</v>
      </c>
    </row>
    <row r="197" spans="2:20" hidden="1" x14ac:dyDescent="0.25">
      <c r="B197" s="369"/>
      <c r="C197" s="366"/>
      <c r="D197" s="912"/>
      <c r="E197" s="368"/>
      <c r="F197" s="368"/>
      <c r="G197" s="368"/>
      <c r="H197" s="907"/>
      <c r="I197" s="367"/>
      <c r="J197" s="367"/>
      <c r="K197" s="766"/>
      <c r="N197" s="155"/>
      <c r="O197" s="189"/>
      <c r="P197" s="161"/>
    </row>
    <row r="198" spans="2:20" x14ac:dyDescent="0.25">
      <c r="B198" s="369"/>
      <c r="C198" s="366"/>
      <c r="D198" s="909" t="s">
        <v>774</v>
      </c>
      <c r="E198" s="907" t="s">
        <v>775</v>
      </c>
      <c r="F198" s="907" t="s">
        <v>1286</v>
      </c>
      <c r="G198" s="908" t="s">
        <v>775</v>
      </c>
      <c r="H198" s="907" t="s">
        <v>775</v>
      </c>
      <c r="I198" s="367"/>
      <c r="J198" s="367">
        <f>'SCHEDULE OF ACCOUNTS'!J200</f>
        <v>1210413.21</v>
      </c>
      <c r="K198" s="776">
        <f>J198</f>
        <v>1210413.21</v>
      </c>
      <c r="L198" s="417" t="s">
        <v>1383</v>
      </c>
      <c r="N198" s="162">
        <f>K294</f>
        <v>5125502.49</v>
      </c>
      <c r="O198" s="421" t="s">
        <v>498</v>
      </c>
      <c r="P198" s="416" t="s">
        <v>1382</v>
      </c>
    </row>
    <row r="199" spans="2:20" ht="15.75" thickBot="1" x14ac:dyDescent="0.3">
      <c r="B199" s="369" t="s">
        <v>381</v>
      </c>
      <c r="C199" s="366" t="s">
        <v>382</v>
      </c>
      <c r="D199" s="366" t="s">
        <v>383</v>
      </c>
      <c r="E199" s="907" t="s">
        <v>384</v>
      </c>
      <c r="F199" s="907" t="s">
        <v>1287</v>
      </c>
      <c r="G199" s="908" t="s">
        <v>1080</v>
      </c>
      <c r="H199" s="907" t="s">
        <v>384</v>
      </c>
      <c r="I199" s="367"/>
      <c r="J199" s="367">
        <f>'SCHEDULE OF ACCOUNTS'!J201</f>
        <v>3853729.98</v>
      </c>
      <c r="K199" s="776">
        <f>J199</f>
        <v>3853729.98</v>
      </c>
      <c r="L199" s="417" t="s">
        <v>1383</v>
      </c>
      <c r="N199" s="162">
        <f>K301</f>
        <v>0</v>
      </c>
      <c r="O199" s="421" t="s">
        <v>543</v>
      </c>
      <c r="P199" s="416" t="s">
        <v>1382</v>
      </c>
    </row>
    <row r="200" spans="2:20" ht="15.75" hidden="1" thickBot="1" x14ac:dyDescent="0.3">
      <c r="B200" s="369" t="s">
        <v>388</v>
      </c>
      <c r="C200" s="917" t="s">
        <v>385</v>
      </c>
      <c r="D200" s="371"/>
      <c r="E200" s="372"/>
      <c r="F200" s="372"/>
      <c r="G200" s="372"/>
      <c r="H200" s="901"/>
      <c r="I200" s="367"/>
      <c r="J200" s="367"/>
      <c r="K200" s="365"/>
      <c r="N200" s="155"/>
      <c r="O200" s="159" t="s">
        <v>642</v>
      </c>
      <c r="P200" s="161"/>
    </row>
    <row r="201" spans="2:20" ht="15.75" hidden="1" thickBot="1" x14ac:dyDescent="0.3">
      <c r="B201" s="369"/>
      <c r="C201" s="917"/>
      <c r="D201" s="371"/>
      <c r="E201" s="372"/>
      <c r="F201" s="913"/>
      <c r="G201" s="372"/>
      <c r="H201" s="901"/>
      <c r="I201" s="367"/>
      <c r="J201" s="367"/>
      <c r="K201" s="365"/>
      <c r="N201" s="155"/>
      <c r="O201" s="159" t="s">
        <v>651</v>
      </c>
      <c r="P201" s="161"/>
    </row>
    <row r="202" spans="2:20" x14ac:dyDescent="0.25">
      <c r="B202" s="369"/>
      <c r="C202" s="917"/>
      <c r="D202" s="366" t="s">
        <v>398</v>
      </c>
      <c r="E202" s="907" t="s">
        <v>399</v>
      </c>
      <c r="F202" s="907" t="s">
        <v>1288</v>
      </c>
      <c r="G202" s="908" t="s">
        <v>399</v>
      </c>
      <c r="H202" s="907" t="s">
        <v>399</v>
      </c>
      <c r="I202" s="367">
        <f>'SCHEDULE OF ACCOUNTS'!I204</f>
        <v>30591672.850000001</v>
      </c>
      <c r="J202" s="367"/>
      <c r="K202" s="501">
        <f>I202</f>
        <v>30591672.850000001</v>
      </c>
      <c r="L202" s="61" t="s">
        <v>673</v>
      </c>
      <c r="N202" s="162">
        <f>K305</f>
        <v>10804497.24</v>
      </c>
      <c r="O202" s="161" t="s">
        <v>1384</v>
      </c>
      <c r="P202" s="416" t="s">
        <v>1382</v>
      </c>
    </row>
    <row r="203" spans="2:20" hidden="1" x14ac:dyDescent="0.25">
      <c r="B203" s="369"/>
      <c r="C203" s="917"/>
      <c r="D203" s="371"/>
      <c r="E203" s="372"/>
      <c r="F203" s="372"/>
      <c r="G203" s="372"/>
      <c r="H203" s="901"/>
      <c r="I203" s="367"/>
      <c r="J203" s="367"/>
      <c r="K203" s="483"/>
      <c r="N203" s="155"/>
      <c r="O203" s="159"/>
      <c r="P203" s="161"/>
    </row>
    <row r="204" spans="2:20" x14ac:dyDescent="0.25">
      <c r="B204" s="369"/>
      <c r="C204" s="917"/>
      <c r="D204" s="366" t="s">
        <v>433</v>
      </c>
      <c r="E204" s="907" t="s">
        <v>434</v>
      </c>
      <c r="F204" s="907" t="s">
        <v>1289</v>
      </c>
      <c r="G204" s="908" t="s">
        <v>954</v>
      </c>
      <c r="H204" s="907" t="s">
        <v>434</v>
      </c>
      <c r="I204" s="367">
        <f>'SCHEDULE OF ACCOUNTS'!I206</f>
        <v>707528.17</v>
      </c>
      <c r="J204" s="367"/>
      <c r="K204" s="484">
        <f>I216+I217+I218+I219</f>
        <v>4187139.65</v>
      </c>
      <c r="L204" s="61" t="s">
        <v>1095</v>
      </c>
      <c r="N204" s="51">
        <f>I188</f>
        <v>0</v>
      </c>
      <c r="O204" s="368" t="s">
        <v>1682</v>
      </c>
      <c r="P204" s="416" t="s">
        <v>1382</v>
      </c>
    </row>
    <row r="205" spans="2:20" x14ac:dyDescent="0.25">
      <c r="B205" s="369"/>
      <c r="C205" s="917"/>
      <c r="D205" s="909" t="s">
        <v>679</v>
      </c>
      <c r="E205" s="907" t="s">
        <v>435</v>
      </c>
      <c r="F205" s="907" t="s">
        <v>1290</v>
      </c>
      <c r="G205" s="908" t="s">
        <v>954</v>
      </c>
      <c r="H205" s="907" t="s">
        <v>435</v>
      </c>
      <c r="I205" s="367">
        <f>'SCHEDULE OF ACCOUNTS'!I207</f>
        <v>972511.36</v>
      </c>
      <c r="J205" s="367"/>
      <c r="K205" s="484">
        <f>I204+I205+I206+I207+I208+I209+I210+I211+I212+I213+I214+I222</f>
        <v>12154545.550000001</v>
      </c>
      <c r="L205" s="61" t="s">
        <v>674</v>
      </c>
      <c r="N205" s="155">
        <f>I267</f>
        <v>33549956.02</v>
      </c>
      <c r="O205" s="161" t="s">
        <v>978</v>
      </c>
      <c r="P205" s="161"/>
    </row>
    <row r="206" spans="2:20" ht="15.75" thickBot="1" x14ac:dyDescent="0.3">
      <c r="B206" s="369"/>
      <c r="C206" s="917"/>
      <c r="D206" s="909" t="s">
        <v>680</v>
      </c>
      <c r="E206" s="907" t="s">
        <v>400</v>
      </c>
      <c r="F206" s="907" t="s">
        <v>1291</v>
      </c>
      <c r="G206" s="908" t="s">
        <v>954</v>
      </c>
      <c r="H206" s="907" t="s">
        <v>1081</v>
      </c>
      <c r="I206" s="367">
        <f>'SCHEDULE OF ACCOUNTS'!I208</f>
        <v>260159.11</v>
      </c>
      <c r="J206" s="367"/>
      <c r="K206" s="502">
        <f>I221</f>
        <v>3679945.66</v>
      </c>
      <c r="L206" s="61" t="s">
        <v>675</v>
      </c>
      <c r="N206" s="51">
        <f>I266</f>
        <v>0</v>
      </c>
      <c r="O206" s="161" t="s">
        <v>1392</v>
      </c>
    </row>
    <row r="207" spans="2:20" ht="15.75" thickBot="1" x14ac:dyDescent="0.3">
      <c r="B207" s="369"/>
      <c r="C207" s="917"/>
      <c r="D207" s="366" t="s">
        <v>444</v>
      </c>
      <c r="E207" s="907" t="s">
        <v>445</v>
      </c>
      <c r="F207" s="907" t="s">
        <v>1292</v>
      </c>
      <c r="G207" s="908" t="s">
        <v>954</v>
      </c>
      <c r="H207" s="907" t="s">
        <v>445</v>
      </c>
      <c r="I207" s="367">
        <f>'SCHEDULE OF ACCOUNTS'!I209</f>
        <v>245000</v>
      </c>
      <c r="J207" s="367"/>
      <c r="K207" s="503">
        <f>SUM(K202:K206)</f>
        <v>50613303.709999993</v>
      </c>
      <c r="L207" s="61" t="s">
        <v>1676</v>
      </c>
      <c r="N207" s="155">
        <f>SUM(N183:N206)</f>
        <v>222299355.15000001</v>
      </c>
      <c r="O207" s="189" t="s">
        <v>677</v>
      </c>
      <c r="P207" s="161"/>
    </row>
    <row r="208" spans="2:20" ht="15.75" thickBot="1" x14ac:dyDescent="0.3">
      <c r="B208" s="369"/>
      <c r="C208" s="917"/>
      <c r="D208" s="919" t="s">
        <v>429</v>
      </c>
      <c r="E208" s="907" t="s">
        <v>430</v>
      </c>
      <c r="F208" s="907" t="s">
        <v>1293</v>
      </c>
      <c r="G208" s="908" t="s">
        <v>954</v>
      </c>
      <c r="H208" s="907" t="s">
        <v>430</v>
      </c>
      <c r="I208" s="367">
        <f>'SCHEDULE OF ACCOUNTS'!I210</f>
        <v>0</v>
      </c>
      <c r="J208" s="367"/>
      <c r="K208" s="365"/>
      <c r="N208" s="418">
        <f>N177-N207</f>
        <v>906585372.56000006</v>
      </c>
      <c r="O208" s="208" t="s">
        <v>678</v>
      </c>
      <c r="P208" s="161"/>
    </row>
    <row r="209" spans="2:16" x14ac:dyDescent="0.25">
      <c r="B209" s="369"/>
      <c r="C209" s="917"/>
      <c r="D209" s="366" t="s">
        <v>980</v>
      </c>
      <c r="E209" s="907" t="s">
        <v>981</v>
      </c>
      <c r="F209" s="907" t="s">
        <v>1294</v>
      </c>
      <c r="G209" s="908" t="s">
        <v>954</v>
      </c>
      <c r="H209" s="907" t="s">
        <v>981</v>
      </c>
      <c r="I209" s="367">
        <f>'SCHEDULE OF ACCOUNTS'!I211</f>
        <v>0</v>
      </c>
      <c r="J209" s="367"/>
      <c r="K209" s="365"/>
      <c r="N209" s="159">
        <f>J196</f>
        <v>0</v>
      </c>
      <c r="O209" s="189" t="s">
        <v>979</v>
      </c>
      <c r="P209" s="161"/>
    </row>
    <row r="210" spans="2:16" ht="15.75" thickBot="1" x14ac:dyDescent="0.3">
      <c r="B210" s="369" t="s">
        <v>386</v>
      </c>
      <c r="C210" s="366" t="s">
        <v>387</v>
      </c>
      <c r="D210" s="366" t="s">
        <v>438</v>
      </c>
      <c r="E210" s="907" t="s">
        <v>439</v>
      </c>
      <c r="F210" s="907" t="s">
        <v>1295</v>
      </c>
      <c r="G210" s="908" t="s">
        <v>954</v>
      </c>
      <c r="H210" s="907" t="s">
        <v>439</v>
      </c>
      <c r="I210" s="367">
        <f>'SCHEDULE OF ACCOUNTS'!I212</f>
        <v>75357.149999999994</v>
      </c>
      <c r="J210" s="367"/>
      <c r="K210" s="365"/>
      <c r="N210" s="413">
        <f>N208+N209</f>
        <v>906585372.56000006</v>
      </c>
      <c r="O210" s="208" t="s">
        <v>988</v>
      </c>
      <c r="P210" s="161"/>
    </row>
    <row r="211" spans="2:16" ht="15.75" thickTop="1" x14ac:dyDescent="0.25">
      <c r="B211" s="369"/>
      <c r="C211" s="366"/>
      <c r="D211" s="366" t="s">
        <v>420</v>
      </c>
      <c r="E211" s="907" t="s">
        <v>421</v>
      </c>
      <c r="F211" s="907" t="s">
        <v>1296</v>
      </c>
      <c r="G211" s="908" t="s">
        <v>954</v>
      </c>
      <c r="H211" s="907" t="s">
        <v>421</v>
      </c>
      <c r="I211" s="367">
        <f>'SCHEDULE OF ACCOUNTS'!I213</f>
        <v>579545.65</v>
      </c>
      <c r="J211" s="367"/>
      <c r="K211" s="477"/>
      <c r="L211" s="72"/>
    </row>
    <row r="212" spans="2:16" x14ac:dyDescent="0.25">
      <c r="B212" s="369"/>
      <c r="C212" s="366"/>
      <c r="D212" s="366" t="s">
        <v>424</v>
      </c>
      <c r="E212" s="907" t="s">
        <v>425</v>
      </c>
      <c r="F212" s="907" t="s">
        <v>1297</v>
      </c>
      <c r="G212" s="908" t="s">
        <v>954</v>
      </c>
      <c r="H212" s="907" t="s">
        <v>425</v>
      </c>
      <c r="I212" s="367">
        <f>'SCHEDULE OF ACCOUNTS'!I214</f>
        <v>5175977.7699999996</v>
      </c>
      <c r="J212" s="367"/>
      <c r="K212" s="365"/>
      <c r="N212" s="160">
        <f>N170+N210</f>
        <v>28235565092.34</v>
      </c>
      <c r="O212" s="208" t="s">
        <v>1391</v>
      </c>
      <c r="P212" s="161"/>
    </row>
    <row r="213" spans="2:16" ht="15.75" thickBot="1" x14ac:dyDescent="0.3">
      <c r="B213" s="369"/>
      <c r="C213" s="366"/>
      <c r="D213" s="909" t="s">
        <v>708</v>
      </c>
      <c r="E213" s="907" t="s">
        <v>428</v>
      </c>
      <c r="F213" s="907" t="s">
        <v>1298</v>
      </c>
      <c r="G213" s="908" t="s">
        <v>954</v>
      </c>
      <c r="H213" s="907" t="s">
        <v>428</v>
      </c>
      <c r="I213" s="367">
        <f>'SCHEDULE OF ACCOUNTS'!I215</f>
        <v>0</v>
      </c>
      <c r="J213" s="367"/>
      <c r="K213" s="365"/>
      <c r="N213" s="422">
        <f>N167+N212</f>
        <v>36253626772.590004</v>
      </c>
      <c r="O213" s="208" t="s">
        <v>11</v>
      </c>
      <c r="P213" s="161"/>
    </row>
    <row r="214" spans="2:16" x14ac:dyDescent="0.25">
      <c r="B214" s="369"/>
      <c r="C214" s="366"/>
      <c r="D214" s="366" t="s">
        <v>448</v>
      </c>
      <c r="E214" s="907" t="s">
        <v>449</v>
      </c>
      <c r="F214" s="907" t="s">
        <v>1299</v>
      </c>
      <c r="G214" s="908" t="s">
        <v>954</v>
      </c>
      <c r="H214" s="907" t="s">
        <v>449</v>
      </c>
      <c r="I214" s="367">
        <f>'SCHEDULE OF ACCOUNTS'!I216</f>
        <v>457306.38</v>
      </c>
      <c r="J214" s="367"/>
      <c r="K214" s="365"/>
    </row>
    <row r="215" spans="2:16" hidden="1" x14ac:dyDescent="0.25">
      <c r="B215" s="369"/>
      <c r="C215" s="366"/>
      <c r="D215" s="912"/>
      <c r="E215" s="368"/>
      <c r="F215" s="368"/>
      <c r="G215" s="368"/>
      <c r="H215" s="907"/>
      <c r="I215" s="367"/>
      <c r="J215" s="367"/>
      <c r="K215" s="365"/>
      <c r="N215" s="155"/>
      <c r="O215" s="189"/>
      <c r="P215" s="161"/>
    </row>
    <row r="216" spans="2:16" x14ac:dyDescent="0.25">
      <c r="B216" s="369"/>
      <c r="C216" s="366"/>
      <c r="D216" s="366" t="s">
        <v>404</v>
      </c>
      <c r="E216" s="907" t="s">
        <v>405</v>
      </c>
      <c r="F216" s="907" t="s">
        <v>1300</v>
      </c>
      <c r="G216" s="908" t="s">
        <v>955</v>
      </c>
      <c r="H216" s="907" t="s">
        <v>405</v>
      </c>
      <c r="I216" s="367">
        <f>'SCHEDULE OF ACCOUNTS'!I218</f>
        <v>3484566.21</v>
      </c>
      <c r="J216" s="367"/>
      <c r="K216" s="365"/>
      <c r="N216" s="155"/>
      <c r="O216" s="763"/>
      <c r="P216" s="161"/>
    </row>
    <row r="217" spans="2:16" x14ac:dyDescent="0.25">
      <c r="B217" s="369"/>
      <c r="C217" s="366"/>
      <c r="D217" s="366" t="s">
        <v>416</v>
      </c>
      <c r="E217" s="907" t="s">
        <v>417</v>
      </c>
      <c r="F217" s="907" t="s">
        <v>1301</v>
      </c>
      <c r="G217" s="908" t="s">
        <v>955</v>
      </c>
      <c r="H217" s="907" t="s">
        <v>417</v>
      </c>
      <c r="I217" s="367">
        <f>'SCHEDULE OF ACCOUNTS'!I219</f>
        <v>65300</v>
      </c>
      <c r="J217" s="367"/>
      <c r="K217" s="365"/>
      <c r="P217" s="161"/>
    </row>
    <row r="218" spans="2:16" x14ac:dyDescent="0.25">
      <c r="B218" s="369"/>
      <c r="C218" s="366"/>
      <c r="D218" s="366" t="s">
        <v>408</v>
      </c>
      <c r="E218" s="907" t="s">
        <v>409</v>
      </c>
      <c r="F218" s="907" t="s">
        <v>1302</v>
      </c>
      <c r="G218" s="908" t="s">
        <v>955</v>
      </c>
      <c r="H218" s="907" t="s">
        <v>409</v>
      </c>
      <c r="I218" s="367">
        <f>'SCHEDULE OF ACCOUNTS'!I220</f>
        <v>602673.43999999994</v>
      </c>
      <c r="J218" s="367"/>
      <c r="K218" s="365"/>
      <c r="N218" s="153"/>
      <c r="O218" s="763"/>
    </row>
    <row r="219" spans="2:16" x14ac:dyDescent="0.25">
      <c r="B219" s="369"/>
      <c r="C219" s="366"/>
      <c r="D219" s="366" t="s">
        <v>412</v>
      </c>
      <c r="E219" s="907" t="s">
        <v>413</v>
      </c>
      <c r="F219" s="907" t="s">
        <v>1303</v>
      </c>
      <c r="G219" s="908" t="s">
        <v>955</v>
      </c>
      <c r="H219" s="907" t="s">
        <v>413</v>
      </c>
      <c r="I219" s="367">
        <f>'SCHEDULE OF ACCOUNTS'!I221</f>
        <v>34600</v>
      </c>
      <c r="J219" s="367"/>
      <c r="K219" s="365"/>
      <c r="N219" s="155"/>
      <c r="O219" s="416"/>
    </row>
    <row r="220" spans="2:16" hidden="1" x14ac:dyDescent="0.25">
      <c r="B220" s="369"/>
      <c r="C220" s="366"/>
      <c r="D220" s="912"/>
      <c r="E220" s="368"/>
      <c r="F220" s="368"/>
      <c r="G220" s="368"/>
      <c r="H220" s="907"/>
      <c r="I220" s="367"/>
      <c r="J220" s="367"/>
      <c r="K220" s="365"/>
      <c r="N220" s="155"/>
      <c r="O220" s="155"/>
    </row>
    <row r="221" spans="2:16" x14ac:dyDescent="0.25">
      <c r="B221" s="369"/>
      <c r="C221" s="366"/>
      <c r="D221" s="909" t="s">
        <v>681</v>
      </c>
      <c r="E221" s="907" t="s">
        <v>450</v>
      </c>
      <c r="F221" s="907" t="s">
        <v>1304</v>
      </c>
      <c r="G221" s="908" t="s">
        <v>454</v>
      </c>
      <c r="H221" s="907" t="s">
        <v>450</v>
      </c>
      <c r="I221" s="367">
        <f>'SCHEDULE OF ACCOUNTS'!I223</f>
        <v>3679945.66</v>
      </c>
      <c r="J221" s="367"/>
      <c r="K221" s="365"/>
      <c r="N221" s="396"/>
      <c r="O221" s="61"/>
    </row>
    <row r="222" spans="2:16" ht="15.75" thickBot="1" x14ac:dyDescent="0.3">
      <c r="B222" s="369"/>
      <c r="C222" s="366"/>
      <c r="D222" s="366" t="s">
        <v>453</v>
      </c>
      <c r="E222" s="907" t="s">
        <v>454</v>
      </c>
      <c r="F222" s="907" t="s">
        <v>1305</v>
      </c>
      <c r="G222" s="908" t="s">
        <v>454</v>
      </c>
      <c r="H222" s="907" t="s">
        <v>454</v>
      </c>
      <c r="I222" s="367">
        <f>'SCHEDULE OF ACCOUNTS'!I224</f>
        <v>3681159.96</v>
      </c>
      <c r="J222" s="367"/>
      <c r="K222" s="365"/>
      <c r="N222" s="61"/>
      <c r="O222" s="61"/>
    </row>
    <row r="223" spans="2:16" ht="15.75" hidden="1" thickBot="1" x14ac:dyDescent="0.3">
      <c r="B223" s="369"/>
      <c r="C223" s="366"/>
      <c r="D223" s="371"/>
      <c r="E223" s="372"/>
      <c r="F223" s="372"/>
      <c r="G223" s="372"/>
      <c r="H223" s="901"/>
      <c r="I223" s="367"/>
      <c r="J223" s="367"/>
      <c r="K223" s="365"/>
      <c r="N223" s="61"/>
      <c r="O223" s="61"/>
    </row>
    <row r="224" spans="2:16" ht="15.75" thickBot="1" x14ac:dyDescent="0.3">
      <c r="B224" s="369"/>
      <c r="C224" s="366"/>
      <c r="D224" s="919" t="s">
        <v>638</v>
      </c>
      <c r="E224" s="920" t="s">
        <v>639</v>
      </c>
      <c r="F224" s="921" t="s">
        <v>1306</v>
      </c>
      <c r="G224" s="922" t="s">
        <v>636</v>
      </c>
      <c r="H224" s="921" t="s">
        <v>639</v>
      </c>
      <c r="I224" s="367">
        <f>'SCHEDULE OF ACCOUNTS'!I226</f>
        <v>1410353.23</v>
      </c>
      <c r="J224" s="367"/>
      <c r="K224" s="485">
        <f>I224+I225</f>
        <v>2547915.04</v>
      </c>
      <c r="L224" s="61" t="s">
        <v>642</v>
      </c>
      <c r="N224" s="61"/>
      <c r="O224" s="61"/>
    </row>
    <row r="225" spans="2:15" ht="15.75" thickBot="1" x14ac:dyDescent="0.3">
      <c r="B225" s="369"/>
      <c r="C225" s="366"/>
      <c r="D225" s="366" t="s">
        <v>640</v>
      </c>
      <c r="E225" s="907" t="s">
        <v>641</v>
      </c>
      <c r="F225" s="907" t="s">
        <v>1307</v>
      </c>
      <c r="G225" s="922" t="s">
        <v>636</v>
      </c>
      <c r="H225" s="907" t="s">
        <v>641</v>
      </c>
      <c r="I225" s="367">
        <f>'SCHEDULE OF ACCOUNTS'!I227</f>
        <v>1137561.81</v>
      </c>
      <c r="J225" s="367"/>
      <c r="K225" s="365"/>
      <c r="N225" s="61"/>
      <c r="O225" s="61"/>
    </row>
    <row r="226" spans="2:15" ht="15.75" hidden="1" thickBot="1" x14ac:dyDescent="0.3">
      <c r="B226" s="369"/>
      <c r="C226" s="366"/>
      <c r="D226" s="371"/>
      <c r="E226" s="372"/>
      <c r="F226" s="372"/>
      <c r="G226" s="372"/>
      <c r="H226" s="901"/>
      <c r="I226" s="367"/>
      <c r="J226" s="367"/>
      <c r="K226" s="365"/>
      <c r="N226" s="155"/>
      <c r="O226" s="162"/>
    </row>
    <row r="227" spans="2:15" ht="15.75" thickBot="1" x14ac:dyDescent="0.3">
      <c r="B227" s="369"/>
      <c r="C227" s="366"/>
      <c r="D227" s="366" t="s">
        <v>548</v>
      </c>
      <c r="E227" s="907" t="s">
        <v>549</v>
      </c>
      <c r="F227" s="907" t="s">
        <v>1308</v>
      </c>
      <c r="G227" s="908" t="s">
        <v>1070</v>
      </c>
      <c r="H227" s="907" t="s">
        <v>549</v>
      </c>
      <c r="I227" s="367">
        <f>'SCHEDULE OF ACCOUNTS'!I229</f>
        <v>729825.35</v>
      </c>
      <c r="J227" s="367"/>
      <c r="K227" s="503">
        <f>I227</f>
        <v>729825.35</v>
      </c>
      <c r="L227" s="61" t="s">
        <v>554</v>
      </c>
      <c r="N227" s="155"/>
      <c r="O227" s="162"/>
    </row>
    <row r="228" spans="2:15" ht="15.75" hidden="1" thickBot="1" x14ac:dyDescent="0.3">
      <c r="B228" s="369"/>
      <c r="C228" s="366"/>
      <c r="D228" s="371"/>
      <c r="E228" s="372"/>
      <c r="F228" s="372"/>
      <c r="G228" s="372"/>
      <c r="H228" s="901"/>
      <c r="I228" s="367"/>
      <c r="J228" s="367"/>
      <c r="K228" s="365"/>
      <c r="N228" s="155"/>
      <c r="O228" s="162"/>
    </row>
    <row r="229" spans="2:15" ht="15.75" thickBot="1" x14ac:dyDescent="0.3">
      <c r="B229" s="369"/>
      <c r="C229" s="366"/>
      <c r="D229" s="366" t="s">
        <v>629</v>
      </c>
      <c r="E229" s="907" t="s">
        <v>630</v>
      </c>
      <c r="F229" s="907" t="s">
        <v>1309</v>
      </c>
      <c r="G229" s="908" t="s">
        <v>1076</v>
      </c>
      <c r="H229" s="907" t="s">
        <v>630</v>
      </c>
      <c r="I229" s="367">
        <f>'SCHEDULE OF ACCOUNTS'!I231</f>
        <v>1050428.55</v>
      </c>
      <c r="J229" s="367"/>
      <c r="K229" s="485">
        <f>I229+I230+I231+I232</f>
        <v>4241372.58</v>
      </c>
      <c r="L229" s="61" t="s">
        <v>635</v>
      </c>
      <c r="N229" s="61"/>
      <c r="O229" s="61"/>
    </row>
    <row r="230" spans="2:15" x14ac:dyDescent="0.25">
      <c r="B230" s="369"/>
      <c r="C230" s="366"/>
      <c r="D230" s="366" t="s">
        <v>982</v>
      </c>
      <c r="E230" s="907" t="s">
        <v>983</v>
      </c>
      <c r="F230" s="907" t="s">
        <v>1310</v>
      </c>
      <c r="G230" s="908" t="s">
        <v>1076</v>
      </c>
      <c r="H230" s="907" t="s">
        <v>1025</v>
      </c>
      <c r="I230" s="367">
        <f>'SCHEDULE OF ACCOUNTS'!I232</f>
        <v>0</v>
      </c>
      <c r="J230" s="367"/>
      <c r="K230" s="365"/>
      <c r="N230" s="61"/>
      <c r="O230" s="61"/>
    </row>
    <row r="231" spans="2:15" x14ac:dyDescent="0.25">
      <c r="B231" s="369"/>
      <c r="C231" s="366"/>
      <c r="D231" s="909" t="s">
        <v>686</v>
      </c>
      <c r="E231" s="907" t="s">
        <v>540</v>
      </c>
      <c r="F231" s="907" t="s">
        <v>1311</v>
      </c>
      <c r="G231" s="908" t="s">
        <v>1076</v>
      </c>
      <c r="H231" s="907" t="s">
        <v>540</v>
      </c>
      <c r="I231" s="367">
        <f>'SCHEDULE OF ACCOUNTS'!I233</f>
        <v>1090284.6399999999</v>
      </c>
      <c r="J231" s="367"/>
      <c r="K231" s="365"/>
      <c r="N231" s="61"/>
      <c r="O231" s="61"/>
    </row>
    <row r="232" spans="2:15" ht="15.75" thickBot="1" x14ac:dyDescent="0.3">
      <c r="B232" s="369"/>
      <c r="C232" s="366"/>
      <c r="D232" s="366" t="s">
        <v>633</v>
      </c>
      <c r="E232" s="907" t="s">
        <v>634</v>
      </c>
      <c r="F232" s="907" t="s">
        <v>1312</v>
      </c>
      <c r="G232" s="908" t="s">
        <v>1076</v>
      </c>
      <c r="H232" s="907" t="s">
        <v>634</v>
      </c>
      <c r="I232" s="367">
        <f>'SCHEDULE OF ACCOUNTS'!I234</f>
        <v>2100659.39</v>
      </c>
      <c r="J232" s="367"/>
      <c r="K232" s="365"/>
      <c r="N232" s="61"/>
      <c r="O232" s="61"/>
    </row>
    <row r="233" spans="2:15" ht="15.75" hidden="1" thickBot="1" x14ac:dyDescent="0.3">
      <c r="B233" s="369"/>
      <c r="C233" s="366"/>
      <c r="D233" s="371"/>
      <c r="E233" s="372"/>
      <c r="F233" s="372"/>
      <c r="G233" s="372"/>
      <c r="H233" s="901"/>
      <c r="I233" s="367"/>
      <c r="J233" s="367"/>
      <c r="K233" s="365"/>
      <c r="N233" s="61"/>
      <c r="O233" s="61"/>
    </row>
    <row r="234" spans="2:15" ht="15.75" thickBot="1" x14ac:dyDescent="0.3">
      <c r="B234" s="369"/>
      <c r="C234" s="366"/>
      <c r="D234" s="366" t="s">
        <v>507</v>
      </c>
      <c r="E234" s="907" t="s">
        <v>508</v>
      </c>
      <c r="F234" s="907" t="s">
        <v>1313</v>
      </c>
      <c r="G234" s="908" t="s">
        <v>1067</v>
      </c>
      <c r="H234" s="907" t="s">
        <v>508</v>
      </c>
      <c r="I234" s="367">
        <f>'SCHEDULE OF ACCOUNTS'!I236</f>
        <v>235403.12</v>
      </c>
      <c r="J234" s="367"/>
      <c r="K234" s="485">
        <f>I234+I235</f>
        <v>2812992.89</v>
      </c>
      <c r="L234" s="72" t="s">
        <v>512</v>
      </c>
      <c r="N234" s="155"/>
      <c r="O234" s="162"/>
    </row>
    <row r="235" spans="2:15" ht="15.75" thickBot="1" x14ac:dyDescent="0.3">
      <c r="B235" s="369"/>
      <c r="C235" s="366"/>
      <c r="D235" s="366" t="str">
        <f>+'[2]ACCOUNTS MAP DEC. 2017'!$A$1745</f>
        <v>5-020-4020</v>
      </c>
      <c r="E235" s="907" t="s">
        <v>511</v>
      </c>
      <c r="F235" s="907" t="s">
        <v>1314</v>
      </c>
      <c r="G235" s="908" t="s">
        <v>1067</v>
      </c>
      <c r="H235" s="907" t="s">
        <v>511</v>
      </c>
      <c r="I235" s="367">
        <f>'SCHEDULE OF ACCOUNTS'!I237</f>
        <v>2577589.77</v>
      </c>
      <c r="J235" s="367"/>
      <c r="K235" s="365"/>
      <c r="N235" s="61"/>
      <c r="O235" s="61"/>
    </row>
    <row r="236" spans="2:15" ht="15.75" hidden="1" thickBot="1" x14ac:dyDescent="0.3">
      <c r="B236" s="369"/>
      <c r="C236" s="366"/>
      <c r="D236" s="912"/>
      <c r="E236" s="368"/>
      <c r="F236" s="368"/>
      <c r="G236" s="368"/>
      <c r="H236" s="907"/>
      <c r="I236" s="367"/>
      <c r="J236" s="367"/>
      <c r="K236" s="365"/>
      <c r="N236" s="155"/>
      <c r="O236" s="162"/>
    </row>
    <row r="237" spans="2:15" ht="15.75" thickBot="1" x14ac:dyDescent="0.3">
      <c r="B237" s="369"/>
      <c r="C237" s="366"/>
      <c r="D237" s="366" t="s">
        <v>620</v>
      </c>
      <c r="E237" s="907" t="s">
        <v>621</v>
      </c>
      <c r="F237" s="907" t="s">
        <v>1315</v>
      </c>
      <c r="G237" s="908" t="s">
        <v>1075</v>
      </c>
      <c r="H237" s="907" t="s">
        <v>621</v>
      </c>
      <c r="I237" s="367">
        <f>'SCHEDULE OF ACCOUNTS'!I239</f>
        <v>30205.93</v>
      </c>
      <c r="J237" s="367"/>
      <c r="K237" s="485">
        <f>I237+I238+I239</f>
        <v>1536597.4500000002</v>
      </c>
      <c r="L237" s="61" t="s">
        <v>626</v>
      </c>
      <c r="N237" s="155"/>
      <c r="O237" s="162"/>
    </row>
    <row r="238" spans="2:15" x14ac:dyDescent="0.25">
      <c r="B238" s="369"/>
      <c r="C238" s="366"/>
      <c r="D238" s="366" t="s">
        <v>616</v>
      </c>
      <c r="E238" s="907" t="s">
        <v>617</v>
      </c>
      <c r="F238" s="907" t="s">
        <v>1316</v>
      </c>
      <c r="G238" s="908" t="s">
        <v>1075</v>
      </c>
      <c r="H238" s="907" t="s">
        <v>617</v>
      </c>
      <c r="I238" s="367">
        <f>'SCHEDULE OF ACCOUNTS'!I240</f>
        <v>556950.65</v>
      </c>
      <c r="J238" s="367"/>
      <c r="K238" s="365"/>
      <c r="N238" s="155"/>
      <c r="O238" s="162"/>
    </row>
    <row r="239" spans="2:15" ht="15.75" thickBot="1" x14ac:dyDescent="0.3">
      <c r="B239" s="369"/>
      <c r="C239" s="366"/>
      <c r="D239" s="366" t="s">
        <v>624</v>
      </c>
      <c r="E239" s="907" t="s">
        <v>625</v>
      </c>
      <c r="F239" s="907" t="s">
        <v>1317</v>
      </c>
      <c r="G239" s="908" t="s">
        <v>1075</v>
      </c>
      <c r="H239" s="907" t="s">
        <v>625</v>
      </c>
      <c r="I239" s="367">
        <f>'SCHEDULE OF ACCOUNTS'!I241</f>
        <v>949440.87000000011</v>
      </c>
      <c r="J239" s="367"/>
      <c r="K239" s="365"/>
      <c r="N239" s="155"/>
      <c r="O239" s="162"/>
    </row>
    <row r="240" spans="2:15" ht="15.75" hidden="1" thickBot="1" x14ac:dyDescent="0.3">
      <c r="B240" s="369"/>
      <c r="C240" s="366"/>
      <c r="D240" s="912"/>
      <c r="E240" s="368"/>
      <c r="F240" s="368"/>
      <c r="G240" s="368"/>
      <c r="H240" s="907"/>
      <c r="I240" s="367"/>
      <c r="J240" s="367"/>
      <c r="K240" s="365"/>
      <c r="N240" s="155"/>
      <c r="O240" s="162"/>
    </row>
    <row r="241" spans="2:15" ht="15.75" thickBot="1" x14ac:dyDescent="0.3">
      <c r="B241" s="369"/>
      <c r="C241" s="366"/>
      <c r="D241" s="366" t="s">
        <v>588</v>
      </c>
      <c r="E241" s="907" t="s">
        <v>589</v>
      </c>
      <c r="F241" s="907" t="s">
        <v>1318</v>
      </c>
      <c r="G241" s="908" t="s">
        <v>1074</v>
      </c>
      <c r="H241" s="907" t="s">
        <v>1073</v>
      </c>
      <c r="I241" s="367">
        <f>'SCHEDULE OF ACCOUNTS'!I243</f>
        <v>120261.86</v>
      </c>
      <c r="J241" s="367"/>
      <c r="K241" s="485">
        <f>I241+I242+I243+I244</f>
        <v>6545915.5200000005</v>
      </c>
      <c r="L241" s="61" t="s">
        <v>657</v>
      </c>
      <c r="N241" s="155"/>
      <c r="O241" s="162"/>
    </row>
    <row r="242" spans="2:15" x14ac:dyDescent="0.25">
      <c r="B242" s="369"/>
      <c r="C242" s="366"/>
      <c r="D242" s="366" t="s">
        <v>592</v>
      </c>
      <c r="E242" s="907" t="s">
        <v>593</v>
      </c>
      <c r="F242" s="907" t="s">
        <v>1319</v>
      </c>
      <c r="G242" s="908" t="s">
        <v>1074</v>
      </c>
      <c r="H242" s="907" t="s">
        <v>1019</v>
      </c>
      <c r="I242" s="367">
        <f>'SCHEDULE OF ACCOUNTS'!I244</f>
        <v>1821577.28</v>
      </c>
      <c r="J242" s="367"/>
      <c r="K242" s="365"/>
      <c r="N242" s="155"/>
      <c r="O242" s="162"/>
    </row>
    <row r="243" spans="2:15" x14ac:dyDescent="0.25">
      <c r="B243" s="369"/>
      <c r="C243" s="366"/>
      <c r="D243" s="366" t="s">
        <v>645</v>
      </c>
      <c r="E243" s="907" t="s">
        <v>646</v>
      </c>
      <c r="F243" s="907" t="s">
        <v>1320</v>
      </c>
      <c r="G243" s="908" t="s">
        <v>1074</v>
      </c>
      <c r="H243" s="907" t="s">
        <v>1662</v>
      </c>
      <c r="I243" s="367">
        <f>'SCHEDULE OF ACCOUNTS'!I245</f>
        <v>3789784.56</v>
      </c>
      <c r="J243" s="367"/>
      <c r="K243" s="365"/>
      <c r="N243" s="155"/>
      <c r="O243" s="162"/>
    </row>
    <row r="244" spans="2:15" ht="15.75" thickBot="1" x14ac:dyDescent="0.3">
      <c r="B244" s="369"/>
      <c r="C244" s="366"/>
      <c r="D244" s="366" t="s">
        <v>656</v>
      </c>
      <c r="E244" s="907" t="s">
        <v>654</v>
      </c>
      <c r="F244" s="907" t="s">
        <v>1321</v>
      </c>
      <c r="G244" s="908" t="s">
        <v>1074</v>
      </c>
      <c r="H244" s="907" t="s">
        <v>1671</v>
      </c>
      <c r="I244" s="367">
        <f>'SCHEDULE OF ACCOUNTS'!I246</f>
        <v>814291.82</v>
      </c>
      <c r="J244" s="367"/>
      <c r="K244" s="365"/>
      <c r="N244" s="155"/>
      <c r="O244" s="162"/>
    </row>
    <row r="245" spans="2:15" ht="15.75" hidden="1" thickBot="1" x14ac:dyDescent="0.3">
      <c r="B245" s="369"/>
      <c r="C245" s="366"/>
      <c r="D245" s="912"/>
      <c r="E245" s="368"/>
      <c r="F245" s="368"/>
      <c r="G245" s="368"/>
      <c r="H245" s="907"/>
      <c r="I245" s="367"/>
      <c r="J245" s="367"/>
      <c r="K245" s="365"/>
      <c r="N245" s="160"/>
      <c r="O245" s="163"/>
    </row>
    <row r="246" spans="2:15" ht="15.75" thickBot="1" x14ac:dyDescent="0.3">
      <c r="B246" s="369"/>
      <c r="C246" s="366"/>
      <c r="D246" s="366" t="s">
        <v>457</v>
      </c>
      <c r="E246" s="907" t="s">
        <v>458</v>
      </c>
      <c r="F246" s="907" t="s">
        <v>1322</v>
      </c>
      <c r="G246" s="908" t="s">
        <v>938</v>
      </c>
      <c r="H246" s="907" t="s">
        <v>458</v>
      </c>
      <c r="I246" s="367">
        <f>'SCHEDULE OF ACCOUNTS'!I248</f>
        <v>450000</v>
      </c>
      <c r="J246" s="367"/>
      <c r="K246" s="485">
        <f>I246+I247+I248+I249</f>
        <v>12039839.620000001</v>
      </c>
      <c r="L246" s="61" t="s">
        <v>473</v>
      </c>
      <c r="N246" s="155"/>
      <c r="O246" s="162"/>
    </row>
    <row r="247" spans="2:15" x14ac:dyDescent="0.25">
      <c r="B247" s="369"/>
      <c r="C247" s="366"/>
      <c r="D247" s="366" t="s">
        <v>465</v>
      </c>
      <c r="E247" s="907" t="s">
        <v>466</v>
      </c>
      <c r="F247" s="907" t="s">
        <v>1323</v>
      </c>
      <c r="G247" s="908" t="s">
        <v>938</v>
      </c>
      <c r="H247" s="907" t="s">
        <v>466</v>
      </c>
      <c r="I247" s="367">
        <f>'SCHEDULE OF ACCOUNTS'!I249</f>
        <v>6865005.9699999997</v>
      </c>
      <c r="J247" s="367"/>
      <c r="K247" s="365"/>
      <c r="N247" s="155"/>
      <c r="O247" s="162"/>
    </row>
    <row r="248" spans="2:15" x14ac:dyDescent="0.25">
      <c r="B248" s="369"/>
      <c r="C248" s="366"/>
      <c r="D248" s="366" t="s">
        <v>461</v>
      </c>
      <c r="E248" s="907" t="s">
        <v>462</v>
      </c>
      <c r="F248" s="907" t="s">
        <v>1324</v>
      </c>
      <c r="G248" s="908" t="s">
        <v>938</v>
      </c>
      <c r="H248" s="907" t="s">
        <v>462</v>
      </c>
      <c r="I248" s="367">
        <f>'SCHEDULE OF ACCOUNTS'!I250</f>
        <v>4724833.6500000004</v>
      </c>
      <c r="J248" s="367"/>
      <c r="K248" s="365"/>
      <c r="N248" s="155"/>
      <c r="O248" s="162"/>
    </row>
    <row r="249" spans="2:15" ht="15.75" thickBot="1" x14ac:dyDescent="0.3">
      <c r="B249" s="369"/>
      <c r="C249" s="366"/>
      <c r="D249" s="909" t="s">
        <v>682</v>
      </c>
      <c r="E249" s="907" t="s">
        <v>469</v>
      </c>
      <c r="F249" s="907" t="s">
        <v>1325</v>
      </c>
      <c r="G249" s="908" t="s">
        <v>938</v>
      </c>
      <c r="H249" s="907" t="s">
        <v>469</v>
      </c>
      <c r="I249" s="367">
        <f>'SCHEDULE OF ACCOUNTS'!I251</f>
        <v>0</v>
      </c>
      <c r="J249" s="367"/>
      <c r="K249" s="365"/>
      <c r="N249" s="155"/>
      <c r="O249" s="162"/>
    </row>
    <row r="250" spans="2:15" ht="15.75" hidden="1" thickBot="1" x14ac:dyDescent="0.3">
      <c r="B250" s="369"/>
      <c r="C250" s="366"/>
      <c r="D250" s="371"/>
      <c r="E250" s="372"/>
      <c r="F250" s="372"/>
      <c r="G250" s="372"/>
      <c r="H250" s="901"/>
      <c r="I250" s="367"/>
      <c r="J250" s="367"/>
      <c r="K250" s="365"/>
      <c r="N250" s="155"/>
      <c r="O250" s="162"/>
    </row>
    <row r="251" spans="2:15" ht="15.75" thickBot="1" x14ac:dyDescent="0.3">
      <c r="B251" s="369"/>
      <c r="C251" s="366"/>
      <c r="D251" s="909" t="s">
        <v>683</v>
      </c>
      <c r="E251" s="907" t="s">
        <v>472</v>
      </c>
      <c r="F251" s="907" t="s">
        <v>1326</v>
      </c>
      <c r="G251" s="908" t="s">
        <v>936</v>
      </c>
      <c r="H251" s="907" t="s">
        <v>472</v>
      </c>
      <c r="I251" s="367">
        <f>'SCHEDULE OF ACCOUNTS'!I253</f>
        <v>133638.53</v>
      </c>
      <c r="J251" s="367"/>
      <c r="K251" s="485">
        <f>I252+I253+I254+I255+I251</f>
        <v>25251328.330000002</v>
      </c>
      <c r="L251" s="61" t="s">
        <v>585</v>
      </c>
      <c r="N251" s="155"/>
      <c r="O251" s="162"/>
    </row>
    <row r="252" spans="2:15" x14ac:dyDescent="0.25">
      <c r="B252" s="369"/>
      <c r="C252" s="366"/>
      <c r="D252" s="366" t="s">
        <v>557</v>
      </c>
      <c r="E252" s="907" t="s">
        <v>555</v>
      </c>
      <c r="F252" s="907" t="s">
        <v>1327</v>
      </c>
      <c r="G252" s="908" t="s">
        <v>936</v>
      </c>
      <c r="H252" s="907" t="s">
        <v>555</v>
      </c>
      <c r="I252" s="367">
        <f>'SCHEDULE OF ACCOUNTS'!I254</f>
        <v>9601740.2100000009</v>
      </c>
      <c r="J252" s="367"/>
      <c r="K252" s="365"/>
      <c r="N252" s="155"/>
      <c r="O252" s="162"/>
    </row>
    <row r="253" spans="2:15" x14ac:dyDescent="0.25">
      <c r="B253" s="369"/>
      <c r="C253" s="366"/>
      <c r="D253" s="366" t="s">
        <v>563</v>
      </c>
      <c r="E253" s="907" t="s">
        <v>561</v>
      </c>
      <c r="F253" s="907" t="s">
        <v>1328</v>
      </c>
      <c r="G253" s="908" t="s">
        <v>936</v>
      </c>
      <c r="H253" s="907" t="s">
        <v>561</v>
      </c>
      <c r="I253" s="367">
        <f>'SCHEDULE OF ACCOUNTS'!I255</f>
        <v>2354607.2999999998</v>
      </c>
      <c r="J253" s="367"/>
      <c r="K253" s="365"/>
      <c r="N253" s="155"/>
      <c r="O253" s="162"/>
    </row>
    <row r="254" spans="2:15" x14ac:dyDescent="0.25">
      <c r="B254" s="369"/>
      <c r="C254" s="366"/>
      <c r="D254" s="366" t="s">
        <v>560</v>
      </c>
      <c r="E254" s="907" t="s">
        <v>558</v>
      </c>
      <c r="F254" s="907" t="s">
        <v>1329</v>
      </c>
      <c r="G254" s="908" t="s">
        <v>936</v>
      </c>
      <c r="H254" s="907" t="s">
        <v>1018</v>
      </c>
      <c r="I254" s="367">
        <f>'SCHEDULE OF ACCOUNTS'!I256</f>
        <v>644617.59</v>
      </c>
      <c r="J254" s="367"/>
      <c r="K254" s="365"/>
      <c r="N254" s="155"/>
      <c r="O254" s="162"/>
    </row>
    <row r="255" spans="2:15" ht="15.75" thickBot="1" x14ac:dyDescent="0.3">
      <c r="B255" s="369"/>
      <c r="C255" s="366"/>
      <c r="D255" s="366" t="s">
        <v>584</v>
      </c>
      <c r="E255" s="907" t="s">
        <v>582</v>
      </c>
      <c r="F255" s="907" t="s">
        <v>1330</v>
      </c>
      <c r="G255" s="908" t="s">
        <v>936</v>
      </c>
      <c r="H255" s="907" t="s">
        <v>1072</v>
      </c>
      <c r="I255" s="367">
        <f>'SCHEDULE OF ACCOUNTS'!I257</f>
        <v>12516724.699999999</v>
      </c>
      <c r="J255" s="367"/>
      <c r="K255" s="365"/>
      <c r="N255" s="155"/>
      <c r="O255" s="162"/>
    </row>
    <row r="256" spans="2:15" ht="15.75" hidden="1" thickBot="1" x14ac:dyDescent="0.3">
      <c r="B256" s="369"/>
      <c r="C256" s="366"/>
      <c r="D256" s="366"/>
      <c r="E256" s="907"/>
      <c r="F256" s="907"/>
      <c r="G256" s="908"/>
      <c r="H256" s="907"/>
      <c r="I256" s="367"/>
      <c r="J256" s="367"/>
      <c r="K256" s="365"/>
      <c r="N256" s="155"/>
      <c r="O256" s="162"/>
    </row>
    <row r="257" spans="2:15" ht="15.75" thickBot="1" x14ac:dyDescent="0.3">
      <c r="B257" s="369"/>
      <c r="C257" s="366"/>
      <c r="D257" s="909" t="s">
        <v>684</v>
      </c>
      <c r="E257" s="907" t="s">
        <v>525</v>
      </c>
      <c r="F257" s="907" t="s">
        <v>1331</v>
      </c>
      <c r="G257" s="908" t="s">
        <v>670</v>
      </c>
      <c r="H257" s="907" t="s">
        <v>525</v>
      </c>
      <c r="I257" s="367">
        <f>'SCHEDULE OF ACCOUNTS'!I259</f>
        <v>1896582.46</v>
      </c>
      <c r="J257" s="367"/>
      <c r="K257" s="485">
        <f>I257+I258+I259+I260+I261+I262+I263</f>
        <v>3623104.0100000002</v>
      </c>
      <c r="L257" s="61" t="s">
        <v>533</v>
      </c>
      <c r="N257" s="155"/>
      <c r="O257" s="162"/>
    </row>
    <row r="258" spans="2:15" x14ac:dyDescent="0.25">
      <c r="B258" s="369"/>
      <c r="C258" s="366"/>
      <c r="D258" s="366" t="s">
        <v>515</v>
      </c>
      <c r="E258" s="907" t="s">
        <v>516</v>
      </c>
      <c r="F258" s="907" t="s">
        <v>1332</v>
      </c>
      <c r="G258" s="908" t="s">
        <v>670</v>
      </c>
      <c r="H258" s="907" t="s">
        <v>516</v>
      </c>
      <c r="I258" s="367">
        <f>'SCHEDULE OF ACCOUNTS'!I260</f>
        <v>100559.38</v>
      </c>
      <c r="J258" s="367"/>
      <c r="K258" s="365"/>
      <c r="N258" s="155"/>
      <c r="O258" s="162"/>
    </row>
    <row r="259" spans="2:15" x14ac:dyDescent="0.25">
      <c r="B259" s="369"/>
      <c r="C259" s="366"/>
      <c r="D259" s="909" t="s">
        <v>685</v>
      </c>
      <c r="E259" s="907" t="s">
        <v>526</v>
      </c>
      <c r="F259" s="907" t="s">
        <v>1333</v>
      </c>
      <c r="G259" s="908" t="s">
        <v>670</v>
      </c>
      <c r="H259" s="907" t="s">
        <v>1015</v>
      </c>
      <c r="I259" s="367">
        <f>'SCHEDULE OF ACCOUNTS'!I261</f>
        <v>253554.1</v>
      </c>
      <c r="J259" s="367"/>
      <c r="K259" s="365"/>
      <c r="N259" s="155"/>
      <c r="O259" s="162"/>
    </row>
    <row r="260" spans="2:15" x14ac:dyDescent="0.25">
      <c r="B260" s="369"/>
      <c r="C260" s="366"/>
      <c r="D260" s="366" t="s">
        <v>529</v>
      </c>
      <c r="E260" s="907" t="s">
        <v>527</v>
      </c>
      <c r="F260" s="907" t="s">
        <v>1334</v>
      </c>
      <c r="G260" s="908" t="s">
        <v>670</v>
      </c>
      <c r="H260" s="907" t="s">
        <v>1016</v>
      </c>
      <c r="I260" s="367">
        <f>'SCHEDULE OF ACCOUNTS'!I262</f>
        <v>86180.33</v>
      </c>
      <c r="J260" s="367"/>
      <c r="K260" s="365"/>
      <c r="N260" s="155"/>
      <c r="O260" s="162"/>
    </row>
    <row r="261" spans="2:15" x14ac:dyDescent="0.25">
      <c r="B261" s="369"/>
      <c r="C261" s="366"/>
      <c r="D261" s="366" t="s">
        <v>532</v>
      </c>
      <c r="E261" s="907" t="s">
        <v>530</v>
      </c>
      <c r="F261" s="907" t="s">
        <v>1335</v>
      </c>
      <c r="G261" s="908" t="s">
        <v>670</v>
      </c>
      <c r="H261" s="907" t="s">
        <v>1016</v>
      </c>
      <c r="I261" s="367">
        <f>'SCHEDULE OF ACCOUNTS'!I263</f>
        <v>329113.61</v>
      </c>
      <c r="J261" s="367"/>
      <c r="K261" s="365"/>
    </row>
    <row r="262" spans="2:15" x14ac:dyDescent="0.25">
      <c r="B262" s="369"/>
      <c r="C262" s="366"/>
      <c r="D262" s="366" t="s">
        <v>519</v>
      </c>
      <c r="E262" s="907" t="s">
        <v>520</v>
      </c>
      <c r="F262" s="907" t="s">
        <v>1336</v>
      </c>
      <c r="G262" s="908" t="s">
        <v>670</v>
      </c>
      <c r="H262" s="907" t="s">
        <v>520</v>
      </c>
      <c r="I262" s="367">
        <f>'SCHEDULE OF ACCOUNTS'!I264</f>
        <v>56217.2</v>
      </c>
      <c r="J262" s="367"/>
      <c r="K262" s="365"/>
    </row>
    <row r="263" spans="2:15" ht="15.75" thickBot="1" x14ac:dyDescent="0.3">
      <c r="B263" s="369"/>
      <c r="C263" s="366"/>
      <c r="D263" s="366" t="s">
        <v>523</v>
      </c>
      <c r="E263" s="907" t="s">
        <v>524</v>
      </c>
      <c r="F263" s="907" t="s">
        <v>1337</v>
      </c>
      <c r="G263" s="908" t="s">
        <v>670</v>
      </c>
      <c r="H263" s="907" t="s">
        <v>524</v>
      </c>
      <c r="I263" s="367">
        <f>'SCHEDULE OF ACCOUNTS'!I265</f>
        <v>900896.93</v>
      </c>
      <c r="J263" s="367"/>
      <c r="K263" s="365"/>
    </row>
    <row r="264" spans="2:15" ht="15.75" hidden="1" thickBot="1" x14ac:dyDescent="0.3">
      <c r="B264" s="369"/>
      <c r="C264" s="366"/>
      <c r="D264" s="371"/>
      <c r="E264" s="372"/>
      <c r="F264" s="372"/>
      <c r="G264" s="372"/>
      <c r="H264" s="901"/>
      <c r="I264" s="367"/>
      <c r="J264" s="367"/>
      <c r="K264" s="365"/>
    </row>
    <row r="265" spans="2:15" ht="15.75" thickBot="1" x14ac:dyDescent="0.3">
      <c r="B265" s="369"/>
      <c r="C265" s="366"/>
      <c r="D265" s="366" t="s">
        <v>612</v>
      </c>
      <c r="E265" s="907" t="s">
        <v>610</v>
      </c>
      <c r="F265" s="907" t="s">
        <v>1338</v>
      </c>
      <c r="G265" s="908" t="s">
        <v>1071</v>
      </c>
      <c r="H265" s="907" t="s">
        <v>1024</v>
      </c>
      <c r="I265" s="367">
        <f>'SCHEDULE OF ACCOUNTS'!I267</f>
        <v>0</v>
      </c>
      <c r="J265" s="367"/>
      <c r="K265" s="485">
        <f>I265+I268+I269+I270+I271+I272+I273+I274</f>
        <v>60186608.199999996</v>
      </c>
      <c r="L265" s="61" t="s">
        <v>613</v>
      </c>
    </row>
    <row r="266" spans="2:15" ht="15.75" thickBot="1" x14ac:dyDescent="0.3">
      <c r="B266" s="369"/>
      <c r="C266" s="366"/>
      <c r="D266" s="366" t="s">
        <v>662</v>
      </c>
      <c r="E266" s="907" t="s">
        <v>278</v>
      </c>
      <c r="F266" s="907" t="s">
        <v>1339</v>
      </c>
      <c r="G266" s="908" t="s">
        <v>1071</v>
      </c>
      <c r="H266" s="907" t="s">
        <v>278</v>
      </c>
      <c r="I266" s="367">
        <f>'SCHEDULE OF ACCOUNTS'!I268</f>
        <v>0</v>
      </c>
      <c r="J266" s="367"/>
      <c r="K266" s="365"/>
    </row>
    <row r="267" spans="2:15" ht="15.75" thickBot="1" x14ac:dyDescent="0.3">
      <c r="B267" s="369"/>
      <c r="C267" s="366"/>
      <c r="D267" s="366" t="s">
        <v>662</v>
      </c>
      <c r="E267" s="907" t="s">
        <v>663</v>
      </c>
      <c r="F267" s="907" t="s">
        <v>1340</v>
      </c>
      <c r="G267" s="908" t="s">
        <v>1071</v>
      </c>
      <c r="H267" s="907" t="s">
        <v>663</v>
      </c>
      <c r="I267" s="367">
        <f>'SCHEDULE OF ACCOUNTS'!I269</f>
        <v>33549956.02</v>
      </c>
      <c r="J267" s="367"/>
      <c r="K267" s="485">
        <f>I266+I267</f>
        <v>33549956.02</v>
      </c>
      <c r="L267" s="61" t="s">
        <v>984</v>
      </c>
    </row>
    <row r="268" spans="2:15" x14ac:dyDescent="0.25">
      <c r="B268" s="369"/>
      <c r="C268" s="366"/>
      <c r="D268" s="366" t="s">
        <v>666</v>
      </c>
      <c r="E268" s="907" t="s">
        <v>664</v>
      </c>
      <c r="F268" s="907" t="s">
        <v>1341</v>
      </c>
      <c r="G268" s="908" t="s">
        <v>1071</v>
      </c>
      <c r="H268" s="907" t="s">
        <v>664</v>
      </c>
      <c r="I268" s="367">
        <f>'SCHEDULE OF ACCOUNTS'!I270</f>
        <v>1641.19</v>
      </c>
      <c r="J268" s="367"/>
      <c r="K268" s="365"/>
    </row>
    <row r="269" spans="2:15" x14ac:dyDescent="0.25">
      <c r="B269" s="369"/>
      <c r="C269" s="366"/>
      <c r="D269" s="366" t="s">
        <v>669</v>
      </c>
      <c r="E269" s="907" t="s">
        <v>667</v>
      </c>
      <c r="F269" s="907" t="s">
        <v>1342</v>
      </c>
      <c r="G269" s="908" t="s">
        <v>1071</v>
      </c>
      <c r="H269" s="907" t="s">
        <v>667</v>
      </c>
      <c r="I269" s="367">
        <f>'SCHEDULE OF ACCOUNTS'!I271</f>
        <v>24589944</v>
      </c>
      <c r="J269" s="367"/>
      <c r="K269" s="365"/>
    </row>
    <row r="270" spans="2:15" x14ac:dyDescent="0.25">
      <c r="B270" s="369"/>
      <c r="C270" s="366"/>
      <c r="D270" s="923" t="s">
        <v>601</v>
      </c>
      <c r="E270" s="910" t="s">
        <v>599</v>
      </c>
      <c r="F270" s="907" t="s">
        <v>1343</v>
      </c>
      <c r="G270" s="908" t="s">
        <v>1071</v>
      </c>
      <c r="H270" s="907" t="s">
        <v>1021</v>
      </c>
      <c r="I270" s="367">
        <f>'SCHEDULE OF ACCOUNTS'!I272</f>
        <v>32151089</v>
      </c>
      <c r="J270" s="367"/>
      <c r="K270" s="365"/>
    </row>
    <row r="271" spans="2:15" x14ac:dyDescent="0.25">
      <c r="B271" s="369"/>
      <c r="C271" s="366"/>
      <c r="D271" s="366" t="s">
        <v>604</v>
      </c>
      <c r="E271" s="907" t="s">
        <v>602</v>
      </c>
      <c r="F271" s="907" t="s">
        <v>1344</v>
      </c>
      <c r="G271" s="908" t="s">
        <v>1071</v>
      </c>
      <c r="H271" s="907" t="s">
        <v>1022</v>
      </c>
      <c r="I271" s="367">
        <f>'SCHEDULE OF ACCOUNTS'!I273</f>
        <v>32878.339999999997</v>
      </c>
      <c r="J271" s="367"/>
      <c r="K271" s="365"/>
    </row>
    <row r="272" spans="2:15" ht="15.75" thickBot="1" x14ac:dyDescent="0.3">
      <c r="B272" s="369"/>
      <c r="C272" s="366"/>
      <c r="D272" s="366" t="s">
        <v>607</v>
      </c>
      <c r="E272" s="907" t="s">
        <v>608</v>
      </c>
      <c r="F272" s="907" t="s">
        <v>1345</v>
      </c>
      <c r="G272" s="908" t="s">
        <v>1071</v>
      </c>
      <c r="H272" s="907" t="s">
        <v>1023</v>
      </c>
      <c r="I272" s="367">
        <f>'SCHEDULE OF ACCOUNTS'!I274</f>
        <v>1879232.23</v>
      </c>
      <c r="J272" s="367"/>
      <c r="K272" s="365"/>
    </row>
    <row r="273" spans="2:12" ht="15.75" thickBot="1" x14ac:dyDescent="0.3">
      <c r="B273" s="369"/>
      <c r="C273" s="366"/>
      <c r="D273" s="366" t="s">
        <v>580</v>
      </c>
      <c r="E273" s="907" t="s">
        <v>581</v>
      </c>
      <c r="F273" s="907" t="s">
        <v>1346</v>
      </c>
      <c r="G273" s="908" t="s">
        <v>1071</v>
      </c>
      <c r="H273" s="907" t="s">
        <v>581</v>
      </c>
      <c r="I273" s="367">
        <f>'SCHEDULE OF ACCOUNTS'!I275</f>
        <v>342237.5</v>
      </c>
      <c r="J273" s="367"/>
      <c r="K273" s="485">
        <f>I278+I279+I280+I281+I282+I283+I284+I285+I286+I287+I288</f>
        <v>2604549.89</v>
      </c>
      <c r="L273" s="61" t="s">
        <v>651</v>
      </c>
    </row>
    <row r="274" spans="2:12" x14ac:dyDescent="0.25">
      <c r="B274" s="369"/>
      <c r="C274" s="366"/>
      <c r="D274" s="366" t="s">
        <v>566</v>
      </c>
      <c r="E274" s="907" t="s">
        <v>564</v>
      </c>
      <c r="F274" s="907" t="s">
        <v>1347</v>
      </c>
      <c r="G274" s="908" t="s">
        <v>1071</v>
      </c>
      <c r="H274" s="907" t="s">
        <v>1017</v>
      </c>
      <c r="I274" s="367">
        <f>'SCHEDULE OF ACCOUNTS'!I276</f>
        <v>1189585.94</v>
      </c>
      <c r="J274" s="367"/>
      <c r="K274" s="365"/>
    </row>
    <row r="275" spans="2:12" x14ac:dyDescent="0.25">
      <c r="B275" s="369"/>
      <c r="C275" s="366"/>
      <c r="D275" s="366" t="s">
        <v>569</v>
      </c>
      <c r="E275" s="907" t="s">
        <v>567</v>
      </c>
      <c r="F275" s="907" t="s">
        <v>1348</v>
      </c>
      <c r="G275" s="908" t="s">
        <v>1071</v>
      </c>
      <c r="H275" s="907" t="s">
        <v>567</v>
      </c>
      <c r="I275" s="367">
        <f>'SCHEDULE OF ACCOUNTS'!I277</f>
        <v>0</v>
      </c>
      <c r="J275" s="367"/>
      <c r="K275" s="365"/>
    </row>
    <row r="276" spans="2:12" hidden="1" x14ac:dyDescent="0.25">
      <c r="B276" s="369"/>
      <c r="C276" s="366"/>
      <c r="D276" s="371"/>
      <c r="E276" s="372"/>
      <c r="F276" s="372"/>
      <c r="G276" s="372"/>
      <c r="H276" s="901"/>
      <c r="I276" s="367"/>
      <c r="J276" s="367"/>
      <c r="K276" s="365"/>
    </row>
    <row r="277" spans="2:12" hidden="1" x14ac:dyDescent="0.25">
      <c r="B277" s="369"/>
      <c r="C277" s="366"/>
      <c r="D277" s="371"/>
      <c r="E277" s="372"/>
      <c r="F277" s="372"/>
      <c r="G277" s="372"/>
      <c r="H277" s="901"/>
      <c r="I277" s="367"/>
      <c r="J277" s="367"/>
      <c r="K277" s="365"/>
    </row>
    <row r="278" spans="2:12" x14ac:dyDescent="0.25">
      <c r="B278" s="369"/>
      <c r="C278" s="366"/>
      <c r="D278" s="366" t="s">
        <v>688</v>
      </c>
      <c r="E278" s="907" t="s">
        <v>572</v>
      </c>
      <c r="F278" s="907" t="s">
        <v>1349</v>
      </c>
      <c r="G278" s="908" t="s">
        <v>940</v>
      </c>
      <c r="H278" s="907" t="s">
        <v>572</v>
      </c>
      <c r="I278" s="367">
        <f>'SCHEDULE OF ACCOUNTS'!I280</f>
        <v>37024.959999999999</v>
      </c>
      <c r="J278" s="367"/>
      <c r="K278" s="365"/>
    </row>
    <row r="279" spans="2:12" x14ac:dyDescent="0.25">
      <c r="B279" s="369"/>
      <c r="C279" s="366"/>
      <c r="D279" s="909" t="s">
        <v>687</v>
      </c>
      <c r="E279" s="907" t="s">
        <v>573</v>
      </c>
      <c r="F279" s="907" t="s">
        <v>1350</v>
      </c>
      <c r="G279" s="908" t="s">
        <v>940</v>
      </c>
      <c r="H279" s="907" t="s">
        <v>573</v>
      </c>
      <c r="I279" s="367">
        <f>'SCHEDULE OF ACCOUNTS'!I281</f>
        <v>0</v>
      </c>
      <c r="J279" s="367"/>
      <c r="K279" s="365"/>
    </row>
    <row r="280" spans="2:12" x14ac:dyDescent="0.25">
      <c r="B280" s="369"/>
      <c r="C280" s="366"/>
      <c r="D280" s="366" t="s">
        <v>595</v>
      </c>
      <c r="E280" s="907" t="s">
        <v>596</v>
      </c>
      <c r="F280" s="907" t="s">
        <v>1351</v>
      </c>
      <c r="G280" s="908" t="s">
        <v>940</v>
      </c>
      <c r="H280" s="907" t="s">
        <v>596</v>
      </c>
      <c r="I280" s="367">
        <f>'SCHEDULE OF ACCOUNTS'!I282</f>
        <v>10557.2</v>
      </c>
      <c r="J280" s="367"/>
      <c r="K280" s="365"/>
    </row>
    <row r="281" spans="2:12" x14ac:dyDescent="0.25">
      <c r="B281" s="369"/>
      <c r="C281" s="366"/>
      <c r="D281" s="366" t="s">
        <v>501</v>
      </c>
      <c r="E281" s="907" t="s">
        <v>499</v>
      </c>
      <c r="F281" s="907" t="s">
        <v>1352</v>
      </c>
      <c r="G281" s="908" t="s">
        <v>940</v>
      </c>
      <c r="H281" s="907" t="s">
        <v>1013</v>
      </c>
      <c r="I281" s="367">
        <f>'SCHEDULE OF ACCOUNTS'!I283</f>
        <v>231620.42</v>
      </c>
      <c r="J281" s="367"/>
      <c r="K281" s="365"/>
    </row>
    <row r="282" spans="2:12" x14ac:dyDescent="0.25">
      <c r="B282" s="369"/>
      <c r="C282" s="366"/>
      <c r="D282" s="366" t="s">
        <v>504</v>
      </c>
      <c r="E282" s="907" t="s">
        <v>502</v>
      </c>
      <c r="F282" s="907" t="s">
        <v>1353</v>
      </c>
      <c r="G282" s="908" t="s">
        <v>940</v>
      </c>
      <c r="H282" s="907" t="s">
        <v>1014</v>
      </c>
      <c r="I282" s="367">
        <f>'SCHEDULE OF ACCOUNTS'!I284</f>
        <v>1242485.98</v>
      </c>
      <c r="J282" s="367"/>
      <c r="K282" s="365"/>
    </row>
    <row r="283" spans="2:12" x14ac:dyDescent="0.25">
      <c r="B283" s="369"/>
      <c r="C283" s="366"/>
      <c r="D283" s="366" t="s">
        <v>552</v>
      </c>
      <c r="E283" s="907" t="s">
        <v>553</v>
      </c>
      <c r="F283" s="907" t="s">
        <v>1354</v>
      </c>
      <c r="G283" s="908" t="s">
        <v>940</v>
      </c>
      <c r="H283" s="907" t="s">
        <v>553</v>
      </c>
      <c r="I283" s="367">
        <f>'SCHEDULE OF ACCOUNTS'!I285</f>
        <v>487276.27</v>
      </c>
      <c r="J283" s="367"/>
      <c r="K283" s="365"/>
    </row>
    <row r="284" spans="2:12" x14ac:dyDescent="0.25">
      <c r="B284" s="369"/>
      <c r="C284" s="366"/>
      <c r="D284" s="366" t="s">
        <v>576</v>
      </c>
      <c r="E284" s="907" t="s">
        <v>577</v>
      </c>
      <c r="F284" s="907" t="s">
        <v>1355</v>
      </c>
      <c r="G284" s="908" t="s">
        <v>940</v>
      </c>
      <c r="H284" s="907" t="s">
        <v>577</v>
      </c>
      <c r="I284" s="367">
        <f>'SCHEDULE OF ACCOUNTS'!I286</f>
        <v>80274.100000000006</v>
      </c>
      <c r="J284" s="367"/>
      <c r="K284" s="365"/>
    </row>
    <row r="285" spans="2:12" x14ac:dyDescent="0.25">
      <c r="B285" s="369"/>
      <c r="C285" s="366"/>
      <c r="D285" s="366" t="s">
        <v>598</v>
      </c>
      <c r="E285" s="907" t="s">
        <v>953</v>
      </c>
      <c r="F285" s="907" t="s">
        <v>1356</v>
      </c>
      <c r="G285" s="908" t="s">
        <v>940</v>
      </c>
      <c r="H285" s="907" t="s">
        <v>953</v>
      </c>
      <c r="I285" s="367">
        <f>'SCHEDULE OF ACCOUNTS'!I287</f>
        <v>0</v>
      </c>
      <c r="J285" s="367"/>
      <c r="K285" s="365"/>
    </row>
    <row r="286" spans="2:12" x14ac:dyDescent="0.25">
      <c r="B286" s="369"/>
      <c r="C286" s="366"/>
      <c r="D286" s="909" t="s">
        <v>706</v>
      </c>
      <c r="E286" s="907" t="s">
        <v>609</v>
      </c>
      <c r="F286" s="907" t="s">
        <v>1357</v>
      </c>
      <c r="G286" s="908" t="s">
        <v>940</v>
      </c>
      <c r="H286" s="907" t="s">
        <v>609</v>
      </c>
      <c r="I286" s="367">
        <f>'SCHEDULE OF ACCOUNTS'!I288</f>
        <v>250289</v>
      </c>
      <c r="J286" s="367"/>
      <c r="K286" s="365"/>
    </row>
    <row r="287" spans="2:12" x14ac:dyDescent="0.25">
      <c r="B287" s="369"/>
      <c r="C287" s="366"/>
      <c r="D287" s="909" t="s">
        <v>707</v>
      </c>
      <c r="E287" s="907" t="s">
        <v>653</v>
      </c>
      <c r="F287" s="907" t="s">
        <v>1358</v>
      </c>
      <c r="G287" s="908" t="s">
        <v>940</v>
      </c>
      <c r="H287" s="907" t="s">
        <v>653</v>
      </c>
      <c r="I287" s="367">
        <f>'SCHEDULE OF ACCOUNTS'!I289</f>
        <v>0</v>
      </c>
      <c r="J287" s="367"/>
      <c r="K287" s="365"/>
    </row>
    <row r="288" spans="2:12" x14ac:dyDescent="0.25">
      <c r="B288" s="369"/>
      <c r="C288" s="366"/>
      <c r="D288" s="366" t="s">
        <v>649</v>
      </c>
      <c r="E288" s="907" t="s">
        <v>650</v>
      </c>
      <c r="F288" s="907" t="s">
        <v>1359</v>
      </c>
      <c r="G288" s="908" t="s">
        <v>940</v>
      </c>
      <c r="H288" s="907" t="s">
        <v>650</v>
      </c>
      <c r="I288" s="367">
        <f>'SCHEDULE OF ACCOUNTS'!I290</f>
        <v>265021.96000000002</v>
      </c>
      <c r="J288" s="367"/>
      <c r="K288" s="365"/>
    </row>
    <row r="289" spans="2:12" hidden="1" x14ac:dyDescent="0.25">
      <c r="B289" s="369"/>
      <c r="C289" s="366"/>
      <c r="D289" s="371"/>
      <c r="E289" s="372"/>
      <c r="F289" s="372"/>
      <c r="G289" s="372"/>
      <c r="H289" s="901"/>
      <c r="I289" s="367"/>
      <c r="J289" s="367"/>
      <c r="K289" s="365"/>
    </row>
    <row r="290" spans="2:12" ht="15.75" thickBot="1" x14ac:dyDescent="0.3">
      <c r="B290" s="369"/>
      <c r="C290" s="366"/>
      <c r="D290" s="366" t="s">
        <v>392</v>
      </c>
      <c r="E290" s="907" t="s">
        <v>393</v>
      </c>
      <c r="F290" s="907" t="s">
        <v>1360</v>
      </c>
      <c r="G290" s="908" t="s">
        <v>676</v>
      </c>
      <c r="H290" s="907" t="s">
        <v>393</v>
      </c>
      <c r="I290" s="367">
        <f>'SCHEDULE OF ACCOUNTS'!I292</f>
        <v>0</v>
      </c>
      <c r="J290" s="367"/>
      <c r="K290" s="365"/>
    </row>
    <row r="291" spans="2:12" ht="15.75" thickBot="1" x14ac:dyDescent="0.3">
      <c r="B291" s="369"/>
      <c r="C291" s="366"/>
      <c r="D291" s="366" t="s">
        <v>395</v>
      </c>
      <c r="E291" s="907" t="s">
        <v>394</v>
      </c>
      <c r="F291" s="907" t="s">
        <v>1361</v>
      </c>
      <c r="G291" s="908" t="s">
        <v>394</v>
      </c>
      <c r="H291" s="907" t="s">
        <v>394</v>
      </c>
      <c r="I291" s="367">
        <f>'SCHEDULE OF ACCOUNTS'!I293</f>
        <v>86046.81</v>
      </c>
      <c r="J291" s="367"/>
      <c r="K291" s="485">
        <f>I290+I291</f>
        <v>86046.81</v>
      </c>
      <c r="L291" s="424" t="s">
        <v>676</v>
      </c>
    </row>
    <row r="292" spans="2:12" ht="15.75" hidden="1" thickBot="1" x14ac:dyDescent="0.3">
      <c r="B292" s="369"/>
      <c r="C292" s="366"/>
      <c r="D292" s="371"/>
      <c r="E292" s="372"/>
      <c r="F292" s="372"/>
      <c r="G292" s="372"/>
      <c r="H292" s="901"/>
      <c r="I292" s="367"/>
      <c r="J292" s="367"/>
      <c r="K292" s="365"/>
    </row>
    <row r="293" spans="2:12" ht="15.75" hidden="1" thickBot="1" x14ac:dyDescent="0.3">
      <c r="B293" s="369"/>
      <c r="C293" s="366"/>
      <c r="D293" s="371"/>
      <c r="E293" s="372"/>
      <c r="F293" s="372"/>
      <c r="G293" s="372"/>
      <c r="H293" s="901"/>
      <c r="I293" s="367"/>
      <c r="J293" s="367"/>
      <c r="K293" s="365"/>
    </row>
    <row r="294" spans="2:12" ht="15.75" thickBot="1" x14ac:dyDescent="0.3">
      <c r="B294" s="369"/>
      <c r="C294" s="366"/>
      <c r="D294" s="366" t="s">
        <v>492</v>
      </c>
      <c r="E294" s="907" t="s">
        <v>493</v>
      </c>
      <c r="F294" s="907" t="s">
        <v>1362</v>
      </c>
      <c r="G294" s="908" t="s">
        <v>939</v>
      </c>
      <c r="H294" s="907" t="s">
        <v>493</v>
      </c>
      <c r="I294" s="367">
        <f>'SCHEDULE OF ACCOUNTS'!I296</f>
        <v>235796.12</v>
      </c>
      <c r="J294" s="367"/>
      <c r="K294" s="485">
        <f>I294+I295+I296+I297+I298+I299</f>
        <v>5125502.49</v>
      </c>
      <c r="L294" s="72" t="s">
        <v>498</v>
      </c>
    </row>
    <row r="295" spans="2:12" x14ac:dyDescent="0.25">
      <c r="B295" s="369"/>
      <c r="C295" s="366"/>
      <c r="D295" s="366" t="s">
        <v>496</v>
      </c>
      <c r="E295" s="907" t="s">
        <v>497</v>
      </c>
      <c r="F295" s="907" t="s">
        <v>1363</v>
      </c>
      <c r="G295" s="908" t="s">
        <v>939</v>
      </c>
      <c r="H295" s="907" t="s">
        <v>497</v>
      </c>
      <c r="I295" s="367">
        <f>'SCHEDULE OF ACCOUNTS'!I297</f>
        <v>51845.7</v>
      </c>
      <c r="J295" s="367"/>
      <c r="K295" s="365"/>
    </row>
    <row r="296" spans="2:12" x14ac:dyDescent="0.25">
      <c r="B296" s="369"/>
      <c r="C296" s="366"/>
      <c r="D296" s="366" t="s">
        <v>484</v>
      </c>
      <c r="E296" s="907" t="s">
        <v>485</v>
      </c>
      <c r="F296" s="907" t="s">
        <v>1364</v>
      </c>
      <c r="G296" s="908" t="s">
        <v>939</v>
      </c>
      <c r="H296" s="907" t="s">
        <v>485</v>
      </c>
      <c r="I296" s="367">
        <f>'SCHEDULE OF ACCOUNTS'!I298</f>
        <v>344024.98</v>
      </c>
      <c r="J296" s="367"/>
      <c r="K296" s="365"/>
    </row>
    <row r="297" spans="2:12" x14ac:dyDescent="0.25">
      <c r="B297" s="369"/>
      <c r="C297" s="366"/>
      <c r="D297" s="366" t="s">
        <v>488</v>
      </c>
      <c r="E297" s="907" t="s">
        <v>489</v>
      </c>
      <c r="F297" s="907" t="s">
        <v>1365</v>
      </c>
      <c r="G297" s="908" t="s">
        <v>939</v>
      </c>
      <c r="H297" s="907" t="s">
        <v>489</v>
      </c>
      <c r="I297" s="367">
        <f>'SCHEDULE OF ACCOUNTS'!I299</f>
        <v>1631659.39</v>
      </c>
      <c r="J297" s="367"/>
      <c r="K297" s="365"/>
    </row>
    <row r="298" spans="2:12" x14ac:dyDescent="0.25">
      <c r="B298" s="369"/>
      <c r="C298" s="366"/>
      <c r="D298" s="366" t="s">
        <v>480</v>
      </c>
      <c r="E298" s="907" t="s">
        <v>481</v>
      </c>
      <c r="F298" s="907" t="s">
        <v>1366</v>
      </c>
      <c r="G298" s="908" t="s">
        <v>939</v>
      </c>
      <c r="H298" s="907" t="s">
        <v>481</v>
      </c>
      <c r="I298" s="367">
        <f>'SCHEDULE OF ACCOUNTS'!I300</f>
        <v>80412.7</v>
      </c>
      <c r="J298" s="367"/>
      <c r="K298" s="365"/>
    </row>
    <row r="299" spans="2:12" ht="15.75" thickBot="1" x14ac:dyDescent="0.3">
      <c r="B299" s="369" t="s">
        <v>396</v>
      </c>
      <c r="C299" s="366" t="s">
        <v>397</v>
      </c>
      <c r="D299" s="366" t="s">
        <v>476</v>
      </c>
      <c r="E299" s="907" t="s">
        <v>477</v>
      </c>
      <c r="F299" s="907" t="s">
        <v>1367</v>
      </c>
      <c r="G299" s="908" t="s">
        <v>939</v>
      </c>
      <c r="H299" s="907" t="s">
        <v>477</v>
      </c>
      <c r="I299" s="367">
        <f>'SCHEDULE OF ACCOUNTS'!I301</f>
        <v>2781763.6</v>
      </c>
      <c r="J299" s="367"/>
      <c r="K299" s="365"/>
    </row>
    <row r="300" spans="2:12" ht="15.75" hidden="1" thickBot="1" x14ac:dyDescent="0.3">
      <c r="B300" s="369" t="s">
        <v>402</v>
      </c>
      <c r="C300" s="366" t="s">
        <v>403</v>
      </c>
      <c r="D300" s="371"/>
      <c r="E300" s="372"/>
      <c r="F300" s="372"/>
      <c r="G300" s="372"/>
      <c r="H300" s="901"/>
      <c r="I300" s="367"/>
      <c r="J300" s="367"/>
      <c r="K300" s="365"/>
    </row>
    <row r="301" spans="2:12" ht="15.75" thickBot="1" x14ac:dyDescent="0.3">
      <c r="B301" s="369" t="s">
        <v>406</v>
      </c>
      <c r="C301" s="366" t="s">
        <v>407</v>
      </c>
      <c r="D301" s="366" t="s">
        <v>541</v>
      </c>
      <c r="E301" s="907" t="s">
        <v>542</v>
      </c>
      <c r="F301" s="907" t="s">
        <v>1368</v>
      </c>
      <c r="G301" s="908" t="s">
        <v>937</v>
      </c>
      <c r="H301" s="907" t="s">
        <v>542</v>
      </c>
      <c r="I301" s="367">
        <f>'SCHEDULE OF ACCOUNTS'!I303</f>
        <v>0</v>
      </c>
      <c r="J301" s="367"/>
      <c r="K301" s="485">
        <f>I301+I302+I303</f>
        <v>0</v>
      </c>
      <c r="L301" s="61" t="s">
        <v>543</v>
      </c>
    </row>
    <row r="302" spans="2:12" x14ac:dyDescent="0.25">
      <c r="B302" s="369" t="s">
        <v>410</v>
      </c>
      <c r="C302" s="366" t="s">
        <v>411</v>
      </c>
      <c r="D302" s="366" t="s">
        <v>772</v>
      </c>
      <c r="E302" s="907" t="s">
        <v>773</v>
      </c>
      <c r="F302" s="907" t="s">
        <v>1369</v>
      </c>
      <c r="G302" s="908" t="s">
        <v>937</v>
      </c>
      <c r="H302" s="907" t="s">
        <v>773</v>
      </c>
      <c r="I302" s="367"/>
      <c r="J302" s="367"/>
      <c r="K302" s="365"/>
    </row>
    <row r="303" spans="2:12" ht="15.75" thickBot="1" x14ac:dyDescent="0.3">
      <c r="B303" s="369" t="s">
        <v>414</v>
      </c>
      <c r="C303" s="366" t="s">
        <v>415</v>
      </c>
      <c r="D303" s="366"/>
      <c r="E303" s="907"/>
      <c r="F303" s="907" t="s">
        <v>1369</v>
      </c>
      <c r="G303" s="908" t="s">
        <v>937</v>
      </c>
      <c r="H303" s="907" t="s">
        <v>1068</v>
      </c>
      <c r="I303" s="367">
        <f>'SCHEDULE OF ACCOUNTS'!I304</f>
        <v>0</v>
      </c>
      <c r="J303" s="367"/>
      <c r="K303" s="365"/>
    </row>
    <row r="304" spans="2:12" hidden="1" x14ac:dyDescent="0.25">
      <c r="B304" s="369" t="s">
        <v>418</v>
      </c>
      <c r="C304" s="366" t="s">
        <v>419</v>
      </c>
      <c r="D304" s="371"/>
      <c r="E304" s="372"/>
      <c r="F304" s="372"/>
      <c r="G304" s="372"/>
      <c r="H304" s="901"/>
      <c r="I304" s="367"/>
      <c r="J304" s="367"/>
      <c r="K304" s="365"/>
    </row>
    <row r="305" spans="1:14" ht="15.75" thickBot="1" x14ac:dyDescent="0.3">
      <c r="B305" s="369" t="s">
        <v>422</v>
      </c>
      <c r="C305" s="366" t="s">
        <v>423</v>
      </c>
      <c r="D305" s="366" t="s">
        <v>544</v>
      </c>
      <c r="E305" s="907" t="s">
        <v>545</v>
      </c>
      <c r="F305" s="907" t="s">
        <v>1370</v>
      </c>
      <c r="G305" s="908" t="s">
        <v>1069</v>
      </c>
      <c r="H305" s="907" t="s">
        <v>545</v>
      </c>
      <c r="I305" s="367">
        <f>'SCHEDULE OF ACCOUNTS'!I307</f>
        <v>10804497.24</v>
      </c>
      <c r="J305" s="764"/>
      <c r="K305" s="778">
        <f>I305</f>
        <v>10804497.24</v>
      </c>
      <c r="L305" s="61" t="s">
        <v>1677</v>
      </c>
    </row>
    <row r="306" spans="1:14" s="62" customFormat="1" x14ac:dyDescent="0.25">
      <c r="A306"/>
      <c r="B306" s="369"/>
      <c r="C306" s="366"/>
      <c r="D306" s="366" t="s">
        <v>746</v>
      </c>
      <c r="E306" s="907" t="s">
        <v>747</v>
      </c>
      <c r="F306" s="907" t="s">
        <v>1371</v>
      </c>
      <c r="G306" s="907" t="s">
        <v>1069</v>
      </c>
      <c r="H306" s="908" t="s">
        <v>747</v>
      </c>
      <c r="I306" s="367">
        <v>0</v>
      </c>
      <c r="J306" s="367"/>
      <c r="K306" s="374"/>
      <c r="N306" s="155"/>
    </row>
    <row r="307" spans="1:14" s="62" customFormat="1" ht="16.5" x14ac:dyDescent="0.35">
      <c r="A307"/>
      <c r="B307" s="369" t="s">
        <v>426</v>
      </c>
      <c r="C307" s="917" t="s">
        <v>427</v>
      </c>
      <c r="D307" s="373"/>
      <c r="E307" s="373"/>
      <c r="F307" s="374"/>
      <c r="G307" s="374"/>
      <c r="H307" s="375" t="s">
        <v>671</v>
      </c>
      <c r="I307" s="376">
        <f>SUM(I8:I306)</f>
        <v>45195206164.599983</v>
      </c>
      <c r="J307" s="376">
        <f>SUM(J8:J306)+1.21</f>
        <v>45195206164.600006</v>
      </c>
      <c r="K307" s="374"/>
      <c r="N307" s="155"/>
    </row>
    <row r="308" spans="1:14" s="62" customFormat="1" x14ac:dyDescent="0.25">
      <c r="A308"/>
      <c r="B308" s="369" t="s">
        <v>431</v>
      </c>
      <c r="C308" s="366" t="s">
        <v>432</v>
      </c>
      <c r="D308" s="373"/>
      <c r="E308" s="373"/>
      <c r="F308" s="374"/>
      <c r="G308" s="374"/>
      <c r="H308" s="374"/>
      <c r="I308" s="374"/>
      <c r="J308" s="374">
        <f>I307-J307</f>
        <v>0</v>
      </c>
      <c r="K308" s="374"/>
      <c r="N308" s="155"/>
    </row>
    <row r="309" spans="1:14" s="62" customFormat="1" x14ac:dyDescent="0.25">
      <c r="A309"/>
      <c r="B309" s="369"/>
      <c r="C309" s="366"/>
      <c r="D309" s="373"/>
      <c r="E309" s="373"/>
      <c r="F309" s="374"/>
      <c r="G309" s="374"/>
      <c r="H309" s="374"/>
      <c r="I309" s="374"/>
      <c r="J309" s="374"/>
      <c r="K309" s="374"/>
      <c r="N309" s="155"/>
    </row>
    <row r="310" spans="1:14" s="62" customFormat="1" x14ac:dyDescent="0.25">
      <c r="A310"/>
      <c r="B310" s="369"/>
      <c r="C310" s="366"/>
      <c r="D310" s="373"/>
      <c r="E310" s="373"/>
      <c r="F310" s="374"/>
      <c r="G310" s="374"/>
      <c r="H310" s="374"/>
      <c r="I310" s="473"/>
      <c r="J310" s="473"/>
      <c r="K310" s="374"/>
      <c r="N310" s="155"/>
    </row>
    <row r="311" spans="1:14" s="62" customFormat="1" ht="18.75" customHeight="1" x14ac:dyDescent="0.25">
      <c r="A311"/>
      <c r="B311" s="369" t="s">
        <v>436</v>
      </c>
      <c r="C311" s="366" t="s">
        <v>437</v>
      </c>
      <c r="D311" s="373"/>
      <c r="E311" s="373"/>
      <c r="F311" s="374"/>
      <c r="G311" s="374"/>
      <c r="H311" s="480"/>
      <c r="I311" s="843"/>
      <c r="J311" s="844"/>
      <c r="K311" s="481"/>
      <c r="N311" s="155"/>
    </row>
    <row r="312" spans="1:14" ht="16.5" customHeight="1" x14ac:dyDescent="0.25">
      <c r="B312" s="369" t="s">
        <v>440</v>
      </c>
      <c r="C312" s="366" t="s">
        <v>441</v>
      </c>
      <c r="D312" s="371"/>
      <c r="E312" s="372"/>
      <c r="F312" s="372"/>
      <c r="G312" s="372"/>
      <c r="H312" s="480"/>
      <c r="I312" s="480"/>
      <c r="J312" s="844"/>
      <c r="K312" s="481"/>
    </row>
    <row r="313" spans="1:14" s="63" customFormat="1" x14ac:dyDescent="0.25">
      <c r="A313"/>
      <c r="B313" s="369" t="s">
        <v>442</v>
      </c>
      <c r="C313" s="366" t="s">
        <v>443</v>
      </c>
      <c r="D313" s="373"/>
      <c r="E313" s="373"/>
      <c r="F313" s="374"/>
      <c r="G313" s="374"/>
      <c r="H313" s="480"/>
      <c r="I313" s="480"/>
      <c r="J313" s="844"/>
      <c r="K313" s="481"/>
      <c r="N313" s="156"/>
    </row>
    <row r="314" spans="1:14" s="63" customFormat="1" x14ac:dyDescent="0.25">
      <c r="A314"/>
      <c r="B314" s="369" t="s">
        <v>446</v>
      </c>
      <c r="C314" s="366" t="s">
        <v>447</v>
      </c>
      <c r="D314" s="373"/>
      <c r="E314" s="373"/>
      <c r="F314" s="374"/>
      <c r="G314" s="374"/>
      <c r="H314" s="480"/>
      <c r="I314" s="365"/>
      <c r="J314" s="971"/>
      <c r="K314" s="971"/>
      <c r="N314" s="156"/>
    </row>
    <row r="315" spans="1:14" s="63" customFormat="1" x14ac:dyDescent="0.25">
      <c r="A315"/>
      <c r="B315" s="369"/>
      <c r="C315" s="366"/>
      <c r="D315" s="373"/>
      <c r="E315" s="373"/>
      <c r="F315" s="374"/>
      <c r="G315" s="374"/>
      <c r="H315" s="480"/>
      <c r="I315" s="478"/>
      <c r="J315" s="478"/>
      <c r="K315" s="478"/>
      <c r="N315" s="156"/>
    </row>
    <row r="316" spans="1:14" s="63" customFormat="1" x14ac:dyDescent="0.25">
      <c r="A316"/>
      <c r="B316" s="369" t="s">
        <v>451</v>
      </c>
      <c r="C316" s="366" t="s">
        <v>452</v>
      </c>
      <c r="D316" s="370"/>
      <c r="E316" s="370"/>
      <c r="F316" s="374"/>
      <c r="G316" s="374"/>
      <c r="H316" s="374"/>
      <c r="I316" s="478"/>
      <c r="J316" s="478"/>
      <c r="K316" s="478"/>
      <c r="N316" s="156"/>
    </row>
    <row r="317" spans="1:14" s="63" customFormat="1" x14ac:dyDescent="0.25">
      <c r="A317"/>
      <c r="B317" s="369" t="s">
        <v>455</v>
      </c>
      <c r="C317" s="366" t="s">
        <v>456</v>
      </c>
      <c r="D317" s="370"/>
      <c r="E317" s="370"/>
      <c r="F317" s="374"/>
      <c r="G317" s="374"/>
      <c r="H317" s="374"/>
      <c r="I317" s="374"/>
      <c r="J317" s="374"/>
      <c r="K317" s="374"/>
      <c r="N317" s="156"/>
    </row>
    <row r="318" spans="1:14" s="63" customFormat="1" x14ac:dyDescent="0.25">
      <c r="A318"/>
      <c r="B318" s="369" t="s">
        <v>459</v>
      </c>
      <c r="C318" s="366" t="s">
        <v>460</v>
      </c>
      <c r="D318" s="370"/>
      <c r="E318" s="370"/>
      <c r="F318" s="374"/>
      <c r="G318" s="374"/>
      <c r="H318" s="374"/>
      <c r="I318" s="365"/>
      <c r="J318" s="374"/>
      <c r="K318" s="374"/>
      <c r="N318" s="156"/>
    </row>
    <row r="319" spans="1:14" s="63" customFormat="1" x14ac:dyDescent="0.25">
      <c r="A319"/>
      <c r="B319" s="67" t="s">
        <v>463</v>
      </c>
      <c r="C319" s="68" t="s">
        <v>464</v>
      </c>
      <c r="F319" s="108"/>
      <c r="G319" s="108"/>
      <c r="H319" s="108"/>
      <c r="I319"/>
      <c r="J319" s="108"/>
      <c r="K319" s="108"/>
      <c r="N319" s="156"/>
    </row>
    <row r="320" spans="1:14" s="63" customFormat="1" x14ac:dyDescent="0.25">
      <c r="A320"/>
      <c r="B320" s="67" t="s">
        <v>467</v>
      </c>
      <c r="C320" s="68" t="s">
        <v>468</v>
      </c>
      <c r="F320" s="108"/>
      <c r="G320" s="108"/>
      <c r="H320" s="108"/>
      <c r="I320"/>
      <c r="J320" s="108"/>
      <c r="K320" s="108"/>
      <c r="N320" s="156"/>
    </row>
    <row r="321" spans="1:14" s="63" customFormat="1" x14ac:dyDescent="0.25">
      <c r="A321"/>
      <c r="B321" s="67" t="s">
        <v>470</v>
      </c>
      <c r="C321" s="68" t="s">
        <v>471</v>
      </c>
      <c r="F321" s="108"/>
      <c r="G321" s="108"/>
      <c r="H321" s="108"/>
      <c r="I321"/>
      <c r="J321" s="108"/>
      <c r="K321" s="108"/>
      <c r="N321" s="156"/>
    </row>
    <row r="322" spans="1:14" s="63" customFormat="1" x14ac:dyDescent="0.25">
      <c r="A322"/>
      <c r="B322" s="67" t="s">
        <v>474</v>
      </c>
      <c r="C322" s="68" t="s">
        <v>475</v>
      </c>
      <c r="F322" s="108"/>
      <c r="G322" s="108"/>
      <c r="H322" s="108"/>
      <c r="I322"/>
      <c r="J322" s="108"/>
      <c r="K322" s="108"/>
      <c r="N322" s="156"/>
    </row>
    <row r="323" spans="1:14" s="63" customFormat="1" x14ac:dyDescent="0.25">
      <c r="A323"/>
      <c r="B323" s="67" t="s">
        <v>478</v>
      </c>
      <c r="C323" s="68" t="s">
        <v>479</v>
      </c>
      <c r="F323" s="108"/>
      <c r="G323" s="108"/>
      <c r="H323" s="108"/>
      <c r="I323"/>
      <c r="J323" s="108"/>
      <c r="K323" s="108"/>
      <c r="N323" s="156"/>
    </row>
    <row r="324" spans="1:14" s="63" customFormat="1" x14ac:dyDescent="0.25">
      <c r="A324"/>
      <c r="B324" s="67" t="s">
        <v>482</v>
      </c>
      <c r="C324" s="68" t="s">
        <v>483</v>
      </c>
      <c r="F324" s="108"/>
      <c r="G324" s="108"/>
      <c r="H324" s="108"/>
      <c r="I324"/>
      <c r="J324" s="108"/>
      <c r="K324" s="108"/>
      <c r="N324" s="156"/>
    </row>
    <row r="325" spans="1:14" s="63" customFormat="1" x14ac:dyDescent="0.25">
      <c r="A325"/>
      <c r="B325" s="67" t="s">
        <v>486</v>
      </c>
      <c r="C325" s="68" t="s">
        <v>487</v>
      </c>
      <c r="F325" s="108"/>
      <c r="G325" s="108"/>
      <c r="H325" s="108"/>
      <c r="I325"/>
      <c r="J325" s="108"/>
      <c r="K325" s="108"/>
      <c r="N325" s="156"/>
    </row>
    <row r="326" spans="1:14" s="63" customFormat="1" x14ac:dyDescent="0.25">
      <c r="A326"/>
      <c r="B326" s="67" t="s">
        <v>490</v>
      </c>
      <c r="C326" s="68" t="s">
        <v>491</v>
      </c>
      <c r="F326" s="108"/>
      <c r="G326" s="108"/>
      <c r="H326" s="108"/>
      <c r="I326"/>
      <c r="J326" s="108"/>
      <c r="K326" s="108"/>
    </row>
    <row r="327" spans="1:14" s="63" customFormat="1" x14ac:dyDescent="0.25">
      <c r="A327"/>
      <c r="B327" s="67" t="s">
        <v>494</v>
      </c>
      <c r="C327" s="68" t="s">
        <v>495</v>
      </c>
      <c r="F327" s="108"/>
      <c r="G327" s="108"/>
      <c r="H327" s="108"/>
      <c r="I327"/>
      <c r="J327" s="108"/>
      <c r="K327" s="108"/>
    </row>
    <row r="328" spans="1:14" s="63" customFormat="1" x14ac:dyDescent="0.25">
      <c r="A328"/>
      <c r="B328" s="67" t="s">
        <v>499</v>
      </c>
      <c r="C328" s="68" t="s">
        <v>500</v>
      </c>
      <c r="F328" s="108"/>
      <c r="G328" s="108"/>
      <c r="H328" s="108"/>
      <c r="I328"/>
      <c r="J328" s="108"/>
      <c r="K328" s="108"/>
    </row>
    <row r="329" spans="1:14" s="63" customFormat="1" x14ac:dyDescent="0.25">
      <c r="A329"/>
      <c r="B329" s="67" t="s">
        <v>502</v>
      </c>
      <c r="C329" s="68" t="s">
        <v>503</v>
      </c>
      <c r="F329" s="108"/>
      <c r="G329" s="108"/>
      <c r="H329" s="108"/>
      <c r="I329"/>
      <c r="J329" s="108"/>
      <c r="K329" s="108"/>
    </row>
    <row r="330" spans="1:14" s="63" customFormat="1" x14ac:dyDescent="0.25">
      <c r="A330"/>
      <c r="B330" s="67" t="s">
        <v>505</v>
      </c>
      <c r="C330" s="68" t="s">
        <v>506</v>
      </c>
      <c r="F330" s="108"/>
      <c r="G330" s="108"/>
      <c r="H330" s="108"/>
      <c r="I330"/>
      <c r="J330" s="108"/>
      <c r="K330" s="108"/>
    </row>
    <row r="331" spans="1:14" s="63" customFormat="1" x14ac:dyDescent="0.25">
      <c r="A331"/>
      <c r="B331" s="67" t="s">
        <v>509</v>
      </c>
      <c r="C331" s="68" t="s">
        <v>510</v>
      </c>
      <c r="F331" s="108"/>
      <c r="G331" s="108"/>
      <c r="H331" s="108"/>
      <c r="I331"/>
      <c r="J331" s="108"/>
      <c r="K331" s="108"/>
    </row>
    <row r="332" spans="1:14" s="63" customFormat="1" x14ac:dyDescent="0.25">
      <c r="A332"/>
      <c r="B332" s="67" t="s">
        <v>513</v>
      </c>
      <c r="C332" s="68" t="s">
        <v>514</v>
      </c>
      <c r="F332" s="108"/>
      <c r="G332" s="108"/>
      <c r="H332" s="108"/>
      <c r="I332"/>
      <c r="J332" s="108"/>
      <c r="K332" s="108"/>
    </row>
    <row r="333" spans="1:14" s="63" customFormat="1" x14ac:dyDescent="0.25">
      <c r="A333"/>
      <c r="B333" s="67" t="s">
        <v>517</v>
      </c>
      <c r="C333" s="68" t="s">
        <v>518</v>
      </c>
      <c r="F333" s="108"/>
      <c r="G333" s="108"/>
      <c r="H333" s="108"/>
      <c r="I333"/>
      <c r="J333" s="108"/>
      <c r="K333" s="108"/>
    </row>
    <row r="334" spans="1:14" s="63" customFormat="1" x14ac:dyDescent="0.25">
      <c r="A334"/>
      <c r="B334" s="67" t="s">
        <v>521</v>
      </c>
      <c r="C334" s="68" t="s">
        <v>522</v>
      </c>
      <c r="F334" s="108"/>
      <c r="G334" s="108"/>
      <c r="H334" s="108"/>
      <c r="I334"/>
      <c r="J334" s="108"/>
      <c r="K334" s="108"/>
    </row>
    <row r="335" spans="1:14" s="63" customFormat="1" x14ac:dyDescent="0.25">
      <c r="A335"/>
      <c r="B335" s="67"/>
      <c r="C335" s="68"/>
      <c r="F335" s="108"/>
      <c r="G335" s="108"/>
      <c r="H335" s="108"/>
      <c r="I335"/>
      <c r="J335" s="108"/>
      <c r="K335" s="108"/>
    </row>
    <row r="336" spans="1:14" s="63" customFormat="1" x14ac:dyDescent="0.25">
      <c r="A336"/>
      <c r="B336" s="67"/>
      <c r="C336" s="68"/>
      <c r="F336" s="108"/>
      <c r="G336" s="108"/>
      <c r="H336" s="108"/>
      <c r="I336"/>
      <c r="J336" s="108"/>
      <c r="K336" s="108"/>
    </row>
    <row r="337" spans="1:11" s="63" customFormat="1" x14ac:dyDescent="0.25">
      <c r="A337"/>
      <c r="B337" s="67" t="s">
        <v>527</v>
      </c>
      <c r="C337" s="68" t="s">
        <v>528</v>
      </c>
      <c r="F337" s="108"/>
      <c r="G337" s="108"/>
      <c r="H337" s="108"/>
      <c r="I337"/>
      <c r="J337" s="108"/>
      <c r="K337" s="108"/>
    </row>
    <row r="338" spans="1:11" s="63" customFormat="1" x14ac:dyDescent="0.25">
      <c r="A338"/>
      <c r="B338" s="67" t="s">
        <v>530</v>
      </c>
      <c r="C338" s="68" t="s">
        <v>531</v>
      </c>
      <c r="F338" s="108"/>
      <c r="G338" s="108"/>
      <c r="H338" s="108"/>
      <c r="I338"/>
      <c r="J338" s="108"/>
      <c r="K338" s="108"/>
    </row>
    <row r="339" spans="1:11" s="63" customFormat="1" x14ac:dyDescent="0.25">
      <c r="A339"/>
      <c r="B339" s="67"/>
      <c r="C339" s="68"/>
      <c r="F339" s="108"/>
      <c r="G339" s="108"/>
      <c r="H339" s="108"/>
      <c r="I339"/>
      <c r="J339" s="108"/>
      <c r="K339" s="108"/>
    </row>
    <row r="340" spans="1:11" s="63" customFormat="1" x14ac:dyDescent="0.25">
      <c r="A340"/>
      <c r="B340" s="67" t="s">
        <v>534</v>
      </c>
      <c r="C340" s="68" t="s">
        <v>535</v>
      </c>
      <c r="F340" s="108"/>
      <c r="G340" s="108"/>
      <c r="H340" s="108"/>
      <c r="I340"/>
      <c r="J340" s="108"/>
      <c r="K340" s="108"/>
    </row>
    <row r="341" spans="1:11" s="63" customFormat="1" x14ac:dyDescent="0.25">
      <c r="A341"/>
      <c r="B341" s="67" t="s">
        <v>536</v>
      </c>
      <c r="C341" s="68" t="s">
        <v>537</v>
      </c>
      <c r="F341" s="108"/>
      <c r="G341" s="108"/>
      <c r="H341" s="108"/>
      <c r="I341"/>
      <c r="J341" s="108"/>
      <c r="K341" s="108"/>
    </row>
    <row r="342" spans="1:11" s="63" customFormat="1" x14ac:dyDescent="0.25">
      <c r="A342"/>
      <c r="B342" s="67"/>
      <c r="C342" s="68"/>
      <c r="F342" s="108"/>
      <c r="G342" s="108"/>
      <c r="H342" s="108"/>
      <c r="I342"/>
      <c r="J342" s="108"/>
      <c r="K342" s="108"/>
    </row>
    <row r="343" spans="1:11" s="63" customFormat="1" x14ac:dyDescent="0.25">
      <c r="A343"/>
      <c r="B343" s="67"/>
      <c r="C343" s="68"/>
      <c r="F343" s="108"/>
      <c r="G343" s="108"/>
      <c r="H343" s="108"/>
      <c r="I343"/>
      <c r="J343" s="108"/>
      <c r="K343" s="108"/>
    </row>
    <row r="344" spans="1:11" s="63" customFormat="1" x14ac:dyDescent="0.25">
      <c r="A344"/>
      <c r="B344" s="67" t="s">
        <v>538</v>
      </c>
      <c r="C344" s="68" t="s">
        <v>539</v>
      </c>
      <c r="F344" s="108"/>
      <c r="G344" s="108"/>
      <c r="H344" s="108"/>
      <c r="I344"/>
      <c r="J344" s="108"/>
      <c r="K344" s="108"/>
    </row>
    <row r="345" spans="1:11" s="63" customFormat="1" x14ac:dyDescent="0.25">
      <c r="A345"/>
      <c r="B345" s="67" t="s">
        <v>546</v>
      </c>
      <c r="C345" s="68" t="s">
        <v>547</v>
      </c>
      <c r="F345" s="108"/>
      <c r="G345" s="108"/>
      <c r="H345" s="108"/>
      <c r="I345"/>
      <c r="J345" s="108"/>
      <c r="K345" s="108"/>
    </row>
    <row r="346" spans="1:11" s="63" customFormat="1" x14ac:dyDescent="0.25">
      <c r="A346"/>
      <c r="B346" s="67" t="s">
        <v>550</v>
      </c>
      <c r="C346" s="68" t="s">
        <v>551</v>
      </c>
      <c r="F346" s="108"/>
      <c r="G346" s="108"/>
      <c r="H346" s="108"/>
      <c r="I346"/>
      <c r="J346" s="108"/>
      <c r="K346" s="108"/>
    </row>
    <row r="347" spans="1:11" s="63" customFormat="1" x14ac:dyDescent="0.25">
      <c r="A347"/>
      <c r="B347" s="67" t="s">
        <v>555</v>
      </c>
      <c r="C347" s="68" t="s">
        <v>556</v>
      </c>
      <c r="F347" s="108"/>
      <c r="G347" s="108"/>
      <c r="H347" s="108"/>
      <c r="I347"/>
      <c r="J347" s="108"/>
      <c r="K347" s="108"/>
    </row>
    <row r="348" spans="1:11" s="63" customFormat="1" x14ac:dyDescent="0.25">
      <c r="A348"/>
      <c r="B348" s="67" t="s">
        <v>558</v>
      </c>
      <c r="C348" s="68" t="s">
        <v>559</v>
      </c>
      <c r="F348" s="108"/>
      <c r="G348" s="108"/>
      <c r="H348" s="108"/>
      <c r="I348"/>
      <c r="J348" s="108"/>
      <c r="K348" s="108"/>
    </row>
    <row r="349" spans="1:11" s="63" customFormat="1" x14ac:dyDescent="0.25">
      <c r="A349"/>
      <c r="B349" s="67" t="s">
        <v>561</v>
      </c>
      <c r="C349" s="68" t="s">
        <v>562</v>
      </c>
      <c r="F349" s="108"/>
      <c r="G349" s="108"/>
      <c r="H349" s="108"/>
      <c r="I349"/>
      <c r="J349" s="108"/>
      <c r="K349" s="108"/>
    </row>
    <row r="350" spans="1:11" s="63" customFormat="1" x14ac:dyDescent="0.25">
      <c r="A350"/>
      <c r="B350" s="67" t="s">
        <v>564</v>
      </c>
      <c r="C350" s="68" t="s">
        <v>565</v>
      </c>
      <c r="F350" s="108"/>
      <c r="G350" s="108"/>
      <c r="H350" s="108"/>
      <c r="I350"/>
      <c r="J350" s="108"/>
      <c r="K350" s="108"/>
    </row>
    <row r="351" spans="1:11" s="63" customFormat="1" x14ac:dyDescent="0.25">
      <c r="A351"/>
      <c r="B351" s="67" t="s">
        <v>567</v>
      </c>
      <c r="C351" s="68" t="s">
        <v>568</v>
      </c>
      <c r="F351" s="108"/>
      <c r="G351" s="108"/>
      <c r="H351" s="108"/>
      <c r="I351"/>
      <c r="J351" s="108"/>
      <c r="K351" s="108"/>
    </row>
    <row r="352" spans="1:11" s="63" customFormat="1" x14ac:dyDescent="0.25">
      <c r="A352"/>
      <c r="B352" s="67" t="s">
        <v>570</v>
      </c>
      <c r="C352" s="68" t="s">
        <v>571</v>
      </c>
      <c r="F352" s="108"/>
      <c r="G352" s="108"/>
      <c r="H352" s="108"/>
      <c r="I352"/>
      <c r="J352" s="108"/>
      <c r="K352" s="108"/>
    </row>
    <row r="353" spans="1:11" s="63" customFormat="1" x14ac:dyDescent="0.25">
      <c r="A353"/>
      <c r="B353" s="67"/>
      <c r="C353" s="68"/>
      <c r="F353" s="108"/>
      <c r="G353" s="108"/>
      <c r="H353" s="108"/>
      <c r="I353"/>
      <c r="J353" s="108"/>
      <c r="K353" s="108"/>
    </row>
    <row r="354" spans="1:11" s="63" customFormat="1" ht="14.25" customHeight="1" x14ac:dyDescent="0.25">
      <c r="A354"/>
      <c r="B354" s="67" t="s">
        <v>574</v>
      </c>
      <c r="C354" s="68" t="s">
        <v>575</v>
      </c>
      <c r="F354" s="108"/>
      <c r="G354" s="108"/>
      <c r="H354" s="108"/>
      <c r="I354"/>
      <c r="J354" s="108"/>
      <c r="K354" s="108"/>
    </row>
    <row r="355" spans="1:11" s="63" customFormat="1" x14ac:dyDescent="0.25">
      <c r="A355"/>
      <c r="B355" s="67" t="s">
        <v>578</v>
      </c>
      <c r="C355" s="68" t="s">
        <v>579</v>
      </c>
      <c r="F355" s="108"/>
      <c r="G355" s="108"/>
      <c r="H355" s="108"/>
      <c r="I355"/>
      <c r="J355" s="108"/>
      <c r="K355" s="108"/>
    </row>
    <row r="356" spans="1:11" s="63" customFormat="1" ht="14.25" customHeight="1" x14ac:dyDescent="0.25">
      <c r="A356"/>
      <c r="B356" s="67" t="s">
        <v>582</v>
      </c>
      <c r="C356" s="68" t="s">
        <v>583</v>
      </c>
      <c r="F356" s="108"/>
      <c r="G356" s="108"/>
      <c r="H356" s="108"/>
      <c r="I356"/>
      <c r="J356" s="108"/>
      <c r="K356" s="108"/>
    </row>
    <row r="357" spans="1:11" s="63" customFormat="1" x14ac:dyDescent="0.25">
      <c r="A357"/>
      <c r="B357" s="67" t="s">
        <v>586</v>
      </c>
      <c r="C357" s="68" t="s">
        <v>587</v>
      </c>
      <c r="F357" s="108"/>
      <c r="G357" s="108"/>
      <c r="H357" s="108"/>
      <c r="I357"/>
      <c r="J357" s="108"/>
      <c r="K357" s="108"/>
    </row>
    <row r="358" spans="1:11" s="63" customFormat="1" x14ac:dyDescent="0.25">
      <c r="A358"/>
      <c r="B358" s="67" t="s">
        <v>590</v>
      </c>
      <c r="C358" s="68" t="s">
        <v>591</v>
      </c>
      <c r="F358" s="108"/>
      <c r="G358" s="108"/>
      <c r="H358" s="108"/>
      <c r="I358"/>
      <c r="J358" s="108"/>
      <c r="K358" s="108"/>
    </row>
    <row r="359" spans="1:11" s="63" customFormat="1" x14ac:dyDescent="0.25">
      <c r="A359"/>
      <c r="B359" s="67" t="s">
        <v>400</v>
      </c>
      <c r="C359" s="68" t="s">
        <v>594</v>
      </c>
      <c r="F359" s="108"/>
      <c r="G359" s="108"/>
      <c r="H359" s="108"/>
      <c r="I359"/>
      <c r="J359" s="108"/>
      <c r="K359" s="108"/>
    </row>
    <row r="360" spans="1:11" s="63" customFormat="1" x14ac:dyDescent="0.25">
      <c r="A360"/>
      <c r="B360" s="67" t="s">
        <v>401</v>
      </c>
      <c r="C360" s="68" t="s">
        <v>597</v>
      </c>
      <c r="F360" s="108"/>
      <c r="G360" s="108"/>
      <c r="H360" s="108"/>
      <c r="I360"/>
      <c r="J360" s="108"/>
      <c r="K360" s="108"/>
    </row>
    <row r="361" spans="1:11" s="63" customFormat="1" x14ac:dyDescent="0.25">
      <c r="A361"/>
      <c r="B361" s="73" t="s">
        <v>599</v>
      </c>
      <c r="C361" s="74" t="s">
        <v>600</v>
      </c>
      <c r="F361" s="108"/>
      <c r="G361" s="108"/>
      <c r="H361" s="108"/>
      <c r="I361"/>
      <c r="J361" s="108"/>
      <c r="K361" s="108"/>
    </row>
    <row r="362" spans="1:11" s="63" customFormat="1" x14ac:dyDescent="0.25">
      <c r="A362"/>
      <c r="B362" s="67" t="s">
        <v>602</v>
      </c>
      <c r="C362" s="68" t="s">
        <v>603</v>
      </c>
      <c r="F362" s="108"/>
      <c r="G362" s="108"/>
      <c r="H362" s="108"/>
      <c r="I362"/>
      <c r="J362" s="108"/>
      <c r="K362" s="108"/>
    </row>
    <row r="363" spans="1:11" s="63" customFormat="1" x14ac:dyDescent="0.25">
      <c r="A363"/>
      <c r="B363" s="67" t="s">
        <v>605</v>
      </c>
      <c r="C363" s="68" t="s">
        <v>606</v>
      </c>
      <c r="H363" s="50"/>
      <c r="I363"/>
      <c r="J363" s="377"/>
    </row>
    <row r="364" spans="1:11" s="63" customFormat="1" x14ac:dyDescent="0.25">
      <c r="A364"/>
      <c r="B364" s="67"/>
      <c r="C364" s="68"/>
      <c r="H364" s="50"/>
      <c r="I364"/>
      <c r="J364" s="377"/>
    </row>
    <row r="365" spans="1:11" s="63" customFormat="1" x14ac:dyDescent="0.25">
      <c r="A365"/>
      <c r="B365" s="67" t="s">
        <v>610</v>
      </c>
      <c r="C365" s="68" t="s">
        <v>611</v>
      </c>
      <c r="H365" s="50"/>
      <c r="I365"/>
      <c r="J365" s="377"/>
    </row>
    <row r="366" spans="1:11" s="63" customFormat="1" x14ac:dyDescent="0.25">
      <c r="A366"/>
      <c r="B366" s="67" t="s">
        <v>614</v>
      </c>
      <c r="C366" s="68" t="s">
        <v>615</v>
      </c>
      <c r="H366" s="50"/>
      <c r="I366"/>
      <c r="J366" s="377"/>
    </row>
    <row r="367" spans="1:11" s="63" customFormat="1" x14ac:dyDescent="0.25">
      <c r="A367"/>
      <c r="B367" s="67" t="s">
        <v>618</v>
      </c>
      <c r="C367" s="68" t="s">
        <v>619</v>
      </c>
      <c r="H367" s="50"/>
      <c r="I367"/>
      <c r="J367" s="377"/>
    </row>
    <row r="368" spans="1:11" s="63" customFormat="1" x14ac:dyDescent="0.25">
      <c r="A368"/>
      <c r="B368" s="67" t="s">
        <v>622</v>
      </c>
      <c r="C368" s="68" t="s">
        <v>623</v>
      </c>
      <c r="H368" s="50"/>
      <c r="I368"/>
      <c r="J368" s="377"/>
    </row>
    <row r="369" spans="1:10" s="63" customFormat="1" x14ac:dyDescent="0.25">
      <c r="A369"/>
      <c r="B369" s="67" t="s">
        <v>627</v>
      </c>
      <c r="C369" s="68" t="s">
        <v>628</v>
      </c>
      <c r="H369" s="50"/>
      <c r="I369"/>
      <c r="J369" s="377"/>
    </row>
    <row r="370" spans="1:10" s="63" customFormat="1" x14ac:dyDescent="0.25">
      <c r="A370"/>
      <c r="B370" s="67"/>
      <c r="C370" s="68"/>
      <c r="H370" s="50"/>
      <c r="I370"/>
      <c r="J370" s="377"/>
    </row>
    <row r="371" spans="1:10" s="63" customFormat="1" x14ac:dyDescent="0.25">
      <c r="A371"/>
      <c r="B371" s="67" t="s">
        <v>631</v>
      </c>
      <c r="C371" s="68" t="s">
        <v>632</v>
      </c>
      <c r="H371" s="50"/>
      <c r="I371"/>
      <c r="J371" s="377"/>
    </row>
    <row r="372" spans="1:10" s="63" customFormat="1" x14ac:dyDescent="0.25">
      <c r="A372"/>
      <c r="B372" s="961" t="s">
        <v>636</v>
      </c>
      <c r="C372" s="68" t="s">
        <v>637</v>
      </c>
      <c r="H372" s="50"/>
      <c r="I372"/>
      <c r="J372" s="377"/>
    </row>
    <row r="373" spans="1:10" s="63" customFormat="1" x14ac:dyDescent="0.25">
      <c r="A373"/>
      <c r="B373" s="962"/>
      <c r="C373" s="68" t="s">
        <v>637</v>
      </c>
      <c r="H373" s="50"/>
      <c r="I373"/>
      <c r="J373" s="377"/>
    </row>
    <row r="374" spans="1:10" s="63" customFormat="1" x14ac:dyDescent="0.25">
      <c r="A374"/>
      <c r="B374" s="67" t="s">
        <v>643</v>
      </c>
      <c r="C374" s="68" t="s">
        <v>644</v>
      </c>
      <c r="H374" s="50"/>
      <c r="I374"/>
      <c r="J374" s="377"/>
    </row>
    <row r="375" spans="1:10" s="63" customFormat="1" x14ac:dyDescent="0.25">
      <c r="A375"/>
      <c r="B375" s="67" t="s">
        <v>647</v>
      </c>
      <c r="C375" s="68" t="s">
        <v>648</v>
      </c>
      <c r="H375" s="50"/>
      <c r="I375"/>
      <c r="J375" s="377"/>
    </row>
    <row r="376" spans="1:10" s="63" customFormat="1" x14ac:dyDescent="0.25">
      <c r="A376"/>
      <c r="B376" s="67" t="s">
        <v>593</v>
      </c>
      <c r="C376" s="68" t="s">
        <v>652</v>
      </c>
      <c r="H376" s="50"/>
      <c r="I376"/>
      <c r="J376" s="377"/>
    </row>
    <row r="377" spans="1:10" s="63" customFormat="1" ht="17.25" customHeight="1" x14ac:dyDescent="0.25">
      <c r="A377"/>
      <c r="B377" s="67" t="s">
        <v>654</v>
      </c>
      <c r="C377" s="68" t="s">
        <v>655</v>
      </c>
      <c r="H377" s="50"/>
      <c r="I377"/>
      <c r="J377" s="377"/>
    </row>
    <row r="378" spans="1:10" s="63" customFormat="1" x14ac:dyDescent="0.25">
      <c r="A378"/>
      <c r="B378" s="67" t="s">
        <v>658</v>
      </c>
      <c r="C378" s="68" t="s">
        <v>659</v>
      </c>
      <c r="H378" s="50"/>
      <c r="I378"/>
      <c r="J378" s="377"/>
    </row>
    <row r="379" spans="1:10" s="63" customFormat="1" x14ac:dyDescent="0.25">
      <c r="A379"/>
      <c r="B379" s="67" t="s">
        <v>660</v>
      </c>
      <c r="C379" s="68" t="s">
        <v>661</v>
      </c>
      <c r="H379" s="50"/>
      <c r="I379"/>
      <c r="J379" s="377"/>
    </row>
    <row r="380" spans="1:10" s="63" customFormat="1" x14ac:dyDescent="0.25">
      <c r="A380"/>
      <c r="B380" s="67" t="s">
        <v>664</v>
      </c>
      <c r="C380" s="68" t="s">
        <v>665</v>
      </c>
      <c r="H380" s="50"/>
      <c r="I380"/>
      <c r="J380" s="377"/>
    </row>
    <row r="381" spans="1:10" s="63" customFormat="1" x14ac:dyDescent="0.25">
      <c r="A381"/>
      <c r="B381" s="67" t="s">
        <v>667</v>
      </c>
      <c r="C381" s="68" t="s">
        <v>668</v>
      </c>
      <c r="H381" s="50"/>
      <c r="I381"/>
      <c r="J381" s="377"/>
    </row>
    <row r="382" spans="1:10" s="63" customFormat="1" x14ac:dyDescent="0.25">
      <c r="A382" s="77"/>
      <c r="B382" s="71"/>
      <c r="C382" s="75"/>
      <c r="D382" s="75"/>
      <c r="E382" s="76"/>
      <c r="F382" s="76"/>
      <c r="G382" s="76"/>
      <c r="H382" s="83"/>
      <c r="I382"/>
      <c r="J382" s="377"/>
    </row>
    <row r="383" spans="1:10" s="63" customFormat="1" x14ac:dyDescent="0.25">
      <c r="A383" s="77"/>
      <c r="B383" s="49"/>
      <c r="C383" s="42"/>
      <c r="D383" s="42"/>
      <c r="E383" s="78"/>
      <c r="F383" s="78"/>
      <c r="G383" s="78"/>
      <c r="H383" s="66"/>
      <c r="I383"/>
      <c r="J383" s="377"/>
    </row>
    <row r="384" spans="1:10" s="63" customFormat="1" x14ac:dyDescent="0.25">
      <c r="A384" s="77"/>
      <c r="B384" s="49"/>
      <c r="C384" s="42"/>
      <c r="D384" s="42"/>
      <c r="E384" s="78"/>
      <c r="F384" s="78"/>
      <c r="G384" s="78"/>
      <c r="H384" s="66"/>
      <c r="I384"/>
      <c r="J384" s="377"/>
    </row>
    <row r="385" spans="1:10" s="63" customFormat="1" x14ac:dyDescent="0.25">
      <c r="A385" s="77"/>
      <c r="B385" s="49"/>
      <c r="C385" s="42"/>
      <c r="D385" s="42"/>
      <c r="E385" s="79"/>
      <c r="F385" s="79"/>
      <c r="G385" s="79"/>
      <c r="H385" s="190"/>
      <c r="I385"/>
      <c r="J385" s="377"/>
    </row>
    <row r="386" spans="1:10" s="63" customFormat="1" x14ac:dyDescent="0.25">
      <c r="A386" s="77"/>
      <c r="B386" s="49"/>
      <c r="C386" s="42"/>
      <c r="D386" s="42"/>
      <c r="E386" s="78"/>
      <c r="F386" s="78"/>
      <c r="G386" s="78"/>
      <c r="H386" s="66"/>
      <c r="I386"/>
      <c r="J386" s="377"/>
    </row>
    <row r="387" spans="1:10" s="63" customFormat="1" x14ac:dyDescent="0.25">
      <c r="A387" s="77"/>
      <c r="B387" s="49"/>
      <c r="C387" s="42"/>
      <c r="D387" s="42"/>
      <c r="E387" s="78"/>
      <c r="F387" s="78"/>
      <c r="G387" s="78"/>
      <c r="H387" s="66"/>
      <c r="I387"/>
      <c r="J387" s="377"/>
    </row>
    <row r="388" spans="1:10" s="63" customFormat="1" x14ac:dyDescent="0.25">
      <c r="A388" s="77"/>
      <c r="B388" s="49"/>
      <c r="C388" s="42"/>
      <c r="D388" s="42"/>
      <c r="E388" s="78"/>
      <c r="F388" s="78"/>
      <c r="G388" s="78"/>
      <c r="H388" s="66"/>
      <c r="I388"/>
      <c r="J388" s="377"/>
    </row>
    <row r="389" spans="1:10" s="63" customFormat="1" x14ac:dyDescent="0.25">
      <c r="A389" s="77"/>
      <c r="B389" s="80"/>
      <c r="C389" s="80"/>
      <c r="D389" s="80"/>
      <c r="E389" s="81"/>
      <c r="F389" s="81"/>
      <c r="G389" s="81"/>
      <c r="H389" s="191"/>
      <c r="I389"/>
      <c r="J389" s="377"/>
    </row>
    <row r="390" spans="1:10" s="63" customFormat="1" x14ac:dyDescent="0.25">
      <c r="A390" s="77"/>
      <c r="B390" s="49"/>
      <c r="C390" s="42"/>
      <c r="D390" s="42"/>
      <c r="E390" s="78"/>
      <c r="F390" s="78"/>
      <c r="G390" s="78"/>
      <c r="H390" s="66"/>
      <c r="I390"/>
      <c r="J390" s="377"/>
    </row>
    <row r="391" spans="1:10" s="63" customFormat="1" x14ac:dyDescent="0.25">
      <c r="A391" s="77"/>
      <c r="B391" s="49"/>
      <c r="C391" s="42"/>
      <c r="D391" s="42"/>
      <c r="E391" s="78"/>
      <c r="F391" s="78"/>
      <c r="G391" s="78"/>
      <c r="H391" s="66"/>
      <c r="I391"/>
      <c r="J391" s="377"/>
    </row>
    <row r="392" spans="1:10" s="63" customFormat="1" x14ac:dyDescent="0.25">
      <c r="A392" s="77"/>
      <c r="B392" s="49"/>
      <c r="C392" s="42"/>
      <c r="D392" s="42"/>
      <c r="E392" s="78"/>
      <c r="F392" s="78"/>
      <c r="G392" s="78"/>
      <c r="H392" s="66"/>
      <c r="I392"/>
      <c r="J392" s="377"/>
    </row>
    <row r="393" spans="1:10" s="63" customFormat="1" x14ac:dyDescent="0.25">
      <c r="A393" s="77"/>
      <c r="B393" s="49"/>
      <c r="C393" s="42"/>
      <c r="D393" s="42"/>
      <c r="E393" s="78"/>
      <c r="F393" s="78"/>
      <c r="G393" s="78"/>
      <c r="H393" s="66"/>
      <c r="I393"/>
      <c r="J393" s="377"/>
    </row>
    <row r="394" spans="1:10" s="63" customFormat="1" x14ac:dyDescent="0.25">
      <c r="A394" s="77"/>
      <c r="B394" s="49"/>
      <c r="C394" s="42"/>
      <c r="D394" s="42"/>
      <c r="E394" s="78"/>
      <c r="F394" s="78"/>
      <c r="G394" s="78"/>
      <c r="H394" s="66"/>
      <c r="I394"/>
      <c r="J394" s="377"/>
    </row>
    <row r="395" spans="1:10" s="63" customFormat="1" x14ac:dyDescent="0.25">
      <c r="A395" s="77"/>
      <c r="B395" s="49"/>
      <c r="C395" s="42"/>
      <c r="D395" s="42"/>
      <c r="E395" s="78"/>
      <c r="F395" s="78"/>
      <c r="G395" s="78"/>
      <c r="H395" s="66"/>
      <c r="I395"/>
      <c r="J395" s="377"/>
    </row>
    <row r="396" spans="1:10" s="63" customFormat="1" x14ac:dyDescent="0.25">
      <c r="A396" s="77"/>
      <c r="B396" s="49"/>
      <c r="C396" s="42"/>
      <c r="D396" s="42"/>
      <c r="E396" s="78"/>
      <c r="F396" s="78"/>
      <c r="G396" s="78"/>
      <c r="H396" s="66"/>
      <c r="I396"/>
      <c r="J396" s="377"/>
    </row>
    <row r="397" spans="1:10" s="63" customFormat="1" x14ac:dyDescent="0.25">
      <c r="A397" s="77"/>
      <c r="B397" s="49"/>
      <c r="C397" s="42"/>
      <c r="D397" s="42"/>
      <c r="E397" s="78"/>
      <c r="F397" s="78"/>
      <c r="G397" s="78"/>
      <c r="H397" s="66"/>
      <c r="I397"/>
      <c r="J397" s="377"/>
    </row>
    <row r="398" spans="1:10" s="63" customFormat="1" x14ac:dyDescent="0.25">
      <c r="A398"/>
      <c r="B398" s="49"/>
      <c r="C398" s="42"/>
      <c r="D398" s="42"/>
      <c r="E398" s="78"/>
      <c r="F398" s="78"/>
      <c r="G398" s="78"/>
      <c r="H398" s="66"/>
      <c r="I398"/>
      <c r="J398" s="377"/>
    </row>
    <row r="399" spans="1:10" s="63" customFormat="1" x14ac:dyDescent="0.25">
      <c r="A399"/>
      <c r="B399" s="49"/>
      <c r="C399" s="42"/>
      <c r="D399" s="42"/>
      <c r="E399" s="78"/>
      <c r="F399" s="78"/>
      <c r="G399" s="78"/>
      <c r="H399" s="66"/>
      <c r="I399"/>
      <c r="J399" s="377"/>
    </row>
    <row r="400" spans="1:10" s="63" customFormat="1" x14ac:dyDescent="0.25">
      <c r="A400"/>
      <c r="B400" s="49"/>
      <c r="C400" s="42"/>
      <c r="D400" s="42"/>
      <c r="E400" s="78"/>
      <c r="F400" s="78"/>
      <c r="G400" s="78"/>
      <c r="H400" s="66"/>
      <c r="I400"/>
      <c r="J400" s="377"/>
    </row>
    <row r="401" spans="1:10" s="63" customFormat="1" x14ac:dyDescent="0.25">
      <c r="A401"/>
      <c r="B401" s="49"/>
      <c r="C401" s="42"/>
      <c r="D401" s="42"/>
      <c r="E401" s="78"/>
      <c r="F401" s="78"/>
      <c r="G401" s="78"/>
      <c r="H401" s="66"/>
      <c r="I401"/>
      <c r="J401" s="377"/>
    </row>
    <row r="402" spans="1:10" s="63" customFormat="1" x14ac:dyDescent="0.25">
      <c r="A402"/>
      <c r="B402" s="49"/>
      <c r="C402" s="42"/>
      <c r="D402" s="42"/>
      <c r="E402" s="78"/>
      <c r="F402" s="78"/>
      <c r="G402" s="78"/>
      <c r="H402" s="66"/>
      <c r="I402"/>
      <c r="J402" s="377"/>
    </row>
    <row r="403" spans="1:10" s="63" customFormat="1" x14ac:dyDescent="0.25">
      <c r="A403"/>
      <c r="B403" s="49"/>
      <c r="C403" s="42"/>
      <c r="D403" s="42"/>
      <c r="E403" s="78"/>
      <c r="F403" s="78"/>
      <c r="G403" s="78"/>
      <c r="H403" s="66"/>
      <c r="I403"/>
      <c r="J403" s="377"/>
    </row>
    <row r="404" spans="1:10" s="63" customFormat="1" x14ac:dyDescent="0.25">
      <c r="A404"/>
      <c r="B404" s="49"/>
      <c r="C404" s="42"/>
      <c r="D404" s="42"/>
      <c r="E404" s="78"/>
      <c r="F404" s="78"/>
      <c r="G404" s="78"/>
      <c r="H404" s="66"/>
      <c r="I404"/>
      <c r="J404" s="377"/>
    </row>
  </sheetData>
  <autoFilter ref="A7:I382" xr:uid="{00000000-0009-0000-0000-000003000000}"/>
  <mergeCells count="6">
    <mergeCell ref="M73:N73"/>
    <mergeCell ref="B5:H5"/>
    <mergeCell ref="B372:B373"/>
    <mergeCell ref="J314:K314"/>
    <mergeCell ref="N7:P7"/>
    <mergeCell ref="N145:P145"/>
  </mergeCells>
  <printOptions horizontalCentered="1"/>
  <pageMargins left="0.47244094488188981" right="0.23622047244094491" top="0.51181102362204722" bottom="0.35433070866141736" header="0.19685039370078741" footer="0.19685039370078741"/>
  <pageSetup paperSize="132" scale="85" orientation="portrait" r:id="rId1"/>
  <headerFooter differentFirst="1">
    <oddFooter>Page &amp;P of &amp;N</oddFooter>
  </headerFooter>
  <rowBreaks count="1" manualBreakCount="1">
    <brk id="383" min="1" max="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3AE7-6839-4776-A7D6-6D12A2F838C1}">
  <sheetPr codeName="Sheet3">
    <tabColor rgb="FF92D050"/>
  </sheetPr>
  <dimension ref="A1:N277"/>
  <sheetViews>
    <sheetView zoomScale="90" zoomScaleNormal="90" workbookViewId="0">
      <selection activeCell="K13" sqref="K13"/>
    </sheetView>
  </sheetViews>
  <sheetFormatPr defaultRowHeight="15" x14ac:dyDescent="0.25"/>
  <cols>
    <col min="1" max="1" width="52.85546875" style="1" customWidth="1"/>
    <col min="2" max="2" width="27.28515625" style="181" customWidth="1"/>
    <col min="3" max="3" width="29" style="2" customWidth="1"/>
    <col min="4" max="5" width="21.28515625" style="1" hidden="1" customWidth="1"/>
    <col min="6" max="6" width="22.42578125" style="1" hidden="1" customWidth="1"/>
    <col min="7" max="8" width="21.28515625" style="1" hidden="1" customWidth="1"/>
    <col min="9" max="9" width="23.5703125" style="1" hidden="1" customWidth="1"/>
    <col min="10" max="10" width="28.7109375" style="1" hidden="1" customWidth="1"/>
    <col min="11" max="11" width="34.5703125" style="1" customWidth="1"/>
    <col min="12" max="12" width="19.85546875" style="1" bestFit="1" customWidth="1"/>
    <col min="13" max="13" width="9.140625" style="1"/>
    <col min="14" max="14" width="19.85546875" style="1" bestFit="1" customWidth="1"/>
    <col min="15" max="238" width="9.140625" style="1"/>
    <col min="239" max="239" width="45" style="1" customWidth="1"/>
    <col min="240" max="240" width="6.7109375" style="1" customWidth="1"/>
    <col min="241" max="242" width="2.85546875" style="1" customWidth="1"/>
    <col min="243" max="243" width="22.28515625" style="1" customWidth="1"/>
    <col min="244" max="244" width="2.85546875" style="1" customWidth="1"/>
    <col min="245" max="245" width="2.5703125" style="1" customWidth="1"/>
    <col min="246" max="246" width="19.85546875" style="1" customWidth="1"/>
    <col min="247" max="247" width="2.5703125" style="1" customWidth="1"/>
    <col min="248" max="248" width="3.28515625" style="1" customWidth="1"/>
    <col min="249" max="249" width="18.7109375" style="1" customWidth="1"/>
    <col min="250" max="250" width="3" style="1" customWidth="1"/>
    <col min="251" max="251" width="15.42578125" style="1" customWidth="1"/>
    <col min="252" max="494" width="9.140625" style="1"/>
    <col min="495" max="495" width="45" style="1" customWidth="1"/>
    <col min="496" max="496" width="6.7109375" style="1" customWidth="1"/>
    <col min="497" max="498" width="2.85546875" style="1" customWidth="1"/>
    <col min="499" max="499" width="22.28515625" style="1" customWidth="1"/>
    <col min="500" max="500" width="2.85546875" style="1" customWidth="1"/>
    <col min="501" max="501" width="2.5703125" style="1" customWidth="1"/>
    <col min="502" max="502" width="19.85546875" style="1" customWidth="1"/>
    <col min="503" max="503" width="2.5703125" style="1" customWidth="1"/>
    <col min="504" max="504" width="3.28515625" style="1" customWidth="1"/>
    <col min="505" max="505" width="18.7109375" style="1" customWidth="1"/>
    <col min="506" max="506" width="3" style="1" customWidth="1"/>
    <col min="507" max="507" width="15.42578125" style="1" customWidth="1"/>
    <col min="508" max="750" width="9.140625" style="1"/>
    <col min="751" max="751" width="45" style="1" customWidth="1"/>
    <col min="752" max="752" width="6.7109375" style="1" customWidth="1"/>
    <col min="753" max="754" width="2.85546875" style="1" customWidth="1"/>
    <col min="755" max="755" width="22.28515625" style="1" customWidth="1"/>
    <col min="756" max="756" width="2.85546875" style="1" customWidth="1"/>
    <col min="757" max="757" width="2.5703125" style="1" customWidth="1"/>
    <col min="758" max="758" width="19.85546875" style="1" customWidth="1"/>
    <col min="759" max="759" width="2.5703125" style="1" customWidth="1"/>
    <col min="760" max="760" width="3.28515625" style="1" customWidth="1"/>
    <col min="761" max="761" width="18.7109375" style="1" customWidth="1"/>
    <col min="762" max="762" width="3" style="1" customWidth="1"/>
    <col min="763" max="763" width="15.42578125" style="1" customWidth="1"/>
    <col min="764" max="1006" width="9.140625" style="1"/>
    <col min="1007" max="1007" width="45" style="1" customWidth="1"/>
    <col min="1008" max="1008" width="6.7109375" style="1" customWidth="1"/>
    <col min="1009" max="1010" width="2.85546875" style="1" customWidth="1"/>
    <col min="1011" max="1011" width="22.28515625" style="1" customWidth="1"/>
    <col min="1012" max="1012" width="2.85546875" style="1" customWidth="1"/>
    <col min="1013" max="1013" width="2.5703125" style="1" customWidth="1"/>
    <col min="1014" max="1014" width="19.85546875" style="1" customWidth="1"/>
    <col min="1015" max="1015" width="2.5703125" style="1" customWidth="1"/>
    <col min="1016" max="1016" width="3.28515625" style="1" customWidth="1"/>
    <col min="1017" max="1017" width="18.7109375" style="1" customWidth="1"/>
    <col min="1018" max="1018" width="3" style="1" customWidth="1"/>
    <col min="1019" max="1019" width="15.42578125" style="1" customWidth="1"/>
    <col min="1020" max="1262" width="9.140625" style="1"/>
    <col min="1263" max="1263" width="45" style="1" customWidth="1"/>
    <col min="1264" max="1264" width="6.7109375" style="1" customWidth="1"/>
    <col min="1265" max="1266" width="2.85546875" style="1" customWidth="1"/>
    <col min="1267" max="1267" width="22.28515625" style="1" customWidth="1"/>
    <col min="1268" max="1268" width="2.85546875" style="1" customWidth="1"/>
    <col min="1269" max="1269" width="2.5703125" style="1" customWidth="1"/>
    <col min="1270" max="1270" width="19.85546875" style="1" customWidth="1"/>
    <col min="1271" max="1271" width="2.5703125" style="1" customWidth="1"/>
    <col min="1272" max="1272" width="3.28515625" style="1" customWidth="1"/>
    <col min="1273" max="1273" width="18.7109375" style="1" customWidth="1"/>
    <col min="1274" max="1274" width="3" style="1" customWidth="1"/>
    <col min="1275" max="1275" width="15.42578125" style="1" customWidth="1"/>
    <col min="1276" max="1518" width="9.140625" style="1"/>
    <col min="1519" max="1519" width="45" style="1" customWidth="1"/>
    <col min="1520" max="1520" width="6.7109375" style="1" customWidth="1"/>
    <col min="1521" max="1522" width="2.85546875" style="1" customWidth="1"/>
    <col min="1523" max="1523" width="22.28515625" style="1" customWidth="1"/>
    <col min="1524" max="1524" width="2.85546875" style="1" customWidth="1"/>
    <col min="1525" max="1525" width="2.5703125" style="1" customWidth="1"/>
    <col min="1526" max="1526" width="19.85546875" style="1" customWidth="1"/>
    <col min="1527" max="1527" width="2.5703125" style="1" customWidth="1"/>
    <col min="1528" max="1528" width="3.28515625" style="1" customWidth="1"/>
    <col min="1529" max="1529" width="18.7109375" style="1" customWidth="1"/>
    <col min="1530" max="1530" width="3" style="1" customWidth="1"/>
    <col min="1531" max="1531" width="15.42578125" style="1" customWidth="1"/>
    <col min="1532" max="1774" width="9.140625" style="1"/>
    <col min="1775" max="1775" width="45" style="1" customWidth="1"/>
    <col min="1776" max="1776" width="6.7109375" style="1" customWidth="1"/>
    <col min="1777" max="1778" width="2.85546875" style="1" customWidth="1"/>
    <col min="1779" max="1779" width="22.28515625" style="1" customWidth="1"/>
    <col min="1780" max="1780" width="2.85546875" style="1" customWidth="1"/>
    <col min="1781" max="1781" width="2.5703125" style="1" customWidth="1"/>
    <col min="1782" max="1782" width="19.85546875" style="1" customWidth="1"/>
    <col min="1783" max="1783" width="2.5703125" style="1" customWidth="1"/>
    <col min="1784" max="1784" width="3.28515625" style="1" customWidth="1"/>
    <col min="1785" max="1785" width="18.7109375" style="1" customWidth="1"/>
    <col min="1786" max="1786" width="3" style="1" customWidth="1"/>
    <col min="1787" max="1787" width="15.42578125" style="1" customWidth="1"/>
    <col min="1788" max="2030" width="9.140625" style="1"/>
    <col min="2031" max="2031" width="45" style="1" customWidth="1"/>
    <col min="2032" max="2032" width="6.7109375" style="1" customWidth="1"/>
    <col min="2033" max="2034" width="2.85546875" style="1" customWidth="1"/>
    <col min="2035" max="2035" width="22.28515625" style="1" customWidth="1"/>
    <col min="2036" max="2036" width="2.85546875" style="1" customWidth="1"/>
    <col min="2037" max="2037" width="2.5703125" style="1" customWidth="1"/>
    <col min="2038" max="2038" width="19.85546875" style="1" customWidth="1"/>
    <col min="2039" max="2039" width="2.5703125" style="1" customWidth="1"/>
    <col min="2040" max="2040" width="3.28515625" style="1" customWidth="1"/>
    <col min="2041" max="2041" width="18.7109375" style="1" customWidth="1"/>
    <col min="2042" max="2042" width="3" style="1" customWidth="1"/>
    <col min="2043" max="2043" width="15.42578125" style="1" customWidth="1"/>
    <col min="2044" max="2286" width="9.140625" style="1"/>
    <col min="2287" max="2287" width="45" style="1" customWidth="1"/>
    <col min="2288" max="2288" width="6.7109375" style="1" customWidth="1"/>
    <col min="2289" max="2290" width="2.85546875" style="1" customWidth="1"/>
    <col min="2291" max="2291" width="22.28515625" style="1" customWidth="1"/>
    <col min="2292" max="2292" width="2.85546875" style="1" customWidth="1"/>
    <col min="2293" max="2293" width="2.5703125" style="1" customWidth="1"/>
    <col min="2294" max="2294" width="19.85546875" style="1" customWidth="1"/>
    <col min="2295" max="2295" width="2.5703125" style="1" customWidth="1"/>
    <col min="2296" max="2296" width="3.28515625" style="1" customWidth="1"/>
    <col min="2297" max="2297" width="18.7109375" style="1" customWidth="1"/>
    <col min="2298" max="2298" width="3" style="1" customWidth="1"/>
    <col min="2299" max="2299" width="15.42578125" style="1" customWidth="1"/>
    <col min="2300" max="2542" width="9.140625" style="1"/>
    <col min="2543" max="2543" width="45" style="1" customWidth="1"/>
    <col min="2544" max="2544" width="6.7109375" style="1" customWidth="1"/>
    <col min="2545" max="2546" width="2.85546875" style="1" customWidth="1"/>
    <col min="2547" max="2547" width="22.28515625" style="1" customWidth="1"/>
    <col min="2548" max="2548" width="2.85546875" style="1" customWidth="1"/>
    <col min="2549" max="2549" width="2.5703125" style="1" customWidth="1"/>
    <col min="2550" max="2550" width="19.85546875" style="1" customWidth="1"/>
    <col min="2551" max="2551" width="2.5703125" style="1" customWidth="1"/>
    <col min="2552" max="2552" width="3.28515625" style="1" customWidth="1"/>
    <col min="2553" max="2553" width="18.7109375" style="1" customWidth="1"/>
    <col min="2554" max="2554" width="3" style="1" customWidth="1"/>
    <col min="2555" max="2555" width="15.42578125" style="1" customWidth="1"/>
    <col min="2556" max="2798" width="9.140625" style="1"/>
    <col min="2799" max="2799" width="45" style="1" customWidth="1"/>
    <col min="2800" max="2800" width="6.7109375" style="1" customWidth="1"/>
    <col min="2801" max="2802" width="2.85546875" style="1" customWidth="1"/>
    <col min="2803" max="2803" width="22.28515625" style="1" customWidth="1"/>
    <col min="2804" max="2804" width="2.85546875" style="1" customWidth="1"/>
    <col min="2805" max="2805" width="2.5703125" style="1" customWidth="1"/>
    <col min="2806" max="2806" width="19.85546875" style="1" customWidth="1"/>
    <col min="2807" max="2807" width="2.5703125" style="1" customWidth="1"/>
    <col min="2808" max="2808" width="3.28515625" style="1" customWidth="1"/>
    <col min="2809" max="2809" width="18.7109375" style="1" customWidth="1"/>
    <col min="2810" max="2810" width="3" style="1" customWidth="1"/>
    <col min="2811" max="2811" width="15.42578125" style="1" customWidth="1"/>
    <col min="2812" max="3054" width="9.140625" style="1"/>
    <col min="3055" max="3055" width="45" style="1" customWidth="1"/>
    <col min="3056" max="3056" width="6.7109375" style="1" customWidth="1"/>
    <col min="3057" max="3058" width="2.85546875" style="1" customWidth="1"/>
    <col min="3059" max="3059" width="22.28515625" style="1" customWidth="1"/>
    <col min="3060" max="3060" width="2.85546875" style="1" customWidth="1"/>
    <col min="3061" max="3061" width="2.5703125" style="1" customWidth="1"/>
    <col min="3062" max="3062" width="19.85546875" style="1" customWidth="1"/>
    <col min="3063" max="3063" width="2.5703125" style="1" customWidth="1"/>
    <col min="3064" max="3064" width="3.28515625" style="1" customWidth="1"/>
    <col min="3065" max="3065" width="18.7109375" style="1" customWidth="1"/>
    <col min="3066" max="3066" width="3" style="1" customWidth="1"/>
    <col min="3067" max="3067" width="15.42578125" style="1" customWidth="1"/>
    <col min="3068" max="3310" width="9.140625" style="1"/>
    <col min="3311" max="3311" width="45" style="1" customWidth="1"/>
    <col min="3312" max="3312" width="6.7109375" style="1" customWidth="1"/>
    <col min="3313" max="3314" width="2.85546875" style="1" customWidth="1"/>
    <col min="3315" max="3315" width="22.28515625" style="1" customWidth="1"/>
    <col min="3316" max="3316" width="2.85546875" style="1" customWidth="1"/>
    <col min="3317" max="3317" width="2.5703125" style="1" customWidth="1"/>
    <col min="3318" max="3318" width="19.85546875" style="1" customWidth="1"/>
    <col min="3319" max="3319" width="2.5703125" style="1" customWidth="1"/>
    <col min="3320" max="3320" width="3.28515625" style="1" customWidth="1"/>
    <col min="3321" max="3321" width="18.7109375" style="1" customWidth="1"/>
    <col min="3322" max="3322" width="3" style="1" customWidth="1"/>
    <col min="3323" max="3323" width="15.42578125" style="1" customWidth="1"/>
    <col min="3324" max="3566" width="9.140625" style="1"/>
    <col min="3567" max="3567" width="45" style="1" customWidth="1"/>
    <col min="3568" max="3568" width="6.7109375" style="1" customWidth="1"/>
    <col min="3569" max="3570" width="2.85546875" style="1" customWidth="1"/>
    <col min="3571" max="3571" width="22.28515625" style="1" customWidth="1"/>
    <col min="3572" max="3572" width="2.85546875" style="1" customWidth="1"/>
    <col min="3573" max="3573" width="2.5703125" style="1" customWidth="1"/>
    <col min="3574" max="3574" width="19.85546875" style="1" customWidth="1"/>
    <col min="3575" max="3575" width="2.5703125" style="1" customWidth="1"/>
    <col min="3576" max="3576" width="3.28515625" style="1" customWidth="1"/>
    <col min="3577" max="3577" width="18.7109375" style="1" customWidth="1"/>
    <col min="3578" max="3578" width="3" style="1" customWidth="1"/>
    <col min="3579" max="3579" width="15.42578125" style="1" customWidth="1"/>
    <col min="3580" max="3822" width="9.140625" style="1"/>
    <col min="3823" max="3823" width="45" style="1" customWidth="1"/>
    <col min="3824" max="3824" width="6.7109375" style="1" customWidth="1"/>
    <col min="3825" max="3826" width="2.85546875" style="1" customWidth="1"/>
    <col min="3827" max="3827" width="22.28515625" style="1" customWidth="1"/>
    <col min="3828" max="3828" width="2.85546875" style="1" customWidth="1"/>
    <col min="3829" max="3829" width="2.5703125" style="1" customWidth="1"/>
    <col min="3830" max="3830" width="19.85546875" style="1" customWidth="1"/>
    <col min="3831" max="3831" width="2.5703125" style="1" customWidth="1"/>
    <col min="3832" max="3832" width="3.28515625" style="1" customWidth="1"/>
    <col min="3833" max="3833" width="18.7109375" style="1" customWidth="1"/>
    <col min="3834" max="3834" width="3" style="1" customWidth="1"/>
    <col min="3835" max="3835" width="15.42578125" style="1" customWidth="1"/>
    <col min="3836" max="4078" width="9.140625" style="1"/>
    <col min="4079" max="4079" width="45" style="1" customWidth="1"/>
    <col min="4080" max="4080" width="6.7109375" style="1" customWidth="1"/>
    <col min="4081" max="4082" width="2.85546875" style="1" customWidth="1"/>
    <col min="4083" max="4083" width="22.28515625" style="1" customWidth="1"/>
    <col min="4084" max="4084" width="2.85546875" style="1" customWidth="1"/>
    <col min="4085" max="4085" width="2.5703125" style="1" customWidth="1"/>
    <col min="4086" max="4086" width="19.85546875" style="1" customWidth="1"/>
    <col min="4087" max="4087" width="2.5703125" style="1" customWidth="1"/>
    <col min="4088" max="4088" width="3.28515625" style="1" customWidth="1"/>
    <col min="4089" max="4089" width="18.7109375" style="1" customWidth="1"/>
    <col min="4090" max="4090" width="3" style="1" customWidth="1"/>
    <col min="4091" max="4091" width="15.42578125" style="1" customWidth="1"/>
    <col min="4092" max="4334" width="9.140625" style="1"/>
    <col min="4335" max="4335" width="45" style="1" customWidth="1"/>
    <col min="4336" max="4336" width="6.7109375" style="1" customWidth="1"/>
    <col min="4337" max="4338" width="2.85546875" style="1" customWidth="1"/>
    <col min="4339" max="4339" width="22.28515625" style="1" customWidth="1"/>
    <col min="4340" max="4340" width="2.85546875" style="1" customWidth="1"/>
    <col min="4341" max="4341" width="2.5703125" style="1" customWidth="1"/>
    <col min="4342" max="4342" width="19.85546875" style="1" customWidth="1"/>
    <col min="4343" max="4343" width="2.5703125" style="1" customWidth="1"/>
    <col min="4344" max="4344" width="3.28515625" style="1" customWidth="1"/>
    <col min="4345" max="4345" width="18.7109375" style="1" customWidth="1"/>
    <col min="4346" max="4346" width="3" style="1" customWidth="1"/>
    <col min="4347" max="4347" width="15.42578125" style="1" customWidth="1"/>
    <col min="4348" max="4590" width="9.140625" style="1"/>
    <col min="4591" max="4591" width="45" style="1" customWidth="1"/>
    <col min="4592" max="4592" width="6.7109375" style="1" customWidth="1"/>
    <col min="4593" max="4594" width="2.85546875" style="1" customWidth="1"/>
    <col min="4595" max="4595" width="22.28515625" style="1" customWidth="1"/>
    <col min="4596" max="4596" width="2.85546875" style="1" customWidth="1"/>
    <col min="4597" max="4597" width="2.5703125" style="1" customWidth="1"/>
    <col min="4598" max="4598" width="19.85546875" style="1" customWidth="1"/>
    <col min="4599" max="4599" width="2.5703125" style="1" customWidth="1"/>
    <col min="4600" max="4600" width="3.28515625" style="1" customWidth="1"/>
    <col min="4601" max="4601" width="18.7109375" style="1" customWidth="1"/>
    <col min="4602" max="4602" width="3" style="1" customWidth="1"/>
    <col min="4603" max="4603" width="15.42578125" style="1" customWidth="1"/>
    <col min="4604" max="4846" width="9.140625" style="1"/>
    <col min="4847" max="4847" width="45" style="1" customWidth="1"/>
    <col min="4848" max="4848" width="6.7109375" style="1" customWidth="1"/>
    <col min="4849" max="4850" width="2.85546875" style="1" customWidth="1"/>
    <col min="4851" max="4851" width="22.28515625" style="1" customWidth="1"/>
    <col min="4852" max="4852" width="2.85546875" style="1" customWidth="1"/>
    <col min="4853" max="4853" width="2.5703125" style="1" customWidth="1"/>
    <col min="4854" max="4854" width="19.85546875" style="1" customWidth="1"/>
    <col min="4855" max="4855" width="2.5703125" style="1" customWidth="1"/>
    <col min="4856" max="4856" width="3.28515625" style="1" customWidth="1"/>
    <col min="4857" max="4857" width="18.7109375" style="1" customWidth="1"/>
    <col min="4858" max="4858" width="3" style="1" customWidth="1"/>
    <col min="4859" max="4859" width="15.42578125" style="1" customWidth="1"/>
    <col min="4860" max="5102" width="9.140625" style="1"/>
    <col min="5103" max="5103" width="45" style="1" customWidth="1"/>
    <col min="5104" max="5104" width="6.7109375" style="1" customWidth="1"/>
    <col min="5105" max="5106" width="2.85546875" style="1" customWidth="1"/>
    <col min="5107" max="5107" width="22.28515625" style="1" customWidth="1"/>
    <col min="5108" max="5108" width="2.85546875" style="1" customWidth="1"/>
    <col min="5109" max="5109" width="2.5703125" style="1" customWidth="1"/>
    <col min="5110" max="5110" width="19.85546875" style="1" customWidth="1"/>
    <col min="5111" max="5111" width="2.5703125" style="1" customWidth="1"/>
    <col min="5112" max="5112" width="3.28515625" style="1" customWidth="1"/>
    <col min="5113" max="5113" width="18.7109375" style="1" customWidth="1"/>
    <col min="5114" max="5114" width="3" style="1" customWidth="1"/>
    <col min="5115" max="5115" width="15.42578125" style="1" customWidth="1"/>
    <col min="5116" max="5358" width="9.140625" style="1"/>
    <col min="5359" max="5359" width="45" style="1" customWidth="1"/>
    <col min="5360" max="5360" width="6.7109375" style="1" customWidth="1"/>
    <col min="5361" max="5362" width="2.85546875" style="1" customWidth="1"/>
    <col min="5363" max="5363" width="22.28515625" style="1" customWidth="1"/>
    <col min="5364" max="5364" width="2.85546875" style="1" customWidth="1"/>
    <col min="5365" max="5365" width="2.5703125" style="1" customWidth="1"/>
    <col min="5366" max="5366" width="19.85546875" style="1" customWidth="1"/>
    <col min="5367" max="5367" width="2.5703125" style="1" customWidth="1"/>
    <col min="5368" max="5368" width="3.28515625" style="1" customWidth="1"/>
    <col min="5369" max="5369" width="18.7109375" style="1" customWidth="1"/>
    <col min="5370" max="5370" width="3" style="1" customWidth="1"/>
    <col min="5371" max="5371" width="15.42578125" style="1" customWidth="1"/>
    <col min="5372" max="5614" width="9.140625" style="1"/>
    <col min="5615" max="5615" width="45" style="1" customWidth="1"/>
    <col min="5616" max="5616" width="6.7109375" style="1" customWidth="1"/>
    <col min="5617" max="5618" width="2.85546875" style="1" customWidth="1"/>
    <col min="5619" max="5619" width="22.28515625" style="1" customWidth="1"/>
    <col min="5620" max="5620" width="2.85546875" style="1" customWidth="1"/>
    <col min="5621" max="5621" width="2.5703125" style="1" customWidth="1"/>
    <col min="5622" max="5622" width="19.85546875" style="1" customWidth="1"/>
    <col min="5623" max="5623" width="2.5703125" style="1" customWidth="1"/>
    <col min="5624" max="5624" width="3.28515625" style="1" customWidth="1"/>
    <col min="5625" max="5625" width="18.7109375" style="1" customWidth="1"/>
    <col min="5626" max="5626" width="3" style="1" customWidth="1"/>
    <col min="5627" max="5627" width="15.42578125" style="1" customWidth="1"/>
    <col min="5628" max="5870" width="9.140625" style="1"/>
    <col min="5871" max="5871" width="45" style="1" customWidth="1"/>
    <col min="5872" max="5872" width="6.7109375" style="1" customWidth="1"/>
    <col min="5873" max="5874" width="2.85546875" style="1" customWidth="1"/>
    <col min="5875" max="5875" width="22.28515625" style="1" customWidth="1"/>
    <col min="5876" max="5876" width="2.85546875" style="1" customWidth="1"/>
    <col min="5877" max="5877" width="2.5703125" style="1" customWidth="1"/>
    <col min="5878" max="5878" width="19.85546875" style="1" customWidth="1"/>
    <col min="5879" max="5879" width="2.5703125" style="1" customWidth="1"/>
    <col min="5880" max="5880" width="3.28515625" style="1" customWidth="1"/>
    <col min="5881" max="5881" width="18.7109375" style="1" customWidth="1"/>
    <col min="5882" max="5882" width="3" style="1" customWidth="1"/>
    <col min="5883" max="5883" width="15.42578125" style="1" customWidth="1"/>
    <col min="5884" max="6126" width="9.140625" style="1"/>
    <col min="6127" max="6127" width="45" style="1" customWidth="1"/>
    <col min="6128" max="6128" width="6.7109375" style="1" customWidth="1"/>
    <col min="6129" max="6130" width="2.85546875" style="1" customWidth="1"/>
    <col min="6131" max="6131" width="22.28515625" style="1" customWidth="1"/>
    <col min="6132" max="6132" width="2.85546875" style="1" customWidth="1"/>
    <col min="6133" max="6133" width="2.5703125" style="1" customWidth="1"/>
    <col min="6134" max="6134" width="19.85546875" style="1" customWidth="1"/>
    <col min="6135" max="6135" width="2.5703125" style="1" customWidth="1"/>
    <col min="6136" max="6136" width="3.28515625" style="1" customWidth="1"/>
    <col min="6137" max="6137" width="18.7109375" style="1" customWidth="1"/>
    <col min="6138" max="6138" width="3" style="1" customWidth="1"/>
    <col min="6139" max="6139" width="15.42578125" style="1" customWidth="1"/>
    <col min="6140" max="6382" width="9.140625" style="1"/>
    <col min="6383" max="6383" width="45" style="1" customWidth="1"/>
    <col min="6384" max="6384" width="6.7109375" style="1" customWidth="1"/>
    <col min="6385" max="6386" width="2.85546875" style="1" customWidth="1"/>
    <col min="6387" max="6387" width="22.28515625" style="1" customWidth="1"/>
    <col min="6388" max="6388" width="2.85546875" style="1" customWidth="1"/>
    <col min="6389" max="6389" width="2.5703125" style="1" customWidth="1"/>
    <col min="6390" max="6390" width="19.85546875" style="1" customWidth="1"/>
    <col min="6391" max="6391" width="2.5703125" style="1" customWidth="1"/>
    <col min="6392" max="6392" width="3.28515625" style="1" customWidth="1"/>
    <col min="6393" max="6393" width="18.7109375" style="1" customWidth="1"/>
    <col min="6394" max="6394" width="3" style="1" customWidth="1"/>
    <col min="6395" max="6395" width="15.42578125" style="1" customWidth="1"/>
    <col min="6396" max="6638" width="9.140625" style="1"/>
    <col min="6639" max="6639" width="45" style="1" customWidth="1"/>
    <col min="6640" max="6640" width="6.7109375" style="1" customWidth="1"/>
    <col min="6641" max="6642" width="2.85546875" style="1" customWidth="1"/>
    <col min="6643" max="6643" width="22.28515625" style="1" customWidth="1"/>
    <col min="6644" max="6644" width="2.85546875" style="1" customWidth="1"/>
    <col min="6645" max="6645" width="2.5703125" style="1" customWidth="1"/>
    <col min="6646" max="6646" width="19.85546875" style="1" customWidth="1"/>
    <col min="6647" max="6647" width="2.5703125" style="1" customWidth="1"/>
    <col min="6648" max="6648" width="3.28515625" style="1" customWidth="1"/>
    <col min="6649" max="6649" width="18.7109375" style="1" customWidth="1"/>
    <col min="6650" max="6650" width="3" style="1" customWidth="1"/>
    <col min="6651" max="6651" width="15.42578125" style="1" customWidth="1"/>
    <col min="6652" max="6894" width="9.140625" style="1"/>
    <col min="6895" max="6895" width="45" style="1" customWidth="1"/>
    <col min="6896" max="6896" width="6.7109375" style="1" customWidth="1"/>
    <col min="6897" max="6898" width="2.85546875" style="1" customWidth="1"/>
    <col min="6899" max="6899" width="22.28515625" style="1" customWidth="1"/>
    <col min="6900" max="6900" width="2.85546875" style="1" customWidth="1"/>
    <col min="6901" max="6901" width="2.5703125" style="1" customWidth="1"/>
    <col min="6902" max="6902" width="19.85546875" style="1" customWidth="1"/>
    <col min="6903" max="6903" width="2.5703125" style="1" customWidth="1"/>
    <col min="6904" max="6904" width="3.28515625" style="1" customWidth="1"/>
    <col min="6905" max="6905" width="18.7109375" style="1" customWidth="1"/>
    <col min="6906" max="6906" width="3" style="1" customWidth="1"/>
    <col min="6907" max="6907" width="15.42578125" style="1" customWidth="1"/>
    <col min="6908" max="7150" width="9.140625" style="1"/>
    <col min="7151" max="7151" width="45" style="1" customWidth="1"/>
    <col min="7152" max="7152" width="6.7109375" style="1" customWidth="1"/>
    <col min="7153" max="7154" width="2.85546875" style="1" customWidth="1"/>
    <col min="7155" max="7155" width="22.28515625" style="1" customWidth="1"/>
    <col min="7156" max="7156" width="2.85546875" style="1" customWidth="1"/>
    <col min="7157" max="7157" width="2.5703125" style="1" customWidth="1"/>
    <col min="7158" max="7158" width="19.85546875" style="1" customWidth="1"/>
    <col min="7159" max="7159" width="2.5703125" style="1" customWidth="1"/>
    <col min="7160" max="7160" width="3.28515625" style="1" customWidth="1"/>
    <col min="7161" max="7161" width="18.7109375" style="1" customWidth="1"/>
    <col min="7162" max="7162" width="3" style="1" customWidth="1"/>
    <col min="7163" max="7163" width="15.42578125" style="1" customWidth="1"/>
    <col min="7164" max="7406" width="9.140625" style="1"/>
    <col min="7407" max="7407" width="45" style="1" customWidth="1"/>
    <col min="7408" max="7408" width="6.7109375" style="1" customWidth="1"/>
    <col min="7409" max="7410" width="2.85546875" style="1" customWidth="1"/>
    <col min="7411" max="7411" width="22.28515625" style="1" customWidth="1"/>
    <col min="7412" max="7412" width="2.85546875" style="1" customWidth="1"/>
    <col min="7413" max="7413" width="2.5703125" style="1" customWidth="1"/>
    <col min="7414" max="7414" width="19.85546875" style="1" customWidth="1"/>
    <col min="7415" max="7415" width="2.5703125" style="1" customWidth="1"/>
    <col min="7416" max="7416" width="3.28515625" style="1" customWidth="1"/>
    <col min="7417" max="7417" width="18.7109375" style="1" customWidth="1"/>
    <col min="7418" max="7418" width="3" style="1" customWidth="1"/>
    <col min="7419" max="7419" width="15.42578125" style="1" customWidth="1"/>
    <col min="7420" max="7662" width="9.140625" style="1"/>
    <col min="7663" max="7663" width="45" style="1" customWidth="1"/>
    <col min="7664" max="7664" width="6.7109375" style="1" customWidth="1"/>
    <col min="7665" max="7666" width="2.85546875" style="1" customWidth="1"/>
    <col min="7667" max="7667" width="22.28515625" style="1" customWidth="1"/>
    <col min="7668" max="7668" width="2.85546875" style="1" customWidth="1"/>
    <col min="7669" max="7669" width="2.5703125" style="1" customWidth="1"/>
    <col min="7670" max="7670" width="19.85546875" style="1" customWidth="1"/>
    <col min="7671" max="7671" width="2.5703125" style="1" customWidth="1"/>
    <col min="7672" max="7672" width="3.28515625" style="1" customWidth="1"/>
    <col min="7673" max="7673" width="18.7109375" style="1" customWidth="1"/>
    <col min="7674" max="7674" width="3" style="1" customWidth="1"/>
    <col min="7675" max="7675" width="15.42578125" style="1" customWidth="1"/>
    <col min="7676" max="7918" width="9.140625" style="1"/>
    <col min="7919" max="7919" width="45" style="1" customWidth="1"/>
    <col min="7920" max="7920" width="6.7109375" style="1" customWidth="1"/>
    <col min="7921" max="7922" width="2.85546875" style="1" customWidth="1"/>
    <col min="7923" max="7923" width="22.28515625" style="1" customWidth="1"/>
    <col min="7924" max="7924" width="2.85546875" style="1" customWidth="1"/>
    <col min="7925" max="7925" width="2.5703125" style="1" customWidth="1"/>
    <col min="7926" max="7926" width="19.85546875" style="1" customWidth="1"/>
    <col min="7927" max="7927" width="2.5703125" style="1" customWidth="1"/>
    <col min="7928" max="7928" width="3.28515625" style="1" customWidth="1"/>
    <col min="7929" max="7929" width="18.7109375" style="1" customWidth="1"/>
    <col min="7930" max="7930" width="3" style="1" customWidth="1"/>
    <col min="7931" max="7931" width="15.42578125" style="1" customWidth="1"/>
    <col min="7932" max="8174" width="9.140625" style="1"/>
    <col min="8175" max="8175" width="45" style="1" customWidth="1"/>
    <col min="8176" max="8176" width="6.7109375" style="1" customWidth="1"/>
    <col min="8177" max="8178" width="2.85546875" style="1" customWidth="1"/>
    <col min="8179" max="8179" width="22.28515625" style="1" customWidth="1"/>
    <col min="8180" max="8180" width="2.85546875" style="1" customWidth="1"/>
    <col min="8181" max="8181" width="2.5703125" style="1" customWidth="1"/>
    <col min="8182" max="8182" width="19.85546875" style="1" customWidth="1"/>
    <col min="8183" max="8183" width="2.5703125" style="1" customWidth="1"/>
    <col min="8184" max="8184" width="3.28515625" style="1" customWidth="1"/>
    <col min="8185" max="8185" width="18.7109375" style="1" customWidth="1"/>
    <col min="8186" max="8186" width="3" style="1" customWidth="1"/>
    <col min="8187" max="8187" width="15.42578125" style="1" customWidth="1"/>
    <col min="8188" max="8430" width="9.140625" style="1"/>
    <col min="8431" max="8431" width="45" style="1" customWidth="1"/>
    <col min="8432" max="8432" width="6.7109375" style="1" customWidth="1"/>
    <col min="8433" max="8434" width="2.85546875" style="1" customWidth="1"/>
    <col min="8435" max="8435" width="22.28515625" style="1" customWidth="1"/>
    <col min="8436" max="8436" width="2.85546875" style="1" customWidth="1"/>
    <col min="8437" max="8437" width="2.5703125" style="1" customWidth="1"/>
    <col min="8438" max="8438" width="19.85546875" style="1" customWidth="1"/>
    <col min="8439" max="8439" width="2.5703125" style="1" customWidth="1"/>
    <col min="8440" max="8440" width="3.28515625" style="1" customWidth="1"/>
    <col min="8441" max="8441" width="18.7109375" style="1" customWidth="1"/>
    <col min="8442" max="8442" width="3" style="1" customWidth="1"/>
    <col min="8443" max="8443" width="15.42578125" style="1" customWidth="1"/>
    <col min="8444" max="8686" width="9.140625" style="1"/>
    <col min="8687" max="8687" width="45" style="1" customWidth="1"/>
    <col min="8688" max="8688" width="6.7109375" style="1" customWidth="1"/>
    <col min="8689" max="8690" width="2.85546875" style="1" customWidth="1"/>
    <col min="8691" max="8691" width="22.28515625" style="1" customWidth="1"/>
    <col min="8692" max="8692" width="2.85546875" style="1" customWidth="1"/>
    <col min="8693" max="8693" width="2.5703125" style="1" customWidth="1"/>
    <col min="8694" max="8694" width="19.85546875" style="1" customWidth="1"/>
    <col min="8695" max="8695" width="2.5703125" style="1" customWidth="1"/>
    <col min="8696" max="8696" width="3.28515625" style="1" customWidth="1"/>
    <col min="8697" max="8697" width="18.7109375" style="1" customWidth="1"/>
    <col min="8698" max="8698" width="3" style="1" customWidth="1"/>
    <col min="8699" max="8699" width="15.42578125" style="1" customWidth="1"/>
    <col min="8700" max="8942" width="9.140625" style="1"/>
    <col min="8943" max="8943" width="45" style="1" customWidth="1"/>
    <col min="8944" max="8944" width="6.7109375" style="1" customWidth="1"/>
    <col min="8945" max="8946" width="2.85546875" style="1" customWidth="1"/>
    <col min="8947" max="8947" width="22.28515625" style="1" customWidth="1"/>
    <col min="8948" max="8948" width="2.85546875" style="1" customWidth="1"/>
    <col min="8949" max="8949" width="2.5703125" style="1" customWidth="1"/>
    <col min="8950" max="8950" width="19.85546875" style="1" customWidth="1"/>
    <col min="8951" max="8951" width="2.5703125" style="1" customWidth="1"/>
    <col min="8952" max="8952" width="3.28515625" style="1" customWidth="1"/>
    <col min="8953" max="8953" width="18.7109375" style="1" customWidth="1"/>
    <col min="8954" max="8954" width="3" style="1" customWidth="1"/>
    <col min="8955" max="8955" width="15.42578125" style="1" customWidth="1"/>
    <col min="8956" max="9198" width="9.140625" style="1"/>
    <col min="9199" max="9199" width="45" style="1" customWidth="1"/>
    <col min="9200" max="9200" width="6.7109375" style="1" customWidth="1"/>
    <col min="9201" max="9202" width="2.85546875" style="1" customWidth="1"/>
    <col min="9203" max="9203" width="22.28515625" style="1" customWidth="1"/>
    <col min="9204" max="9204" width="2.85546875" style="1" customWidth="1"/>
    <col min="9205" max="9205" width="2.5703125" style="1" customWidth="1"/>
    <col min="9206" max="9206" width="19.85546875" style="1" customWidth="1"/>
    <col min="9207" max="9207" width="2.5703125" style="1" customWidth="1"/>
    <col min="9208" max="9208" width="3.28515625" style="1" customWidth="1"/>
    <col min="9209" max="9209" width="18.7109375" style="1" customWidth="1"/>
    <col min="9210" max="9210" width="3" style="1" customWidth="1"/>
    <col min="9211" max="9211" width="15.42578125" style="1" customWidth="1"/>
    <col min="9212" max="9454" width="9.140625" style="1"/>
    <col min="9455" max="9455" width="45" style="1" customWidth="1"/>
    <col min="9456" max="9456" width="6.7109375" style="1" customWidth="1"/>
    <col min="9457" max="9458" width="2.85546875" style="1" customWidth="1"/>
    <col min="9459" max="9459" width="22.28515625" style="1" customWidth="1"/>
    <col min="9460" max="9460" width="2.85546875" style="1" customWidth="1"/>
    <col min="9461" max="9461" width="2.5703125" style="1" customWidth="1"/>
    <col min="9462" max="9462" width="19.85546875" style="1" customWidth="1"/>
    <col min="9463" max="9463" width="2.5703125" style="1" customWidth="1"/>
    <col min="9464" max="9464" width="3.28515625" style="1" customWidth="1"/>
    <col min="9465" max="9465" width="18.7109375" style="1" customWidth="1"/>
    <col min="9466" max="9466" width="3" style="1" customWidth="1"/>
    <col min="9467" max="9467" width="15.42578125" style="1" customWidth="1"/>
    <col min="9468" max="9710" width="9.140625" style="1"/>
    <col min="9711" max="9711" width="45" style="1" customWidth="1"/>
    <col min="9712" max="9712" width="6.7109375" style="1" customWidth="1"/>
    <col min="9713" max="9714" width="2.85546875" style="1" customWidth="1"/>
    <col min="9715" max="9715" width="22.28515625" style="1" customWidth="1"/>
    <col min="9716" max="9716" width="2.85546875" style="1" customWidth="1"/>
    <col min="9717" max="9717" width="2.5703125" style="1" customWidth="1"/>
    <col min="9718" max="9718" width="19.85546875" style="1" customWidth="1"/>
    <col min="9719" max="9719" width="2.5703125" style="1" customWidth="1"/>
    <col min="9720" max="9720" width="3.28515625" style="1" customWidth="1"/>
    <col min="9721" max="9721" width="18.7109375" style="1" customWidth="1"/>
    <col min="9722" max="9722" width="3" style="1" customWidth="1"/>
    <col min="9723" max="9723" width="15.42578125" style="1" customWidth="1"/>
    <col min="9724" max="9966" width="9.140625" style="1"/>
    <col min="9967" max="9967" width="45" style="1" customWidth="1"/>
    <col min="9968" max="9968" width="6.7109375" style="1" customWidth="1"/>
    <col min="9969" max="9970" width="2.85546875" style="1" customWidth="1"/>
    <col min="9971" max="9971" width="22.28515625" style="1" customWidth="1"/>
    <col min="9972" max="9972" width="2.85546875" style="1" customWidth="1"/>
    <col min="9973" max="9973" width="2.5703125" style="1" customWidth="1"/>
    <col min="9974" max="9974" width="19.85546875" style="1" customWidth="1"/>
    <col min="9975" max="9975" width="2.5703125" style="1" customWidth="1"/>
    <col min="9976" max="9976" width="3.28515625" style="1" customWidth="1"/>
    <col min="9977" max="9977" width="18.7109375" style="1" customWidth="1"/>
    <col min="9978" max="9978" width="3" style="1" customWidth="1"/>
    <col min="9979" max="9979" width="15.42578125" style="1" customWidth="1"/>
    <col min="9980" max="10222" width="9.140625" style="1"/>
    <col min="10223" max="10223" width="45" style="1" customWidth="1"/>
    <col min="10224" max="10224" width="6.7109375" style="1" customWidth="1"/>
    <col min="10225" max="10226" width="2.85546875" style="1" customWidth="1"/>
    <col min="10227" max="10227" width="22.28515625" style="1" customWidth="1"/>
    <col min="10228" max="10228" width="2.85546875" style="1" customWidth="1"/>
    <col min="10229" max="10229" width="2.5703125" style="1" customWidth="1"/>
    <col min="10230" max="10230" width="19.85546875" style="1" customWidth="1"/>
    <col min="10231" max="10231" width="2.5703125" style="1" customWidth="1"/>
    <col min="10232" max="10232" width="3.28515625" style="1" customWidth="1"/>
    <col min="10233" max="10233" width="18.7109375" style="1" customWidth="1"/>
    <col min="10234" max="10234" width="3" style="1" customWidth="1"/>
    <col min="10235" max="10235" width="15.42578125" style="1" customWidth="1"/>
    <col min="10236" max="10478" width="9.140625" style="1"/>
    <col min="10479" max="10479" width="45" style="1" customWidth="1"/>
    <col min="10480" max="10480" width="6.7109375" style="1" customWidth="1"/>
    <col min="10481" max="10482" width="2.85546875" style="1" customWidth="1"/>
    <col min="10483" max="10483" width="22.28515625" style="1" customWidth="1"/>
    <col min="10484" max="10484" width="2.85546875" style="1" customWidth="1"/>
    <col min="10485" max="10485" width="2.5703125" style="1" customWidth="1"/>
    <col min="10486" max="10486" width="19.85546875" style="1" customWidth="1"/>
    <col min="10487" max="10487" width="2.5703125" style="1" customWidth="1"/>
    <col min="10488" max="10488" width="3.28515625" style="1" customWidth="1"/>
    <col min="10489" max="10489" width="18.7109375" style="1" customWidth="1"/>
    <col min="10490" max="10490" width="3" style="1" customWidth="1"/>
    <col min="10491" max="10491" width="15.42578125" style="1" customWidth="1"/>
    <col min="10492" max="10734" width="9.140625" style="1"/>
    <col min="10735" max="10735" width="45" style="1" customWidth="1"/>
    <col min="10736" max="10736" width="6.7109375" style="1" customWidth="1"/>
    <col min="10737" max="10738" width="2.85546875" style="1" customWidth="1"/>
    <col min="10739" max="10739" width="22.28515625" style="1" customWidth="1"/>
    <col min="10740" max="10740" width="2.85546875" style="1" customWidth="1"/>
    <col min="10741" max="10741" width="2.5703125" style="1" customWidth="1"/>
    <col min="10742" max="10742" width="19.85546875" style="1" customWidth="1"/>
    <col min="10743" max="10743" width="2.5703125" style="1" customWidth="1"/>
    <col min="10744" max="10744" width="3.28515625" style="1" customWidth="1"/>
    <col min="10745" max="10745" width="18.7109375" style="1" customWidth="1"/>
    <col min="10746" max="10746" width="3" style="1" customWidth="1"/>
    <col min="10747" max="10747" width="15.42578125" style="1" customWidth="1"/>
    <col min="10748" max="10990" width="9.140625" style="1"/>
    <col min="10991" max="10991" width="45" style="1" customWidth="1"/>
    <col min="10992" max="10992" width="6.7109375" style="1" customWidth="1"/>
    <col min="10993" max="10994" width="2.85546875" style="1" customWidth="1"/>
    <col min="10995" max="10995" width="22.28515625" style="1" customWidth="1"/>
    <col min="10996" max="10996" width="2.85546875" style="1" customWidth="1"/>
    <col min="10997" max="10997" width="2.5703125" style="1" customWidth="1"/>
    <col min="10998" max="10998" width="19.85546875" style="1" customWidth="1"/>
    <col min="10999" max="10999" width="2.5703125" style="1" customWidth="1"/>
    <col min="11000" max="11000" width="3.28515625" style="1" customWidth="1"/>
    <col min="11001" max="11001" width="18.7109375" style="1" customWidth="1"/>
    <col min="11002" max="11002" width="3" style="1" customWidth="1"/>
    <col min="11003" max="11003" width="15.42578125" style="1" customWidth="1"/>
    <col min="11004" max="11246" width="9.140625" style="1"/>
    <col min="11247" max="11247" width="45" style="1" customWidth="1"/>
    <col min="11248" max="11248" width="6.7109375" style="1" customWidth="1"/>
    <col min="11249" max="11250" width="2.85546875" style="1" customWidth="1"/>
    <col min="11251" max="11251" width="22.28515625" style="1" customWidth="1"/>
    <col min="11252" max="11252" width="2.85546875" style="1" customWidth="1"/>
    <col min="11253" max="11253" width="2.5703125" style="1" customWidth="1"/>
    <col min="11254" max="11254" width="19.85546875" style="1" customWidth="1"/>
    <col min="11255" max="11255" width="2.5703125" style="1" customWidth="1"/>
    <col min="11256" max="11256" width="3.28515625" style="1" customWidth="1"/>
    <col min="11257" max="11257" width="18.7109375" style="1" customWidth="1"/>
    <col min="11258" max="11258" width="3" style="1" customWidth="1"/>
    <col min="11259" max="11259" width="15.42578125" style="1" customWidth="1"/>
    <col min="11260" max="11502" width="9.140625" style="1"/>
    <col min="11503" max="11503" width="45" style="1" customWidth="1"/>
    <col min="11504" max="11504" width="6.7109375" style="1" customWidth="1"/>
    <col min="11505" max="11506" width="2.85546875" style="1" customWidth="1"/>
    <col min="11507" max="11507" width="22.28515625" style="1" customWidth="1"/>
    <col min="11508" max="11508" width="2.85546875" style="1" customWidth="1"/>
    <col min="11509" max="11509" width="2.5703125" style="1" customWidth="1"/>
    <col min="11510" max="11510" width="19.85546875" style="1" customWidth="1"/>
    <col min="11511" max="11511" width="2.5703125" style="1" customWidth="1"/>
    <col min="11512" max="11512" width="3.28515625" style="1" customWidth="1"/>
    <col min="11513" max="11513" width="18.7109375" style="1" customWidth="1"/>
    <col min="11514" max="11514" width="3" style="1" customWidth="1"/>
    <col min="11515" max="11515" width="15.42578125" style="1" customWidth="1"/>
    <col min="11516" max="11758" width="9.140625" style="1"/>
    <col min="11759" max="11759" width="45" style="1" customWidth="1"/>
    <col min="11760" max="11760" width="6.7109375" style="1" customWidth="1"/>
    <col min="11761" max="11762" width="2.85546875" style="1" customWidth="1"/>
    <col min="11763" max="11763" width="22.28515625" style="1" customWidth="1"/>
    <col min="11764" max="11764" width="2.85546875" style="1" customWidth="1"/>
    <col min="11765" max="11765" width="2.5703125" style="1" customWidth="1"/>
    <col min="11766" max="11766" width="19.85546875" style="1" customWidth="1"/>
    <col min="11767" max="11767" width="2.5703125" style="1" customWidth="1"/>
    <col min="11768" max="11768" width="3.28515625" style="1" customWidth="1"/>
    <col min="11769" max="11769" width="18.7109375" style="1" customWidth="1"/>
    <col min="11770" max="11770" width="3" style="1" customWidth="1"/>
    <col min="11771" max="11771" width="15.42578125" style="1" customWidth="1"/>
    <col min="11772" max="12014" width="9.140625" style="1"/>
    <col min="12015" max="12015" width="45" style="1" customWidth="1"/>
    <col min="12016" max="12016" width="6.7109375" style="1" customWidth="1"/>
    <col min="12017" max="12018" width="2.85546875" style="1" customWidth="1"/>
    <col min="12019" max="12019" width="22.28515625" style="1" customWidth="1"/>
    <col min="12020" max="12020" width="2.85546875" style="1" customWidth="1"/>
    <col min="12021" max="12021" width="2.5703125" style="1" customWidth="1"/>
    <col min="12022" max="12022" width="19.85546875" style="1" customWidth="1"/>
    <col min="12023" max="12023" width="2.5703125" style="1" customWidth="1"/>
    <col min="12024" max="12024" width="3.28515625" style="1" customWidth="1"/>
    <col min="12025" max="12025" width="18.7109375" style="1" customWidth="1"/>
    <col min="12026" max="12026" width="3" style="1" customWidth="1"/>
    <col min="12027" max="12027" width="15.42578125" style="1" customWidth="1"/>
    <col min="12028" max="12270" width="9.140625" style="1"/>
    <col min="12271" max="12271" width="45" style="1" customWidth="1"/>
    <col min="12272" max="12272" width="6.7109375" style="1" customWidth="1"/>
    <col min="12273" max="12274" width="2.85546875" style="1" customWidth="1"/>
    <col min="12275" max="12275" width="22.28515625" style="1" customWidth="1"/>
    <col min="12276" max="12276" width="2.85546875" style="1" customWidth="1"/>
    <col min="12277" max="12277" width="2.5703125" style="1" customWidth="1"/>
    <col min="12278" max="12278" width="19.85546875" style="1" customWidth="1"/>
    <col min="12279" max="12279" width="2.5703125" style="1" customWidth="1"/>
    <col min="12280" max="12280" width="3.28515625" style="1" customWidth="1"/>
    <col min="12281" max="12281" width="18.7109375" style="1" customWidth="1"/>
    <col min="12282" max="12282" width="3" style="1" customWidth="1"/>
    <col min="12283" max="12283" width="15.42578125" style="1" customWidth="1"/>
    <col min="12284" max="12526" width="9.140625" style="1"/>
    <col min="12527" max="12527" width="45" style="1" customWidth="1"/>
    <col min="12528" max="12528" width="6.7109375" style="1" customWidth="1"/>
    <col min="12529" max="12530" width="2.85546875" style="1" customWidth="1"/>
    <col min="12531" max="12531" width="22.28515625" style="1" customWidth="1"/>
    <col min="12532" max="12532" width="2.85546875" style="1" customWidth="1"/>
    <col min="12533" max="12533" width="2.5703125" style="1" customWidth="1"/>
    <col min="12534" max="12534" width="19.85546875" style="1" customWidth="1"/>
    <col min="12535" max="12535" width="2.5703125" style="1" customWidth="1"/>
    <col min="12536" max="12536" width="3.28515625" style="1" customWidth="1"/>
    <col min="12537" max="12537" width="18.7109375" style="1" customWidth="1"/>
    <col min="12538" max="12538" width="3" style="1" customWidth="1"/>
    <col min="12539" max="12539" width="15.42578125" style="1" customWidth="1"/>
    <col min="12540" max="12782" width="9.140625" style="1"/>
    <col min="12783" max="12783" width="45" style="1" customWidth="1"/>
    <col min="12784" max="12784" width="6.7109375" style="1" customWidth="1"/>
    <col min="12785" max="12786" width="2.85546875" style="1" customWidth="1"/>
    <col min="12787" max="12787" width="22.28515625" style="1" customWidth="1"/>
    <col min="12788" max="12788" width="2.85546875" style="1" customWidth="1"/>
    <col min="12789" max="12789" width="2.5703125" style="1" customWidth="1"/>
    <col min="12790" max="12790" width="19.85546875" style="1" customWidth="1"/>
    <col min="12791" max="12791" width="2.5703125" style="1" customWidth="1"/>
    <col min="12792" max="12792" width="3.28515625" style="1" customWidth="1"/>
    <col min="12793" max="12793" width="18.7109375" style="1" customWidth="1"/>
    <col min="12794" max="12794" width="3" style="1" customWidth="1"/>
    <col min="12795" max="12795" width="15.42578125" style="1" customWidth="1"/>
    <col min="12796" max="13038" width="9.140625" style="1"/>
    <col min="13039" max="13039" width="45" style="1" customWidth="1"/>
    <col min="13040" max="13040" width="6.7109375" style="1" customWidth="1"/>
    <col min="13041" max="13042" width="2.85546875" style="1" customWidth="1"/>
    <col min="13043" max="13043" width="22.28515625" style="1" customWidth="1"/>
    <col min="13044" max="13044" width="2.85546875" style="1" customWidth="1"/>
    <col min="13045" max="13045" width="2.5703125" style="1" customWidth="1"/>
    <col min="13046" max="13046" width="19.85546875" style="1" customWidth="1"/>
    <col min="13047" max="13047" width="2.5703125" style="1" customWidth="1"/>
    <col min="13048" max="13048" width="3.28515625" style="1" customWidth="1"/>
    <col min="13049" max="13049" width="18.7109375" style="1" customWidth="1"/>
    <col min="13050" max="13050" width="3" style="1" customWidth="1"/>
    <col min="13051" max="13051" width="15.42578125" style="1" customWidth="1"/>
    <col min="13052" max="13294" width="9.140625" style="1"/>
    <col min="13295" max="13295" width="45" style="1" customWidth="1"/>
    <col min="13296" max="13296" width="6.7109375" style="1" customWidth="1"/>
    <col min="13297" max="13298" width="2.85546875" style="1" customWidth="1"/>
    <col min="13299" max="13299" width="22.28515625" style="1" customWidth="1"/>
    <col min="13300" max="13300" width="2.85546875" style="1" customWidth="1"/>
    <col min="13301" max="13301" width="2.5703125" style="1" customWidth="1"/>
    <col min="13302" max="13302" width="19.85546875" style="1" customWidth="1"/>
    <col min="13303" max="13303" width="2.5703125" style="1" customWidth="1"/>
    <col min="13304" max="13304" width="3.28515625" style="1" customWidth="1"/>
    <col min="13305" max="13305" width="18.7109375" style="1" customWidth="1"/>
    <col min="13306" max="13306" width="3" style="1" customWidth="1"/>
    <col min="13307" max="13307" width="15.42578125" style="1" customWidth="1"/>
    <col min="13308" max="13550" width="9.140625" style="1"/>
    <col min="13551" max="13551" width="45" style="1" customWidth="1"/>
    <col min="13552" max="13552" width="6.7109375" style="1" customWidth="1"/>
    <col min="13553" max="13554" width="2.85546875" style="1" customWidth="1"/>
    <col min="13555" max="13555" width="22.28515625" style="1" customWidth="1"/>
    <col min="13556" max="13556" width="2.85546875" style="1" customWidth="1"/>
    <col min="13557" max="13557" width="2.5703125" style="1" customWidth="1"/>
    <col min="13558" max="13558" width="19.85546875" style="1" customWidth="1"/>
    <col min="13559" max="13559" width="2.5703125" style="1" customWidth="1"/>
    <col min="13560" max="13560" width="3.28515625" style="1" customWidth="1"/>
    <col min="13561" max="13561" width="18.7109375" style="1" customWidth="1"/>
    <col min="13562" max="13562" width="3" style="1" customWidth="1"/>
    <col min="13563" max="13563" width="15.42578125" style="1" customWidth="1"/>
    <col min="13564" max="13806" width="9.140625" style="1"/>
    <col min="13807" max="13807" width="45" style="1" customWidth="1"/>
    <col min="13808" max="13808" width="6.7109375" style="1" customWidth="1"/>
    <col min="13809" max="13810" width="2.85546875" style="1" customWidth="1"/>
    <col min="13811" max="13811" width="22.28515625" style="1" customWidth="1"/>
    <col min="13812" max="13812" width="2.85546875" style="1" customWidth="1"/>
    <col min="13813" max="13813" width="2.5703125" style="1" customWidth="1"/>
    <col min="13814" max="13814" width="19.85546875" style="1" customWidth="1"/>
    <col min="13815" max="13815" width="2.5703125" style="1" customWidth="1"/>
    <col min="13816" max="13816" width="3.28515625" style="1" customWidth="1"/>
    <col min="13817" max="13817" width="18.7109375" style="1" customWidth="1"/>
    <col min="13818" max="13818" width="3" style="1" customWidth="1"/>
    <col min="13819" max="13819" width="15.42578125" style="1" customWidth="1"/>
    <col min="13820" max="14062" width="9.140625" style="1"/>
    <col min="14063" max="14063" width="45" style="1" customWidth="1"/>
    <col min="14064" max="14064" width="6.7109375" style="1" customWidth="1"/>
    <col min="14065" max="14066" width="2.85546875" style="1" customWidth="1"/>
    <col min="14067" max="14067" width="22.28515625" style="1" customWidth="1"/>
    <col min="14068" max="14068" width="2.85546875" style="1" customWidth="1"/>
    <col min="14069" max="14069" width="2.5703125" style="1" customWidth="1"/>
    <col min="14070" max="14070" width="19.85546875" style="1" customWidth="1"/>
    <col min="14071" max="14071" width="2.5703125" style="1" customWidth="1"/>
    <col min="14072" max="14072" width="3.28515625" style="1" customWidth="1"/>
    <col min="14073" max="14073" width="18.7109375" style="1" customWidth="1"/>
    <col min="14074" max="14074" width="3" style="1" customWidth="1"/>
    <col min="14075" max="14075" width="15.42578125" style="1" customWidth="1"/>
    <col min="14076" max="14318" width="9.140625" style="1"/>
    <col min="14319" max="14319" width="45" style="1" customWidth="1"/>
    <col min="14320" max="14320" width="6.7109375" style="1" customWidth="1"/>
    <col min="14321" max="14322" width="2.85546875" style="1" customWidth="1"/>
    <col min="14323" max="14323" width="22.28515625" style="1" customWidth="1"/>
    <col min="14324" max="14324" width="2.85546875" style="1" customWidth="1"/>
    <col min="14325" max="14325" width="2.5703125" style="1" customWidth="1"/>
    <col min="14326" max="14326" width="19.85546875" style="1" customWidth="1"/>
    <col min="14327" max="14327" width="2.5703125" style="1" customWidth="1"/>
    <col min="14328" max="14328" width="3.28515625" style="1" customWidth="1"/>
    <col min="14329" max="14329" width="18.7109375" style="1" customWidth="1"/>
    <col min="14330" max="14330" width="3" style="1" customWidth="1"/>
    <col min="14331" max="14331" width="15.42578125" style="1" customWidth="1"/>
    <col min="14332" max="14574" width="9.140625" style="1"/>
    <col min="14575" max="14575" width="45" style="1" customWidth="1"/>
    <col min="14576" max="14576" width="6.7109375" style="1" customWidth="1"/>
    <col min="14577" max="14578" width="2.85546875" style="1" customWidth="1"/>
    <col min="14579" max="14579" width="22.28515625" style="1" customWidth="1"/>
    <col min="14580" max="14580" width="2.85546875" style="1" customWidth="1"/>
    <col min="14581" max="14581" width="2.5703125" style="1" customWidth="1"/>
    <col min="14582" max="14582" width="19.85546875" style="1" customWidth="1"/>
    <col min="14583" max="14583" width="2.5703125" style="1" customWidth="1"/>
    <col min="14584" max="14584" width="3.28515625" style="1" customWidth="1"/>
    <col min="14585" max="14585" width="18.7109375" style="1" customWidth="1"/>
    <col min="14586" max="14586" width="3" style="1" customWidth="1"/>
    <col min="14587" max="14587" width="15.42578125" style="1" customWidth="1"/>
    <col min="14588" max="14830" width="9.140625" style="1"/>
    <col min="14831" max="14831" width="45" style="1" customWidth="1"/>
    <col min="14832" max="14832" width="6.7109375" style="1" customWidth="1"/>
    <col min="14833" max="14834" width="2.85546875" style="1" customWidth="1"/>
    <col min="14835" max="14835" width="22.28515625" style="1" customWidth="1"/>
    <col min="14836" max="14836" width="2.85546875" style="1" customWidth="1"/>
    <col min="14837" max="14837" width="2.5703125" style="1" customWidth="1"/>
    <col min="14838" max="14838" width="19.85546875" style="1" customWidth="1"/>
    <col min="14839" max="14839" width="2.5703125" style="1" customWidth="1"/>
    <col min="14840" max="14840" width="3.28515625" style="1" customWidth="1"/>
    <col min="14841" max="14841" width="18.7109375" style="1" customWidth="1"/>
    <col min="14842" max="14842" width="3" style="1" customWidth="1"/>
    <col min="14843" max="14843" width="15.42578125" style="1" customWidth="1"/>
    <col min="14844" max="15086" width="9.140625" style="1"/>
    <col min="15087" max="15087" width="45" style="1" customWidth="1"/>
    <col min="15088" max="15088" width="6.7109375" style="1" customWidth="1"/>
    <col min="15089" max="15090" width="2.85546875" style="1" customWidth="1"/>
    <col min="15091" max="15091" width="22.28515625" style="1" customWidth="1"/>
    <col min="15092" max="15092" width="2.85546875" style="1" customWidth="1"/>
    <col min="15093" max="15093" width="2.5703125" style="1" customWidth="1"/>
    <col min="15094" max="15094" width="19.85546875" style="1" customWidth="1"/>
    <col min="15095" max="15095" width="2.5703125" style="1" customWidth="1"/>
    <col min="15096" max="15096" width="3.28515625" style="1" customWidth="1"/>
    <col min="15097" max="15097" width="18.7109375" style="1" customWidth="1"/>
    <col min="15098" max="15098" width="3" style="1" customWidth="1"/>
    <col min="15099" max="15099" width="15.42578125" style="1" customWidth="1"/>
    <col min="15100" max="15342" width="9.140625" style="1"/>
    <col min="15343" max="15343" width="45" style="1" customWidth="1"/>
    <col min="15344" max="15344" width="6.7109375" style="1" customWidth="1"/>
    <col min="15345" max="15346" width="2.85546875" style="1" customWidth="1"/>
    <col min="15347" max="15347" width="22.28515625" style="1" customWidth="1"/>
    <col min="15348" max="15348" width="2.85546875" style="1" customWidth="1"/>
    <col min="15349" max="15349" width="2.5703125" style="1" customWidth="1"/>
    <col min="15350" max="15350" width="19.85546875" style="1" customWidth="1"/>
    <col min="15351" max="15351" width="2.5703125" style="1" customWidth="1"/>
    <col min="15352" max="15352" width="3.28515625" style="1" customWidth="1"/>
    <col min="15353" max="15353" width="18.7109375" style="1" customWidth="1"/>
    <col min="15354" max="15354" width="3" style="1" customWidth="1"/>
    <col min="15355" max="15355" width="15.42578125" style="1" customWidth="1"/>
    <col min="15356" max="15598" width="9.140625" style="1"/>
    <col min="15599" max="15599" width="45" style="1" customWidth="1"/>
    <col min="15600" max="15600" width="6.7109375" style="1" customWidth="1"/>
    <col min="15601" max="15602" width="2.85546875" style="1" customWidth="1"/>
    <col min="15603" max="15603" width="22.28515625" style="1" customWidth="1"/>
    <col min="15604" max="15604" width="2.85546875" style="1" customWidth="1"/>
    <col min="15605" max="15605" width="2.5703125" style="1" customWidth="1"/>
    <col min="15606" max="15606" width="19.85546875" style="1" customWidth="1"/>
    <col min="15607" max="15607" width="2.5703125" style="1" customWidth="1"/>
    <col min="15608" max="15608" width="3.28515625" style="1" customWidth="1"/>
    <col min="15609" max="15609" width="18.7109375" style="1" customWidth="1"/>
    <col min="15610" max="15610" width="3" style="1" customWidth="1"/>
    <col min="15611" max="15611" width="15.42578125" style="1" customWidth="1"/>
    <col min="15612" max="15854" width="9.140625" style="1"/>
    <col min="15855" max="15855" width="45" style="1" customWidth="1"/>
    <col min="15856" max="15856" width="6.7109375" style="1" customWidth="1"/>
    <col min="15857" max="15858" width="2.85546875" style="1" customWidth="1"/>
    <col min="15859" max="15859" width="22.28515625" style="1" customWidth="1"/>
    <col min="15860" max="15860" width="2.85546875" style="1" customWidth="1"/>
    <col min="15861" max="15861" width="2.5703125" style="1" customWidth="1"/>
    <col min="15862" max="15862" width="19.85546875" style="1" customWidth="1"/>
    <col min="15863" max="15863" width="2.5703125" style="1" customWidth="1"/>
    <col min="15864" max="15864" width="3.28515625" style="1" customWidth="1"/>
    <col min="15865" max="15865" width="18.7109375" style="1" customWidth="1"/>
    <col min="15866" max="15866" width="3" style="1" customWidth="1"/>
    <col min="15867" max="15867" width="15.42578125" style="1" customWidth="1"/>
    <col min="15868" max="16110" width="9.140625" style="1"/>
    <col min="16111" max="16111" width="45" style="1" customWidth="1"/>
    <col min="16112" max="16112" width="6.7109375" style="1" customWidth="1"/>
    <col min="16113" max="16114" width="2.85546875" style="1" customWidth="1"/>
    <col min="16115" max="16115" width="22.28515625" style="1" customWidth="1"/>
    <col min="16116" max="16116" width="2.85546875" style="1" customWidth="1"/>
    <col min="16117" max="16117" width="2.5703125" style="1" customWidth="1"/>
    <col min="16118" max="16118" width="19.85546875" style="1" customWidth="1"/>
    <col min="16119" max="16119" width="2.5703125" style="1" customWidth="1"/>
    <col min="16120" max="16120" width="3.28515625" style="1" customWidth="1"/>
    <col min="16121" max="16121" width="18.7109375" style="1" customWidth="1"/>
    <col min="16122" max="16122" width="3" style="1" customWidth="1"/>
    <col min="16123" max="16123" width="15.42578125" style="1" customWidth="1"/>
    <col min="16124" max="16384" width="9.140625" style="1"/>
  </cols>
  <sheetData>
    <row r="1" spans="1:14" ht="15.75" x14ac:dyDescent="0.25">
      <c r="A1" s="975" t="s">
        <v>22</v>
      </c>
      <c r="B1" s="975"/>
      <c r="C1" s="975"/>
      <c r="D1" s="553"/>
      <c r="E1" s="553"/>
      <c r="F1" s="553"/>
      <c r="G1" s="553"/>
      <c r="H1" s="553"/>
      <c r="I1" s="553"/>
    </row>
    <row r="2" spans="1:14" ht="15.75" x14ac:dyDescent="0.25">
      <c r="A2" s="975" t="s">
        <v>2803</v>
      </c>
      <c r="B2" s="975"/>
      <c r="C2" s="975"/>
      <c r="D2" s="553"/>
      <c r="E2" s="553"/>
      <c r="F2" s="553"/>
      <c r="G2" s="553"/>
      <c r="H2" s="553"/>
      <c r="I2" s="553"/>
    </row>
    <row r="3" spans="1:14" x14ac:dyDescent="0.2">
      <c r="A3" s="976" t="s">
        <v>2793</v>
      </c>
      <c r="B3" s="976"/>
      <c r="C3" s="976"/>
      <c r="D3" s="553"/>
      <c r="E3" s="553"/>
      <c r="F3" s="553"/>
      <c r="G3" s="553"/>
      <c r="H3" s="553"/>
      <c r="I3" s="553"/>
    </row>
    <row r="4" spans="1:14" s="11" customFormat="1" ht="17.25" customHeight="1" x14ac:dyDescent="0.25">
      <c r="A4" s="555"/>
      <c r="B4" s="553"/>
      <c r="C4" s="553"/>
      <c r="D4" s="556"/>
      <c r="E4" s="556"/>
      <c r="F4" s="556"/>
      <c r="G4" s="556"/>
      <c r="H4" s="556"/>
      <c r="I4" s="556"/>
    </row>
    <row r="5" spans="1:14" ht="15.75" customHeight="1" thickBot="1" x14ac:dyDescent="0.3">
      <c r="A5" s="557"/>
      <c r="B5" s="957" t="s">
        <v>2804</v>
      </c>
      <c r="C5" s="959" t="s">
        <v>2805</v>
      </c>
      <c r="D5" s="553"/>
      <c r="E5" s="553"/>
      <c r="F5" s="553"/>
      <c r="G5" s="553"/>
      <c r="H5" s="553"/>
      <c r="I5" s="553"/>
    </row>
    <row r="6" spans="1:14" ht="15.75" customHeight="1" x14ac:dyDescent="0.25">
      <c r="A6" s="558"/>
      <c r="B6" s="559"/>
      <c r="C6" s="560"/>
      <c r="D6" s="561" t="s">
        <v>1131</v>
      </c>
      <c r="E6" s="561" t="s">
        <v>1403</v>
      </c>
      <c r="F6" s="561" t="s">
        <v>1131</v>
      </c>
      <c r="G6" s="562" t="s">
        <v>1404</v>
      </c>
      <c r="H6" s="561" t="s">
        <v>1403</v>
      </c>
      <c r="I6" s="562" t="s">
        <v>1404</v>
      </c>
      <c r="J6" s="512" t="s">
        <v>1513</v>
      </c>
      <c r="K6" s="560"/>
    </row>
    <row r="7" spans="1:14" ht="15" customHeight="1" thickBot="1" x14ac:dyDescent="0.3">
      <c r="A7" s="553"/>
      <c r="B7" s="947" t="s">
        <v>2800</v>
      </c>
      <c r="C7" s="563" t="s">
        <v>2798</v>
      </c>
      <c r="D7" s="564"/>
      <c r="E7" s="564"/>
      <c r="F7" s="564" t="s">
        <v>1463</v>
      </c>
      <c r="G7" s="565"/>
      <c r="H7" s="564"/>
      <c r="I7" s="565" t="s">
        <v>1463</v>
      </c>
      <c r="J7" s="513" t="s">
        <v>1519</v>
      </c>
      <c r="K7" s="948" t="s">
        <v>2799</v>
      </c>
    </row>
    <row r="8" spans="1:14" ht="17.25" customHeight="1" x14ac:dyDescent="0.25">
      <c r="A8" s="558"/>
      <c r="B8" s="558"/>
      <c r="C8" s="566"/>
      <c r="D8" s="567"/>
      <c r="E8" s="567"/>
      <c r="F8" s="567"/>
      <c r="G8" s="567"/>
      <c r="H8" s="567"/>
      <c r="I8" s="567"/>
    </row>
    <row r="9" spans="1:14" ht="15.75" x14ac:dyDescent="0.25">
      <c r="A9" s="975" t="s">
        <v>6</v>
      </c>
      <c r="B9" s="975"/>
      <c r="C9" s="975"/>
      <c r="D9" s="553"/>
      <c r="E9" s="553"/>
      <c r="F9" s="553"/>
      <c r="G9" s="553"/>
      <c r="H9" s="553"/>
      <c r="I9" s="553"/>
    </row>
    <row r="10" spans="1:14" ht="15.75" customHeight="1" x14ac:dyDescent="0.25">
      <c r="A10" s="568"/>
      <c r="B10" s="569"/>
      <c r="C10" s="568"/>
      <c r="D10" s="553"/>
      <c r="E10" s="553"/>
      <c r="F10" s="553"/>
      <c r="G10" s="553"/>
      <c r="H10" s="553"/>
      <c r="I10" s="553"/>
    </row>
    <row r="11" spans="1:14" ht="15.75" x14ac:dyDescent="0.25">
      <c r="A11" s="568" t="s">
        <v>0</v>
      </c>
      <c r="B11" s="569"/>
      <c r="C11" s="568"/>
      <c r="D11" s="553"/>
      <c r="E11" s="553"/>
      <c r="F11" s="553"/>
      <c r="G11" s="553"/>
      <c r="H11" s="553"/>
      <c r="I11" s="553"/>
    </row>
    <row r="12" spans="1:14" ht="15" customHeight="1" x14ac:dyDescent="0.25">
      <c r="A12" s="553"/>
      <c r="B12" s="570"/>
      <c r="C12" s="571"/>
      <c r="D12" s="553"/>
      <c r="E12" s="553"/>
      <c r="F12" s="553"/>
      <c r="G12" s="553"/>
      <c r="H12" s="553"/>
      <c r="I12" s="553"/>
    </row>
    <row r="13" spans="1:14" ht="15.75" x14ac:dyDescent="0.25">
      <c r="A13" s="956" t="s">
        <v>7</v>
      </c>
      <c r="B13" s="570"/>
      <c r="C13" s="572">
        <f>'TRIAL BALANCE '!N9</f>
        <v>937659337.62</v>
      </c>
      <c r="D13" s="573">
        <v>255664554</v>
      </c>
      <c r="E13" s="573"/>
      <c r="F13" s="573">
        <v>255664554</v>
      </c>
      <c r="G13" s="573">
        <v>254749119</v>
      </c>
      <c r="H13" s="573"/>
      <c r="I13" s="573">
        <v>254749119</v>
      </c>
      <c r="J13" s="19">
        <f>C13-F13</f>
        <v>681994783.62</v>
      </c>
      <c r="K13" s="54"/>
    </row>
    <row r="14" spans="1:14" ht="15.75" x14ac:dyDescent="0.25">
      <c r="A14" s="553" t="s">
        <v>985</v>
      </c>
      <c r="B14" s="570"/>
      <c r="C14" s="572">
        <f>'TRIAL BALANCE '!N11</f>
        <v>555969771.6500001</v>
      </c>
      <c r="D14" s="573">
        <v>1627432908</v>
      </c>
      <c r="E14" s="573"/>
      <c r="F14" s="573">
        <v>1627432908</v>
      </c>
      <c r="G14" s="573">
        <v>1632243702</v>
      </c>
      <c r="H14" s="573"/>
      <c r="I14" s="573">
        <v>1632243702</v>
      </c>
      <c r="J14" s="19">
        <f t="shared" ref="J14:J19" si="0">C14-F14</f>
        <v>-1071463136.3499999</v>
      </c>
    </row>
    <row r="15" spans="1:14" ht="15.75" x14ac:dyDescent="0.25">
      <c r="A15" s="553" t="s">
        <v>33</v>
      </c>
      <c r="B15" s="570"/>
      <c r="C15" s="574">
        <f>'TRIAL BALANCE '!N15-2</f>
        <v>637936678.28000009</v>
      </c>
      <c r="D15" s="573">
        <v>197217835</v>
      </c>
      <c r="E15" s="573">
        <f>5346379</f>
        <v>5346379</v>
      </c>
      <c r="F15" s="573">
        <f>D15+E15</f>
        <v>202564214</v>
      </c>
      <c r="G15" s="575">
        <v>196785650</v>
      </c>
      <c r="H15" s="573">
        <v>5266883</v>
      </c>
      <c r="I15" s="575">
        <f>G15+H15</f>
        <v>202052533</v>
      </c>
      <c r="J15" s="19">
        <f t="shared" si="0"/>
        <v>435372464.28000009</v>
      </c>
      <c r="K15" s="54"/>
    </row>
    <row r="16" spans="1:14" ht="15.75" x14ac:dyDescent="0.25">
      <c r="A16" s="553" t="s">
        <v>948</v>
      </c>
      <c r="B16" s="570"/>
      <c r="C16" s="574">
        <f>'TRIAL BALANCE '!N16</f>
        <v>1558990.67</v>
      </c>
      <c r="D16" s="573">
        <v>1627648</v>
      </c>
      <c r="E16" s="573"/>
      <c r="F16" s="573">
        <v>1627648</v>
      </c>
      <c r="G16" s="573">
        <v>1797258</v>
      </c>
      <c r="H16" s="573"/>
      <c r="I16" s="573">
        <v>1797258</v>
      </c>
      <c r="J16" s="19">
        <f t="shared" si="0"/>
        <v>-68657.330000000075</v>
      </c>
      <c r="K16" s="54"/>
      <c r="N16" s="15"/>
    </row>
    <row r="17" spans="1:11" ht="15.75" x14ac:dyDescent="0.25">
      <c r="A17" s="553" t="s">
        <v>8</v>
      </c>
      <c r="B17" s="570"/>
      <c r="C17" s="574">
        <f>'TRIAL BALANCE '!N19</f>
        <v>764378256.9000001</v>
      </c>
      <c r="D17" s="573">
        <v>32249669</v>
      </c>
      <c r="E17" s="573">
        <v>46176</v>
      </c>
      <c r="F17" s="573">
        <f>32249669-46176</f>
        <v>32203493</v>
      </c>
      <c r="G17" s="573">
        <v>40598722</v>
      </c>
      <c r="H17" s="573"/>
      <c r="I17" s="573">
        <v>40598722</v>
      </c>
      <c r="J17" s="19">
        <f t="shared" si="0"/>
        <v>732174763.9000001</v>
      </c>
      <c r="K17" s="54"/>
    </row>
    <row r="18" spans="1:11" ht="5.25" customHeight="1" x14ac:dyDescent="0.25">
      <c r="A18" s="576"/>
      <c r="B18" s="577"/>
      <c r="C18" s="578"/>
      <c r="D18" s="553"/>
      <c r="E18" s="553"/>
      <c r="F18" s="553"/>
      <c r="G18" s="553"/>
      <c r="H18" s="553"/>
      <c r="I18" s="553"/>
      <c r="J18" s="19"/>
    </row>
    <row r="19" spans="1:11" ht="19.5" customHeight="1" x14ac:dyDescent="0.25">
      <c r="A19" s="576" t="s">
        <v>798</v>
      </c>
      <c r="B19" s="577"/>
      <c r="C19" s="579">
        <f>C13+C14+C15+C17+C16</f>
        <v>2897503035.1200004</v>
      </c>
      <c r="D19" s="580">
        <f>SUM(D13:D18)</f>
        <v>2114192614</v>
      </c>
      <c r="E19" s="580"/>
      <c r="F19" s="580">
        <f>SUM(F13:F18)</f>
        <v>2119492817</v>
      </c>
      <c r="G19" s="580">
        <f>SUM(G13:G18)</f>
        <v>2126174451</v>
      </c>
      <c r="H19" s="580"/>
      <c r="I19" s="580">
        <f>SUM(I13:I18)</f>
        <v>2131441334</v>
      </c>
      <c r="J19" s="19">
        <f t="shared" si="0"/>
        <v>778010218.12000036</v>
      </c>
      <c r="K19" s="949"/>
    </row>
    <row r="20" spans="1:11" ht="2.25" customHeight="1" x14ac:dyDescent="0.25">
      <c r="A20" s="553"/>
      <c r="B20" s="570"/>
      <c r="C20" s="581"/>
      <c r="D20" s="553"/>
      <c r="E20" s="553"/>
      <c r="F20" s="553"/>
      <c r="G20" s="553"/>
      <c r="H20" s="553"/>
      <c r="I20" s="553"/>
      <c r="J20" s="19"/>
    </row>
    <row r="21" spans="1:11" ht="7.5" customHeight="1" x14ac:dyDescent="0.25">
      <c r="A21" s="553"/>
      <c r="B21" s="570"/>
      <c r="C21" s="581"/>
      <c r="D21" s="553"/>
      <c r="E21" s="553"/>
      <c r="F21" s="553"/>
      <c r="G21" s="553"/>
      <c r="H21" s="553"/>
      <c r="I21" s="553"/>
      <c r="J21" s="19"/>
    </row>
    <row r="22" spans="1:11" ht="15.75" customHeight="1" x14ac:dyDescent="0.25">
      <c r="A22" s="571" t="s">
        <v>1</v>
      </c>
      <c r="B22" s="569"/>
      <c r="C22" s="581"/>
      <c r="D22" s="553"/>
      <c r="E22" s="553"/>
      <c r="F22" s="553"/>
      <c r="G22" s="553"/>
      <c r="H22" s="553"/>
      <c r="I22" s="553"/>
      <c r="J22" s="19"/>
    </row>
    <row r="23" spans="1:11" ht="11.25" customHeight="1" x14ac:dyDescent="0.25">
      <c r="A23" s="571"/>
      <c r="B23" s="569"/>
      <c r="C23" s="581"/>
      <c r="D23" s="553"/>
      <c r="E23" s="553"/>
      <c r="F23" s="553"/>
      <c r="G23" s="553"/>
      <c r="H23" s="553"/>
      <c r="I23" s="553"/>
      <c r="J23" s="19"/>
    </row>
    <row r="24" spans="1:11" ht="16.5" customHeight="1" x14ac:dyDescent="0.25">
      <c r="A24" s="553" t="s">
        <v>2802</v>
      </c>
      <c r="B24" s="570"/>
      <c r="C24" s="582">
        <f>'TRIAL BALANCE '!N22</f>
        <v>1422031327.6700001</v>
      </c>
      <c r="D24" s="573">
        <v>1395461736</v>
      </c>
      <c r="E24" s="573"/>
      <c r="F24" s="573">
        <v>1395461736</v>
      </c>
      <c r="G24" s="573">
        <v>1350502786</v>
      </c>
      <c r="H24" s="573"/>
      <c r="I24" s="573">
        <v>1350502786</v>
      </c>
      <c r="J24" s="19">
        <f t="shared" ref="J24:J34" si="1">C24-F24</f>
        <v>26569591.670000076</v>
      </c>
      <c r="K24" s="54"/>
    </row>
    <row r="25" spans="1:11" ht="16.5" customHeight="1" x14ac:dyDescent="0.25">
      <c r="A25" s="553" t="s">
        <v>947</v>
      </c>
      <c r="B25" s="570"/>
      <c r="C25" s="582">
        <f>'TRIAL BALANCE '!N23+1</f>
        <v>275309870.60000002</v>
      </c>
      <c r="D25" s="575">
        <v>213995656</v>
      </c>
      <c r="E25" s="575">
        <f>44649009-11840646.2</f>
        <v>32808362.800000001</v>
      </c>
      <c r="F25" s="575">
        <f>D25+E25</f>
        <v>246804018.80000001</v>
      </c>
      <c r="G25" s="573">
        <v>216482931</v>
      </c>
      <c r="H25" s="573"/>
      <c r="I25" s="573">
        <v>216482931</v>
      </c>
      <c r="J25" s="19">
        <f t="shared" si="1"/>
        <v>28505851.800000012</v>
      </c>
      <c r="K25" s="54"/>
    </row>
    <row r="26" spans="1:11" ht="16.5" customHeight="1" x14ac:dyDescent="0.25">
      <c r="A26" s="553" t="s">
        <v>956</v>
      </c>
      <c r="B26" s="570"/>
      <c r="C26" s="582">
        <f>'TRIAL BALANCE '!N25-1</f>
        <v>402315128.58999991</v>
      </c>
      <c r="D26" s="573">
        <v>402315129</v>
      </c>
      <c r="E26" s="573"/>
      <c r="F26" s="573">
        <v>402315129</v>
      </c>
      <c r="G26" s="573">
        <v>402315129</v>
      </c>
      <c r="H26" s="573"/>
      <c r="I26" s="573">
        <v>402315129</v>
      </c>
      <c r="J26" s="19">
        <f t="shared" si="1"/>
        <v>-0.41000008583068848</v>
      </c>
      <c r="K26" s="54"/>
    </row>
    <row r="27" spans="1:11" ht="16.5" customHeight="1" x14ac:dyDescent="0.25">
      <c r="A27" s="553" t="s">
        <v>985</v>
      </c>
      <c r="B27" s="570"/>
      <c r="C27" s="582">
        <f>'TRIAL BALANCE '!N26-1</f>
        <v>196446890.06000015</v>
      </c>
      <c r="D27" s="573">
        <v>196446890</v>
      </c>
      <c r="E27" s="573"/>
      <c r="F27" s="573">
        <v>196446890</v>
      </c>
      <c r="G27" s="573">
        <v>196446890</v>
      </c>
      <c r="H27" s="573"/>
      <c r="I27" s="573">
        <v>196446890</v>
      </c>
      <c r="J27" s="19">
        <f t="shared" si="1"/>
        <v>6.0000151395797729E-2</v>
      </c>
      <c r="K27" s="54"/>
    </row>
    <row r="28" spans="1:11" ht="15.75" x14ac:dyDescent="0.25">
      <c r="A28" s="553" t="s">
        <v>33</v>
      </c>
      <c r="B28" s="570"/>
      <c r="C28" s="574">
        <f>'TRIAL BALANCE '!N27</f>
        <v>79054104.659999847</v>
      </c>
      <c r="D28" s="573">
        <v>79362457</v>
      </c>
      <c r="E28" s="573"/>
      <c r="F28" s="573">
        <v>79362457</v>
      </c>
      <c r="G28" s="573">
        <v>61563241</v>
      </c>
      <c r="H28" s="573"/>
      <c r="I28" s="573">
        <v>61563241</v>
      </c>
      <c r="J28" s="19">
        <f t="shared" si="1"/>
        <v>-308352.34000015259</v>
      </c>
      <c r="K28" s="54"/>
    </row>
    <row r="29" spans="1:11" ht="15.75" x14ac:dyDescent="0.25">
      <c r="A29" s="553" t="s">
        <v>883</v>
      </c>
      <c r="B29" s="570"/>
      <c r="C29" s="574">
        <f>'TRIAL BALANCE '!N33</f>
        <v>30760341411.100002</v>
      </c>
      <c r="D29" s="573">
        <v>27045060679</v>
      </c>
      <c r="E29" s="573">
        <v>-11788475.220000001</v>
      </c>
      <c r="F29" s="573">
        <f>D29+E29</f>
        <v>27033272203.779999</v>
      </c>
      <c r="G29" s="573">
        <v>21743121151</v>
      </c>
      <c r="H29" s="573"/>
      <c r="I29" s="573">
        <v>21743121151</v>
      </c>
      <c r="J29" s="19">
        <f t="shared" si="1"/>
        <v>3727069207.3200035</v>
      </c>
      <c r="K29" s="54"/>
    </row>
    <row r="30" spans="1:11" ht="15.75" x14ac:dyDescent="0.25">
      <c r="A30" s="553" t="s">
        <v>39</v>
      </c>
      <c r="B30" s="570"/>
      <c r="C30" s="574">
        <f>'TRIAL BALANCE '!N36</f>
        <v>192823088.56000006</v>
      </c>
      <c r="D30" s="573">
        <v>71941780</v>
      </c>
      <c r="E30" s="573"/>
      <c r="F30" s="573">
        <v>71941780</v>
      </c>
      <c r="G30" s="573">
        <v>50642341</v>
      </c>
      <c r="H30" s="573"/>
      <c r="I30" s="573">
        <v>50642341</v>
      </c>
      <c r="J30" s="19">
        <f t="shared" si="1"/>
        <v>120881308.56000006</v>
      </c>
      <c r="K30" s="54"/>
    </row>
    <row r="31" spans="1:11" ht="15.75" x14ac:dyDescent="0.25">
      <c r="A31" s="576" t="s">
        <v>1133</v>
      </c>
      <c r="B31" s="577"/>
      <c r="C31" s="583">
        <f>'TRIAL BALANCE '!N37+1+1</f>
        <v>27801916.459999986</v>
      </c>
      <c r="D31" s="584">
        <v>42450117</v>
      </c>
      <c r="E31" s="573"/>
      <c r="F31" s="584">
        <v>42450117</v>
      </c>
      <c r="G31" s="573">
        <v>49087907</v>
      </c>
      <c r="H31" s="573"/>
      <c r="I31" s="573">
        <v>49087907</v>
      </c>
      <c r="J31" s="19">
        <f t="shared" si="1"/>
        <v>-14648200.540000014</v>
      </c>
      <c r="K31" s="54"/>
    </row>
    <row r="32" spans="1:11" ht="19.149999999999999" customHeight="1" x14ac:dyDescent="0.25">
      <c r="A32" s="576" t="s">
        <v>799</v>
      </c>
      <c r="B32" s="577"/>
      <c r="C32" s="579">
        <f>C24+C28+C29+C30+C31+C25+C26+C27</f>
        <v>33356123737.700001</v>
      </c>
      <c r="D32" s="585">
        <f>D24+D28+D29+D30+D31+D25+D26+D27</f>
        <v>29447034444</v>
      </c>
      <c r="E32" s="586"/>
      <c r="F32" s="585">
        <f>F24+F28+F29+F30+F31+F25+F26+F27</f>
        <v>29468054331.579998</v>
      </c>
      <c r="G32" s="580">
        <f>SUM(G24:G31)</f>
        <v>24070162376</v>
      </c>
      <c r="H32" s="586"/>
      <c r="I32" s="580">
        <f>SUM(I24:I31)</f>
        <v>24070162376</v>
      </c>
      <c r="J32" s="19">
        <f t="shared" si="1"/>
        <v>3888069406.1200027</v>
      </c>
      <c r="K32" s="949"/>
    </row>
    <row r="33" spans="1:12" ht="1.5" customHeight="1" x14ac:dyDescent="0.25">
      <c r="A33" s="571"/>
      <c r="B33" s="569"/>
      <c r="C33" s="587"/>
      <c r="D33" s="588">
        <f>SUM(D18+D31)+1</f>
        <v>42450118</v>
      </c>
      <c r="E33" s="588"/>
      <c r="F33" s="588">
        <f>SUM(F18+F31)+1</f>
        <v>42450118</v>
      </c>
      <c r="G33" s="553"/>
      <c r="H33" s="588"/>
      <c r="I33" s="553"/>
      <c r="J33" s="19"/>
    </row>
    <row r="34" spans="1:12" ht="20.45" customHeight="1" x14ac:dyDescent="0.25">
      <c r="A34" s="571" t="s">
        <v>23</v>
      </c>
      <c r="B34" s="569"/>
      <c r="C34" s="587">
        <f>SUM(C19+C32)</f>
        <v>36253626772.82</v>
      </c>
      <c r="D34" s="588">
        <f>SUM(D19+D32)</f>
        <v>31561227058</v>
      </c>
      <c r="E34" s="588"/>
      <c r="F34" s="588">
        <f>SUM(F19+F32)</f>
        <v>31587547148.579998</v>
      </c>
      <c r="G34" s="573">
        <f>G19+G32</f>
        <v>26196336827</v>
      </c>
      <c r="H34" s="588"/>
      <c r="I34" s="573">
        <f>I19+I32</f>
        <v>26201603710</v>
      </c>
      <c r="J34" s="19">
        <f t="shared" si="1"/>
        <v>4666079624.2400017</v>
      </c>
      <c r="K34" s="54"/>
    </row>
    <row r="35" spans="1:12" ht="2.4500000000000002" customHeight="1" thickBot="1" x14ac:dyDescent="0.3">
      <c r="A35" s="589"/>
      <c r="B35" s="590"/>
      <c r="C35" s="591"/>
      <c r="D35" s="592"/>
      <c r="E35" s="592"/>
      <c r="F35" s="592"/>
      <c r="G35" s="592"/>
      <c r="H35" s="592"/>
      <c r="I35" s="592"/>
      <c r="J35" s="40"/>
      <c r="K35" s="951"/>
    </row>
    <row r="36" spans="1:12" ht="15.6" customHeight="1" thickTop="1" thickBot="1" x14ac:dyDescent="0.3">
      <c r="A36" s="593"/>
      <c r="B36" s="594"/>
      <c r="C36" s="595"/>
      <c r="D36" s="596"/>
      <c r="E36" s="596"/>
      <c r="F36" s="596"/>
      <c r="G36" s="596"/>
      <c r="H36" s="596"/>
      <c r="I36" s="596"/>
      <c r="J36" s="40"/>
      <c r="K36" s="950"/>
    </row>
    <row r="37" spans="1:12" ht="15.75" x14ac:dyDescent="0.25">
      <c r="A37" s="553"/>
      <c r="B37" s="570"/>
      <c r="C37" s="581"/>
      <c r="D37" s="573"/>
      <c r="E37" s="573"/>
      <c r="F37" s="573"/>
      <c r="G37" s="573"/>
      <c r="H37" s="573"/>
      <c r="I37" s="573"/>
      <c r="J37" s="40"/>
      <c r="K37" s="54"/>
    </row>
    <row r="38" spans="1:12" ht="15.75" x14ac:dyDescent="0.25">
      <c r="A38" s="975" t="s">
        <v>9</v>
      </c>
      <c r="B38" s="975"/>
      <c r="C38" s="975"/>
      <c r="D38" s="553"/>
      <c r="E38" s="553"/>
      <c r="F38" s="553"/>
      <c r="G38" s="553"/>
      <c r="H38" s="553"/>
      <c r="I38" s="553"/>
      <c r="J38" s="40"/>
    </row>
    <row r="39" spans="1:12" ht="13.5" customHeight="1" x14ac:dyDescent="0.25">
      <c r="A39" s="553"/>
      <c r="B39" s="570"/>
      <c r="C39" s="581"/>
      <c r="D39" s="553"/>
      <c r="E39" s="553"/>
      <c r="F39" s="553"/>
      <c r="G39" s="553"/>
      <c r="H39" s="553"/>
      <c r="I39" s="573"/>
      <c r="J39" s="40"/>
    </row>
    <row r="40" spans="1:12" ht="15.75" x14ac:dyDescent="0.25">
      <c r="A40" s="571" t="s">
        <v>2</v>
      </c>
      <c r="B40" s="569"/>
      <c r="C40" s="581"/>
      <c r="D40" s="553"/>
      <c r="E40" s="553"/>
      <c r="F40" s="553"/>
      <c r="G40" s="553"/>
      <c r="H40" s="553"/>
      <c r="I40" s="553"/>
      <c r="J40" s="40"/>
    </row>
    <row r="41" spans="1:12" ht="11.25" customHeight="1" x14ac:dyDescent="0.25">
      <c r="A41" s="571"/>
      <c r="B41" s="569"/>
      <c r="C41" s="581"/>
      <c r="D41" s="553"/>
      <c r="E41" s="553"/>
      <c r="F41" s="553"/>
      <c r="G41" s="553"/>
      <c r="H41" s="553"/>
      <c r="I41" s="573"/>
      <c r="J41" s="40"/>
    </row>
    <row r="42" spans="1:12" ht="15.75" x14ac:dyDescent="0.25">
      <c r="A42" s="553" t="s">
        <v>949</v>
      </c>
      <c r="B42" s="570"/>
      <c r="C42" s="572">
        <f>'TRIAL BALANCE '!N149</f>
        <v>616712835.22000003</v>
      </c>
      <c r="D42" s="597">
        <v>625201992</v>
      </c>
      <c r="E42" s="597">
        <f>415890-4538160.51-4051929+7737-138266.66</f>
        <v>-8304729.1699999999</v>
      </c>
      <c r="F42" s="597">
        <f>D42+E42</f>
        <v>616897262.83000004</v>
      </c>
      <c r="G42" s="573">
        <v>626673299</v>
      </c>
      <c r="H42" s="597">
        <f>225309-4538160.51-4051929</f>
        <v>-8364780.5099999998</v>
      </c>
      <c r="I42" s="573">
        <f>G42+H42</f>
        <v>618308518.49000001</v>
      </c>
      <c r="J42" s="19">
        <f t="shared" ref="J42:J48" si="2">C42-F42</f>
        <v>-184427.61000001431</v>
      </c>
      <c r="K42" s="15"/>
      <c r="L42" s="15"/>
    </row>
    <row r="43" spans="1:12" ht="15.75" hidden="1" x14ac:dyDescent="0.25">
      <c r="A43" s="553" t="s">
        <v>986</v>
      </c>
      <c r="B43" s="570"/>
      <c r="C43" s="572"/>
      <c r="D43" s="597"/>
      <c r="E43" s="597"/>
      <c r="F43" s="597"/>
      <c r="G43" s="573"/>
      <c r="H43" s="597"/>
      <c r="I43" s="573"/>
      <c r="J43" s="19">
        <f t="shared" si="2"/>
        <v>0</v>
      </c>
    </row>
    <row r="44" spans="1:12" ht="15.75" hidden="1" x14ac:dyDescent="0.25">
      <c r="A44" s="553"/>
      <c r="B44" s="570"/>
      <c r="C44" s="572"/>
      <c r="D44" s="597"/>
      <c r="E44" s="597"/>
      <c r="F44" s="597"/>
      <c r="G44" s="573"/>
      <c r="H44" s="597"/>
      <c r="I44" s="573"/>
      <c r="J44" s="19">
        <f t="shared" si="2"/>
        <v>0</v>
      </c>
    </row>
    <row r="45" spans="1:12" ht="15.75" x14ac:dyDescent="0.25">
      <c r="A45" s="553" t="s">
        <v>44</v>
      </c>
      <c r="B45" s="570"/>
      <c r="C45" s="572">
        <f>'TRIAL BALANCE '!N150</f>
        <v>22001055.300000001</v>
      </c>
      <c r="D45" s="597">
        <v>16848402</v>
      </c>
      <c r="E45" s="597"/>
      <c r="F45" s="597">
        <v>16848402</v>
      </c>
      <c r="G45" s="573">
        <v>7445457</v>
      </c>
      <c r="H45" s="597"/>
      <c r="I45" s="573">
        <v>7445457</v>
      </c>
      <c r="J45" s="19">
        <f t="shared" si="2"/>
        <v>5152653.3000000007</v>
      </c>
      <c r="L45" s="15"/>
    </row>
    <row r="46" spans="1:12" ht="15.75" x14ac:dyDescent="0.25">
      <c r="A46" s="553" t="s">
        <v>45</v>
      </c>
      <c r="B46" s="570"/>
      <c r="C46" s="572">
        <f>'TRIAL BALANCE '!N151</f>
        <v>107411889.42</v>
      </c>
      <c r="D46" s="597">
        <v>32192806</v>
      </c>
      <c r="E46" s="597"/>
      <c r="F46" s="597">
        <v>32192806</v>
      </c>
      <c r="G46" s="573">
        <v>35571374</v>
      </c>
      <c r="H46" s="597"/>
      <c r="I46" s="573">
        <v>35571374</v>
      </c>
      <c r="J46" s="19">
        <f t="shared" si="2"/>
        <v>75219083.420000002</v>
      </c>
    </row>
    <row r="47" spans="1:12" ht="15.75" x14ac:dyDescent="0.25">
      <c r="A47" s="553" t="s">
        <v>46</v>
      </c>
      <c r="B47" s="570"/>
      <c r="C47" s="572">
        <f>'TRIAL BALANCE '!N152</f>
        <v>19996900.359999999</v>
      </c>
      <c r="D47" s="597">
        <v>9880921</v>
      </c>
      <c r="E47" s="597"/>
      <c r="F47" s="597">
        <v>9880921</v>
      </c>
      <c r="G47" s="573">
        <v>6136927</v>
      </c>
      <c r="H47" s="597"/>
      <c r="I47" s="573">
        <v>6136927</v>
      </c>
      <c r="J47" s="19">
        <f t="shared" si="2"/>
        <v>10115979.359999999</v>
      </c>
    </row>
    <row r="48" spans="1:12" ht="15.75" x14ac:dyDescent="0.25">
      <c r="A48" s="553" t="s">
        <v>47</v>
      </c>
      <c r="B48" s="570"/>
      <c r="C48" s="572">
        <f>'TRIAL BALANCE '!N153</f>
        <v>322927904.54999995</v>
      </c>
      <c r="D48" s="597">
        <v>316463017</v>
      </c>
      <c r="E48" s="597"/>
      <c r="F48" s="597">
        <v>316463017</v>
      </c>
      <c r="G48" s="573">
        <v>313909671</v>
      </c>
      <c r="H48" s="597"/>
      <c r="I48" s="573">
        <v>313909671</v>
      </c>
      <c r="J48" s="19">
        <f t="shared" si="2"/>
        <v>6464887.5499999523</v>
      </c>
      <c r="K48" s="15"/>
    </row>
    <row r="49" spans="1:14" ht="4.5" customHeight="1" x14ac:dyDescent="0.25">
      <c r="A49" s="553"/>
      <c r="B49" s="570"/>
      <c r="C49" s="581"/>
      <c r="D49" s="553"/>
      <c r="E49" s="553"/>
      <c r="F49" s="553"/>
      <c r="G49" s="553"/>
      <c r="H49" s="553"/>
      <c r="I49" s="553"/>
      <c r="J49" s="40"/>
      <c r="K49" s="953"/>
    </row>
    <row r="50" spans="1:14" ht="4.5" customHeight="1" x14ac:dyDescent="0.25">
      <c r="A50" s="598"/>
      <c r="B50" s="599"/>
      <c r="C50" s="600"/>
      <c r="D50" s="598"/>
      <c r="E50" s="598"/>
      <c r="F50" s="598"/>
      <c r="G50" s="598"/>
      <c r="H50" s="598"/>
      <c r="I50" s="598"/>
      <c r="J50" s="40"/>
    </row>
    <row r="51" spans="1:14" ht="17.25" customHeight="1" x14ac:dyDescent="0.25">
      <c r="A51" s="553" t="s">
        <v>800</v>
      </c>
      <c r="B51" s="570"/>
      <c r="C51" s="587">
        <f>SUM(C42:C50)</f>
        <v>1089050584.8499999</v>
      </c>
      <c r="D51" s="588">
        <f>SUM(D42:D50)</f>
        <v>1000587138</v>
      </c>
      <c r="E51" s="588"/>
      <c r="F51" s="588">
        <f>SUM(F42:F50)</f>
        <v>992282408.83000004</v>
      </c>
      <c r="G51" s="597">
        <f>SUM(G42:G50)</f>
        <v>989736728</v>
      </c>
      <c r="H51" s="588"/>
      <c r="I51" s="597">
        <f>SUM(I42:I50)</f>
        <v>981371947.49000001</v>
      </c>
      <c r="J51" s="19">
        <f>C51-F51</f>
        <v>96768176.019999862</v>
      </c>
      <c r="K51" s="952"/>
    </row>
    <row r="52" spans="1:14" ht="0.75" customHeight="1" x14ac:dyDescent="0.25">
      <c r="A52" s="576"/>
      <c r="B52" s="577"/>
      <c r="C52" s="578"/>
      <c r="D52" s="553"/>
      <c r="E52" s="553"/>
      <c r="F52" s="553"/>
      <c r="G52" s="553"/>
      <c r="H52" s="553"/>
      <c r="I52" s="553"/>
      <c r="J52" s="40"/>
    </row>
    <row r="53" spans="1:14" ht="7.5" customHeight="1" x14ac:dyDescent="0.25">
      <c r="A53" s="553"/>
      <c r="B53" s="570"/>
      <c r="C53" s="581"/>
      <c r="D53" s="598"/>
      <c r="E53" s="598"/>
      <c r="F53" s="598"/>
      <c r="G53" s="598"/>
      <c r="H53" s="598"/>
      <c r="I53" s="598"/>
      <c r="J53" s="19"/>
    </row>
    <row r="54" spans="1:14" ht="22.5" customHeight="1" x14ac:dyDescent="0.25">
      <c r="A54" s="571" t="s">
        <v>3</v>
      </c>
      <c r="B54" s="569"/>
      <c r="C54" s="581"/>
      <c r="D54" s="553"/>
      <c r="E54" s="553"/>
      <c r="F54" s="553"/>
      <c r="G54" s="553"/>
      <c r="H54" s="553"/>
      <c r="I54" s="553"/>
      <c r="J54" s="40"/>
    </row>
    <row r="55" spans="1:14" ht="12" customHeight="1" x14ac:dyDescent="0.25">
      <c r="A55" s="553"/>
      <c r="B55" s="570"/>
      <c r="C55" s="581"/>
      <c r="D55" s="553"/>
      <c r="E55" s="553"/>
      <c r="F55" s="553"/>
      <c r="G55" s="553"/>
      <c r="H55" s="553"/>
      <c r="I55" s="553"/>
      <c r="J55" s="40"/>
    </row>
    <row r="56" spans="1:14" ht="15.75" x14ac:dyDescent="0.25">
      <c r="A56" s="553" t="s">
        <v>43</v>
      </c>
      <c r="B56" s="570"/>
      <c r="C56" s="601">
        <f>'TRIAL BALANCE '!N162</f>
        <v>6880800804.0100002</v>
      </c>
      <c r="D56" s="597">
        <v>5948430092</v>
      </c>
      <c r="E56" s="597">
        <f>312375-1734651.72-1648969.53</f>
        <v>-3071246.25</v>
      </c>
      <c r="F56" s="597">
        <f>D56-E56</f>
        <v>5951501338.25</v>
      </c>
      <c r="G56" s="573">
        <v>4617494743</v>
      </c>
      <c r="H56" s="597">
        <v>1648969.61</v>
      </c>
      <c r="I56" s="573">
        <f>G56+H56</f>
        <v>4619143712.6099997</v>
      </c>
      <c r="J56" s="19">
        <f>C56-F56</f>
        <v>929299465.76000023</v>
      </c>
      <c r="N56" s="15"/>
    </row>
    <row r="57" spans="1:14" ht="15.75" x14ac:dyDescent="0.25">
      <c r="A57" s="553" t="s">
        <v>45</v>
      </c>
      <c r="B57" s="570"/>
      <c r="C57" s="574">
        <f>'TRIAL BALANCE '!N163</f>
        <v>48210291.390000001</v>
      </c>
      <c r="D57" s="597">
        <v>36000431</v>
      </c>
      <c r="E57" s="597">
        <v>1921954</v>
      </c>
      <c r="F57" s="597">
        <f>D57+E57</f>
        <v>37922385</v>
      </c>
      <c r="G57" s="573">
        <v>40061891</v>
      </c>
      <c r="H57" s="597">
        <v>1921954</v>
      </c>
      <c r="I57" s="573">
        <f>G57+H57</f>
        <v>41983845</v>
      </c>
      <c r="J57" s="19">
        <f>C57-F57</f>
        <v>10287906.390000001</v>
      </c>
      <c r="K57" s="953"/>
    </row>
    <row r="58" spans="1:14" ht="15.75" hidden="1" customHeight="1" x14ac:dyDescent="0.25">
      <c r="A58" s="576"/>
      <c r="B58" s="577"/>
      <c r="C58" s="602"/>
      <c r="D58" s="553"/>
      <c r="E58" s="553"/>
      <c r="F58" s="553"/>
      <c r="G58" s="553"/>
      <c r="H58" s="553"/>
      <c r="I58" s="553"/>
      <c r="J58" s="19"/>
    </row>
    <row r="59" spans="1:14" ht="4.5" customHeight="1" x14ac:dyDescent="0.25">
      <c r="A59" s="603"/>
      <c r="B59" s="604"/>
      <c r="C59" s="600"/>
      <c r="D59" s="598"/>
      <c r="E59" s="598"/>
      <c r="F59" s="598"/>
      <c r="G59" s="598"/>
      <c r="H59" s="598"/>
      <c r="I59" s="598"/>
      <c r="J59" s="40"/>
    </row>
    <row r="60" spans="1:14" ht="16.5" customHeight="1" x14ac:dyDescent="0.25">
      <c r="A60" s="553" t="s">
        <v>801</v>
      </c>
      <c r="B60" s="570"/>
      <c r="C60" s="587">
        <f>SUM(C56:C59)</f>
        <v>6929011095.4000006</v>
      </c>
      <c r="D60" s="588">
        <f>SUM(D56:D59)</f>
        <v>5984430523</v>
      </c>
      <c r="E60" s="588"/>
      <c r="F60" s="588">
        <f>SUM(F56:F59)</f>
        <v>5989423723.25</v>
      </c>
      <c r="G60" s="597">
        <f>SUM(G56:G59)</f>
        <v>4657556634</v>
      </c>
      <c r="H60" s="588"/>
      <c r="I60" s="597">
        <f>SUM(I56:I59)</f>
        <v>4661127557.6099997</v>
      </c>
      <c r="J60" s="19">
        <f>C60-F60</f>
        <v>939587372.15000057</v>
      </c>
      <c r="L60" s="14"/>
      <c r="N60" s="54"/>
    </row>
    <row r="61" spans="1:14" ht="1.5" customHeight="1" x14ac:dyDescent="0.25">
      <c r="A61" s="576"/>
      <c r="B61" s="577"/>
      <c r="C61" s="578"/>
      <c r="D61" s="553"/>
      <c r="E61" s="553"/>
      <c r="F61" s="553"/>
      <c r="G61" s="553"/>
      <c r="H61" s="553"/>
      <c r="I61" s="553"/>
      <c r="J61" s="40"/>
      <c r="K61" s="953"/>
    </row>
    <row r="62" spans="1:14" ht="3.6" customHeight="1" x14ac:dyDescent="0.25">
      <c r="A62" s="553"/>
      <c r="B62" s="570"/>
      <c r="C62" s="581"/>
      <c r="D62" s="598"/>
      <c r="E62" s="598"/>
      <c r="F62" s="598"/>
      <c r="G62" s="598"/>
      <c r="H62" s="598"/>
      <c r="I62" s="598"/>
      <c r="J62" s="40"/>
    </row>
    <row r="63" spans="1:14" ht="19.149999999999999" customHeight="1" x14ac:dyDescent="0.25">
      <c r="A63" s="571" t="s">
        <v>10</v>
      </c>
      <c r="B63" s="570"/>
      <c r="C63" s="572">
        <f>'TRIAL BALANCE '!N212</f>
        <v>28235565092.34</v>
      </c>
      <c r="D63" s="605">
        <v>24576209397</v>
      </c>
      <c r="E63" s="605"/>
      <c r="F63" s="605">
        <f>24623866941-46176.5-11840646.2+1+8590089+1+312375-7737-1734651.72-1648969.61+138266.66-11788475.22</f>
        <v>24605841017.409996</v>
      </c>
      <c r="G63" s="584">
        <v>20549043465</v>
      </c>
      <c r="H63" s="605"/>
      <c r="I63" s="584">
        <f>20552163085+8590090-1648969.61</f>
        <v>20559104205.389999</v>
      </c>
      <c r="J63" s="19">
        <f>C63-F63</f>
        <v>3629724074.9300041</v>
      </c>
      <c r="K63" s="952"/>
      <c r="N63" s="14"/>
    </row>
    <row r="64" spans="1:14" ht="4.1500000000000004" hidden="1" customHeight="1" x14ac:dyDescent="0.25">
      <c r="A64" s="553"/>
      <c r="B64" s="570"/>
      <c r="C64" s="581"/>
      <c r="D64" s="553"/>
      <c r="E64" s="553"/>
      <c r="F64" s="553"/>
      <c r="G64" s="553"/>
      <c r="H64" s="553"/>
      <c r="I64" s="553"/>
      <c r="J64" s="40"/>
    </row>
    <row r="65" spans="1:14" ht="4.5" customHeight="1" x14ac:dyDescent="0.25">
      <c r="A65" s="598"/>
      <c r="B65" s="599"/>
      <c r="C65" s="600"/>
      <c r="D65" s="553"/>
      <c r="E65" s="553"/>
      <c r="F65" s="553"/>
      <c r="G65" s="553"/>
      <c r="H65" s="553"/>
      <c r="I65" s="553"/>
      <c r="J65" s="40"/>
    </row>
    <row r="66" spans="1:14" ht="20.45" customHeight="1" x14ac:dyDescent="0.25">
      <c r="A66" s="571" t="s">
        <v>11</v>
      </c>
      <c r="B66" s="569"/>
      <c r="C66" s="601">
        <f>SUM(C51+C60+C63)</f>
        <v>36253626772.589996</v>
      </c>
      <c r="D66" s="606">
        <f>SUM(D51+D60+D63)</f>
        <v>31561227058</v>
      </c>
      <c r="E66" s="606"/>
      <c r="F66" s="606">
        <f>SUM(F51+F60+F63)-1</f>
        <v>31587547148.489998</v>
      </c>
      <c r="G66" s="597">
        <f>G51+G60+G63</f>
        <v>26196336827</v>
      </c>
      <c r="H66" s="606"/>
      <c r="I66" s="597">
        <f>I51+I60+I63</f>
        <v>26201603710.489998</v>
      </c>
      <c r="J66" s="19">
        <f>C66-F66</f>
        <v>4666079624.0999985</v>
      </c>
      <c r="K66" s="15"/>
      <c r="N66" s="54"/>
    </row>
    <row r="67" spans="1:14" ht="1.1499999999999999" customHeight="1" thickBot="1" x14ac:dyDescent="0.3">
      <c r="A67" s="571"/>
      <c r="B67" s="569"/>
      <c r="C67" s="607"/>
      <c r="D67" s="608"/>
      <c r="E67" s="608"/>
      <c r="F67" s="608"/>
      <c r="G67" s="608"/>
      <c r="H67" s="608"/>
      <c r="I67" s="608"/>
      <c r="J67" s="40"/>
    </row>
    <row r="68" spans="1:14" ht="11.25" customHeight="1" thickTop="1" thickBot="1" x14ac:dyDescent="0.3">
      <c r="A68" s="593"/>
      <c r="B68" s="594"/>
      <c r="C68" s="609"/>
      <c r="D68" s="610"/>
      <c r="E68" s="610"/>
      <c r="F68" s="610"/>
      <c r="G68" s="610"/>
      <c r="H68" s="610"/>
      <c r="I68" s="610"/>
      <c r="J68" s="40"/>
      <c r="K68" s="954"/>
    </row>
    <row r="69" spans="1:14" ht="15.75" hidden="1" x14ac:dyDescent="0.25">
      <c r="A69" s="611" t="s">
        <v>4</v>
      </c>
      <c r="B69" s="570"/>
      <c r="C69" s="612" t="s">
        <v>4</v>
      </c>
      <c r="D69" s="553"/>
      <c r="E69" s="553"/>
      <c r="F69" s="553"/>
      <c r="G69" s="553"/>
      <c r="H69" s="553"/>
      <c r="I69" s="553"/>
      <c r="J69" s="40"/>
    </row>
    <row r="70" spans="1:14" ht="15.75" hidden="1" x14ac:dyDescent="0.25">
      <c r="A70" s="553"/>
      <c r="B70" s="570"/>
      <c r="C70" s="613">
        <f>C34-C66</f>
        <v>0.23000335693359375</v>
      </c>
      <c r="D70" s="553"/>
      <c r="E70" s="553"/>
      <c r="F70" s="553"/>
      <c r="G70" s="553"/>
      <c r="H70" s="553"/>
      <c r="I70" s="553"/>
      <c r="J70" s="40"/>
    </row>
    <row r="71" spans="1:14" ht="15.75" hidden="1" x14ac:dyDescent="0.25">
      <c r="A71" s="553"/>
      <c r="B71" s="570"/>
      <c r="C71" s="613"/>
      <c r="D71" s="553"/>
      <c r="E71" s="553"/>
      <c r="F71" s="553"/>
      <c r="G71" s="553"/>
      <c r="H71" s="553"/>
      <c r="I71" s="553"/>
      <c r="J71" s="40"/>
    </row>
    <row r="72" spans="1:14" ht="15.75" hidden="1" x14ac:dyDescent="0.25">
      <c r="A72" s="553"/>
      <c r="B72" s="570"/>
      <c r="C72" s="613">
        <f>C70-C71</f>
        <v>0.23000335693359375</v>
      </c>
      <c r="D72" s="553"/>
      <c r="E72" s="553"/>
      <c r="F72" s="553"/>
      <c r="G72" s="553"/>
      <c r="H72" s="553"/>
      <c r="I72" s="553"/>
      <c r="J72" s="40"/>
    </row>
    <row r="73" spans="1:14" ht="15.75" hidden="1" x14ac:dyDescent="0.25">
      <c r="A73" s="553"/>
      <c r="B73" s="570"/>
      <c r="C73" s="613"/>
      <c r="D73" s="553"/>
      <c r="E73" s="553"/>
      <c r="F73" s="553"/>
      <c r="G73" s="553"/>
      <c r="H73" s="553"/>
      <c r="I73" s="553"/>
      <c r="J73" s="40"/>
    </row>
    <row r="74" spans="1:14" ht="15.75" hidden="1" x14ac:dyDescent="0.25">
      <c r="A74" s="553"/>
      <c r="B74" s="570"/>
      <c r="C74" s="613"/>
      <c r="D74" s="553"/>
      <c r="E74" s="553"/>
      <c r="F74" s="553"/>
      <c r="G74" s="553"/>
      <c r="H74" s="553"/>
      <c r="I74" s="553"/>
      <c r="J74" s="40"/>
    </row>
    <row r="75" spans="1:14" ht="15.75" hidden="1" x14ac:dyDescent="0.25">
      <c r="A75" s="553"/>
      <c r="B75" s="570"/>
      <c r="C75" s="613"/>
      <c r="D75" s="553"/>
      <c r="E75" s="553"/>
      <c r="F75" s="553"/>
      <c r="G75" s="553"/>
      <c r="H75" s="553"/>
      <c r="I75" s="553"/>
      <c r="J75" s="40"/>
    </row>
    <row r="76" spans="1:14" ht="15.75" hidden="1" x14ac:dyDescent="0.25">
      <c r="A76" s="553"/>
      <c r="B76" s="570"/>
      <c r="C76" s="613"/>
      <c r="D76" s="553"/>
      <c r="E76" s="553"/>
      <c r="F76" s="553"/>
      <c r="G76" s="553"/>
      <c r="H76" s="553"/>
      <c r="I76" s="553"/>
      <c r="J76" s="40"/>
    </row>
    <row r="77" spans="1:14" ht="15.75" hidden="1" x14ac:dyDescent="0.25">
      <c r="A77" s="553"/>
      <c r="B77" s="570"/>
      <c r="C77" s="613"/>
      <c r="D77" s="553"/>
      <c r="E77" s="553"/>
      <c r="F77" s="553"/>
      <c r="G77" s="553"/>
      <c r="H77" s="553"/>
      <c r="I77" s="553"/>
      <c r="J77" s="40"/>
    </row>
    <row r="78" spans="1:14" ht="15.75" hidden="1" x14ac:dyDescent="0.25">
      <c r="A78" s="553"/>
      <c r="B78" s="570"/>
      <c r="C78" s="613"/>
      <c r="D78" s="553"/>
      <c r="E78" s="553"/>
      <c r="F78" s="553"/>
      <c r="G78" s="553"/>
      <c r="H78" s="553"/>
      <c r="I78" s="553"/>
      <c r="J78" s="40"/>
    </row>
    <row r="79" spans="1:14" ht="15.75" hidden="1" x14ac:dyDescent="0.25">
      <c r="A79" s="553"/>
      <c r="B79" s="570"/>
      <c r="C79" s="571"/>
      <c r="D79" s="553"/>
      <c r="E79" s="553"/>
      <c r="F79" s="553"/>
      <c r="G79" s="553"/>
      <c r="H79" s="553"/>
      <c r="I79" s="553"/>
      <c r="J79" s="40"/>
    </row>
    <row r="80" spans="1:14" ht="15.75" x14ac:dyDescent="0.25">
      <c r="A80" s="753"/>
      <c r="C80" s="3"/>
      <c r="D80" s="597"/>
      <c r="E80" s="597"/>
      <c r="F80" s="597"/>
      <c r="G80" s="597"/>
      <c r="H80" s="597"/>
      <c r="I80" s="553"/>
      <c r="J80" s="40"/>
    </row>
    <row r="81" spans="1:12" x14ac:dyDescent="0.25">
      <c r="A81" s="16"/>
      <c r="C81" s="3">
        <f>C34-C66</f>
        <v>0.23000335693359375</v>
      </c>
      <c r="D81" s="3"/>
      <c r="E81" s="3"/>
      <c r="F81" s="3"/>
      <c r="G81" s="3"/>
      <c r="H81" s="3"/>
      <c r="I81" s="3"/>
      <c r="J81" s="40"/>
    </row>
    <row r="82" spans="1:12" ht="14.25" x14ac:dyDescent="0.2">
      <c r="A82" s="80"/>
      <c r="B82" s="1"/>
      <c r="C82" s="18"/>
      <c r="F82" s="18"/>
      <c r="G82" s="18"/>
      <c r="H82" s="18"/>
      <c r="I82" s="18"/>
      <c r="J82" s="40"/>
    </row>
    <row r="83" spans="1:12" ht="14.25" x14ac:dyDescent="0.2">
      <c r="A83" s="80"/>
      <c r="B83" s="1"/>
      <c r="C83" s="21"/>
      <c r="J83" s="40"/>
    </row>
    <row r="84" spans="1:12" ht="14.25" x14ac:dyDescent="0.2">
      <c r="A84" s="80"/>
      <c r="B84" s="1"/>
      <c r="C84" s="21"/>
      <c r="J84" s="40"/>
    </row>
    <row r="85" spans="1:12" ht="18" customHeight="1" x14ac:dyDescent="0.2">
      <c r="A85" s="80"/>
      <c r="B85" s="1"/>
      <c r="C85" s="423"/>
      <c r="J85" s="40"/>
    </row>
    <row r="86" spans="1:12" ht="17.25" customHeight="1" x14ac:dyDescent="0.25">
      <c r="A86" s="80"/>
      <c r="B86" s="1"/>
      <c r="C86" s="549"/>
      <c r="J86" s="40"/>
    </row>
    <row r="87" spans="1:12" ht="14.25" x14ac:dyDescent="0.2">
      <c r="A87" s="362"/>
      <c r="B87" s="363"/>
      <c r="C87" s="364"/>
    </row>
    <row r="92" spans="1:12" x14ac:dyDescent="0.25">
      <c r="A92" s="2"/>
      <c r="K92" s="749"/>
      <c r="L92" s="749"/>
    </row>
    <row r="93" spans="1:12" x14ac:dyDescent="0.25">
      <c r="A93" s="2"/>
      <c r="K93" s="749"/>
      <c r="L93" s="749"/>
    </row>
    <row r="94" spans="1:12" x14ac:dyDescent="0.25">
      <c r="A94" s="2"/>
      <c r="K94" s="749"/>
      <c r="L94" s="749"/>
    </row>
    <row r="95" spans="1:12" x14ac:dyDescent="0.25">
      <c r="K95" s="749"/>
      <c r="L95" s="749"/>
    </row>
    <row r="96" spans="1:12" x14ac:dyDescent="0.25">
      <c r="K96" s="749"/>
      <c r="L96" s="749"/>
    </row>
    <row r="97" spans="11:12" x14ac:dyDescent="0.25">
      <c r="K97" s="749"/>
      <c r="L97" s="749"/>
    </row>
    <row r="98" spans="11:12" x14ac:dyDescent="0.25">
      <c r="K98" s="749"/>
      <c r="L98" s="749"/>
    </row>
    <row r="99" spans="11:12" x14ac:dyDescent="0.25">
      <c r="K99" s="749"/>
      <c r="L99" s="749"/>
    </row>
    <row r="100" spans="11:12" x14ac:dyDescent="0.25">
      <c r="K100" s="749"/>
      <c r="L100" s="749"/>
    </row>
    <row r="101" spans="11:12" x14ac:dyDescent="0.25">
      <c r="K101" s="749"/>
      <c r="L101" s="749"/>
    </row>
    <row r="102" spans="11:12" x14ac:dyDescent="0.25">
      <c r="K102" s="749"/>
      <c r="L102" s="749"/>
    </row>
    <row r="103" spans="11:12" x14ac:dyDescent="0.25">
      <c r="K103" s="749"/>
      <c r="L103" s="749"/>
    </row>
    <row r="104" spans="11:12" x14ac:dyDescent="0.25">
      <c r="K104" s="749"/>
      <c r="L104" s="749"/>
    </row>
    <row r="105" spans="11:12" x14ac:dyDescent="0.25">
      <c r="K105" s="749"/>
      <c r="L105" s="749"/>
    </row>
    <row r="106" spans="11:12" x14ac:dyDescent="0.25">
      <c r="K106" s="749"/>
      <c r="L106" s="749"/>
    </row>
    <row r="107" spans="11:12" x14ac:dyDescent="0.25">
      <c r="K107" s="749"/>
      <c r="L107" s="749"/>
    </row>
    <row r="108" spans="11:12" x14ac:dyDescent="0.25">
      <c r="K108" s="749"/>
      <c r="L108" s="749"/>
    </row>
    <row r="109" spans="11:12" x14ac:dyDescent="0.25">
      <c r="L109" s="749"/>
    </row>
    <row r="110" spans="11:12" x14ac:dyDescent="0.25">
      <c r="K110" s="54"/>
      <c r="L110" s="749"/>
    </row>
    <row r="111" spans="11:12" x14ac:dyDescent="0.25">
      <c r="L111" s="749"/>
    </row>
    <row r="112" spans="11:12" x14ac:dyDescent="0.25">
      <c r="K112" s="749"/>
      <c r="L112" s="749"/>
    </row>
    <row r="113" spans="11:12" x14ac:dyDescent="0.25">
      <c r="K113" s="749"/>
      <c r="L113" s="749"/>
    </row>
    <row r="114" spans="11:12" x14ac:dyDescent="0.25">
      <c r="K114" s="749"/>
      <c r="L114" s="749"/>
    </row>
    <row r="115" spans="11:12" x14ac:dyDescent="0.25">
      <c r="K115" s="749"/>
      <c r="L115" s="749"/>
    </row>
    <row r="116" spans="11:12" x14ac:dyDescent="0.25">
      <c r="K116" s="749"/>
      <c r="L116" s="749"/>
    </row>
    <row r="117" spans="11:12" x14ac:dyDescent="0.25">
      <c r="K117" s="54"/>
      <c r="L117" s="749"/>
    </row>
    <row r="118" spans="11:12" x14ac:dyDescent="0.25">
      <c r="L118" s="749"/>
    </row>
    <row r="119" spans="11:12" x14ac:dyDescent="0.25">
      <c r="K119" s="886"/>
      <c r="L119" s="749"/>
    </row>
    <row r="120" spans="11:12" x14ac:dyDescent="0.25">
      <c r="L120" s="749"/>
    </row>
    <row r="121" spans="11:12" x14ac:dyDescent="0.25">
      <c r="L121" s="749"/>
    </row>
    <row r="122" spans="11:12" x14ac:dyDescent="0.25">
      <c r="L122" s="749"/>
    </row>
    <row r="123" spans="11:12" x14ac:dyDescent="0.25">
      <c r="L123" s="749"/>
    </row>
    <row r="124" spans="11:12" x14ac:dyDescent="0.25">
      <c r="L124" s="749"/>
    </row>
    <row r="125" spans="11:12" x14ac:dyDescent="0.25">
      <c r="L125" s="749"/>
    </row>
    <row r="126" spans="11:12" x14ac:dyDescent="0.25">
      <c r="L126" s="749"/>
    </row>
    <row r="127" spans="11:12" x14ac:dyDescent="0.25">
      <c r="L127" s="749"/>
    </row>
    <row r="128" spans="11:12" x14ac:dyDescent="0.25">
      <c r="L128" s="749"/>
    </row>
    <row r="129" spans="12:14" x14ac:dyDescent="0.25">
      <c r="L129" s="749"/>
    </row>
    <row r="130" spans="12:14" x14ac:dyDescent="0.25">
      <c r="L130" s="749"/>
    </row>
    <row r="131" spans="12:14" x14ac:dyDescent="0.25">
      <c r="L131" s="749"/>
    </row>
    <row r="132" spans="12:14" x14ac:dyDescent="0.25">
      <c r="L132" s="749"/>
    </row>
    <row r="133" spans="12:14" x14ac:dyDescent="0.25">
      <c r="N133" s="886"/>
    </row>
    <row r="134" spans="12:14" x14ac:dyDescent="0.25">
      <c r="L134" s="749"/>
    </row>
    <row r="136" spans="12:14" x14ac:dyDescent="0.25">
      <c r="L136" s="749"/>
    </row>
    <row r="137" spans="12:14" x14ac:dyDescent="0.25">
      <c r="L137" s="749"/>
      <c r="N137" s="886"/>
    </row>
    <row r="138" spans="12:14" x14ac:dyDescent="0.25">
      <c r="L138" s="886"/>
    </row>
    <row r="141" spans="12:14" x14ac:dyDescent="0.25">
      <c r="L141" s="886"/>
    </row>
    <row r="142" spans="12:14" x14ac:dyDescent="0.25">
      <c r="L142" s="886"/>
    </row>
    <row r="143" spans="12:14" x14ac:dyDescent="0.25">
      <c r="L143" s="749"/>
    </row>
    <row r="162" spans="11:12" x14ac:dyDescent="0.25">
      <c r="K162" s="749"/>
      <c r="L162" s="749"/>
    </row>
    <row r="163" spans="11:12" x14ac:dyDescent="0.25">
      <c r="K163" s="749"/>
      <c r="L163" s="749"/>
    </row>
    <row r="164" spans="11:12" x14ac:dyDescent="0.25">
      <c r="K164" s="749"/>
      <c r="L164" s="749"/>
    </row>
    <row r="165" spans="11:12" x14ac:dyDescent="0.25">
      <c r="K165" s="749"/>
      <c r="L165" s="749"/>
    </row>
    <row r="166" spans="11:12" x14ac:dyDescent="0.25">
      <c r="K166" s="749"/>
      <c r="L166" s="749"/>
    </row>
    <row r="167" spans="11:12" x14ac:dyDescent="0.25">
      <c r="K167" s="749"/>
      <c r="L167" s="749"/>
    </row>
    <row r="168" spans="11:12" x14ac:dyDescent="0.25">
      <c r="K168" s="749"/>
      <c r="L168" s="749"/>
    </row>
    <row r="169" spans="11:12" x14ac:dyDescent="0.25">
      <c r="K169" s="749"/>
      <c r="L169" s="749"/>
    </row>
    <row r="170" spans="11:12" x14ac:dyDescent="0.25">
      <c r="K170" s="749"/>
      <c r="L170" s="749"/>
    </row>
    <row r="171" spans="11:12" x14ac:dyDescent="0.25">
      <c r="K171" s="749"/>
      <c r="L171" s="749"/>
    </row>
    <row r="172" spans="11:12" x14ac:dyDescent="0.25">
      <c r="K172" s="749"/>
      <c r="L172" s="749"/>
    </row>
    <row r="173" spans="11:12" x14ac:dyDescent="0.25">
      <c r="K173" s="749"/>
      <c r="L173" s="749"/>
    </row>
    <row r="174" spans="11:12" x14ac:dyDescent="0.25">
      <c r="K174" s="749"/>
      <c r="L174" s="749"/>
    </row>
    <row r="175" spans="11:12" x14ac:dyDescent="0.25">
      <c r="K175" s="749"/>
      <c r="L175" s="749"/>
    </row>
    <row r="176" spans="11:12" x14ac:dyDescent="0.25">
      <c r="K176" s="749"/>
      <c r="L176" s="749"/>
    </row>
    <row r="177" spans="11:12" x14ac:dyDescent="0.25">
      <c r="K177" s="749"/>
      <c r="L177" s="749"/>
    </row>
    <row r="178" spans="11:12" x14ac:dyDescent="0.25">
      <c r="K178" s="749"/>
      <c r="L178" s="749"/>
    </row>
    <row r="179" spans="11:12" x14ac:dyDescent="0.25">
      <c r="K179" s="749"/>
      <c r="L179" s="749"/>
    </row>
    <row r="180" spans="11:12" x14ac:dyDescent="0.25">
      <c r="K180" s="749"/>
      <c r="L180" s="749"/>
    </row>
    <row r="181" spans="11:12" x14ac:dyDescent="0.25">
      <c r="K181" s="749"/>
      <c r="L181" s="749"/>
    </row>
    <row r="182" spans="11:12" x14ac:dyDescent="0.25">
      <c r="K182" s="749"/>
      <c r="L182" s="749"/>
    </row>
    <row r="183" spans="11:12" x14ac:dyDescent="0.25">
      <c r="K183" s="749"/>
      <c r="L183" s="749"/>
    </row>
    <row r="184" spans="11:12" x14ac:dyDescent="0.25">
      <c r="K184" s="749"/>
      <c r="L184" s="749"/>
    </row>
    <row r="185" spans="11:12" x14ac:dyDescent="0.25">
      <c r="K185" s="749"/>
      <c r="L185" s="749"/>
    </row>
    <row r="186" spans="11:12" x14ac:dyDescent="0.25">
      <c r="K186" s="749"/>
      <c r="L186" s="749"/>
    </row>
    <row r="187" spans="11:12" x14ac:dyDescent="0.25">
      <c r="K187" s="749"/>
      <c r="L187" s="749"/>
    </row>
    <row r="188" spans="11:12" x14ac:dyDescent="0.25">
      <c r="K188" s="749"/>
      <c r="L188" s="749"/>
    </row>
    <row r="189" spans="11:12" x14ac:dyDescent="0.25">
      <c r="K189" s="749"/>
      <c r="L189" s="749"/>
    </row>
    <row r="190" spans="11:12" x14ac:dyDescent="0.25">
      <c r="K190" s="749"/>
      <c r="L190" s="749"/>
    </row>
    <row r="191" spans="11:12" x14ac:dyDescent="0.25">
      <c r="K191" s="749"/>
      <c r="L191" s="749"/>
    </row>
    <row r="192" spans="11:12" x14ac:dyDescent="0.25">
      <c r="K192" s="749"/>
      <c r="L192" s="749"/>
    </row>
    <row r="193" spans="11:12" x14ac:dyDescent="0.25">
      <c r="K193" s="749"/>
      <c r="L193" s="749"/>
    </row>
    <row r="194" spans="11:12" x14ac:dyDescent="0.25">
      <c r="K194" s="749"/>
      <c r="L194" s="749"/>
    </row>
    <row r="195" spans="11:12" x14ac:dyDescent="0.25">
      <c r="K195" s="749"/>
      <c r="L195" s="749"/>
    </row>
    <row r="196" spans="11:12" x14ac:dyDescent="0.25">
      <c r="K196" s="749"/>
      <c r="L196" s="749"/>
    </row>
    <row r="197" spans="11:12" x14ac:dyDescent="0.25">
      <c r="K197" s="749"/>
      <c r="L197" s="749"/>
    </row>
    <row r="198" spans="11:12" x14ac:dyDescent="0.25">
      <c r="K198" s="749"/>
      <c r="L198" s="749"/>
    </row>
    <row r="199" spans="11:12" x14ac:dyDescent="0.25">
      <c r="K199" s="749"/>
      <c r="L199" s="749"/>
    </row>
    <row r="200" spans="11:12" x14ac:dyDescent="0.25">
      <c r="K200" s="749"/>
      <c r="L200" s="749"/>
    </row>
    <row r="201" spans="11:12" x14ac:dyDescent="0.25">
      <c r="K201" s="749"/>
      <c r="L201" s="749"/>
    </row>
    <row r="202" spans="11:12" x14ac:dyDescent="0.25">
      <c r="K202" s="749"/>
      <c r="L202" s="749"/>
    </row>
    <row r="203" spans="11:12" x14ac:dyDescent="0.25">
      <c r="K203" s="749"/>
      <c r="L203" s="749"/>
    </row>
    <row r="204" spans="11:12" x14ac:dyDescent="0.25">
      <c r="K204" s="749"/>
      <c r="L204" s="749"/>
    </row>
    <row r="205" spans="11:12" x14ac:dyDescent="0.25">
      <c r="K205" s="749"/>
      <c r="L205" s="749"/>
    </row>
    <row r="206" spans="11:12" x14ac:dyDescent="0.25">
      <c r="K206" s="749"/>
      <c r="L206" s="749"/>
    </row>
    <row r="207" spans="11:12" x14ac:dyDescent="0.25">
      <c r="K207" s="749"/>
      <c r="L207" s="749"/>
    </row>
    <row r="208" spans="11:12" x14ac:dyDescent="0.25">
      <c r="K208" s="749"/>
      <c r="L208" s="749"/>
    </row>
    <row r="209" spans="11:12" x14ac:dyDescent="0.25">
      <c r="K209" s="749"/>
      <c r="L209" s="749"/>
    </row>
    <row r="210" spans="11:12" x14ac:dyDescent="0.25">
      <c r="K210" s="749"/>
      <c r="L210" s="749"/>
    </row>
    <row r="211" spans="11:12" x14ac:dyDescent="0.25">
      <c r="K211" s="749"/>
      <c r="L211" s="749"/>
    </row>
    <row r="212" spans="11:12" x14ac:dyDescent="0.25">
      <c r="K212" s="749"/>
      <c r="L212" s="749"/>
    </row>
    <row r="213" spans="11:12" x14ac:dyDescent="0.25">
      <c r="K213" s="749"/>
      <c r="L213" s="749"/>
    </row>
    <row r="214" spans="11:12" x14ac:dyDescent="0.25">
      <c r="K214" s="749"/>
      <c r="L214" s="749"/>
    </row>
    <row r="215" spans="11:12" x14ac:dyDescent="0.25">
      <c r="K215" s="749"/>
      <c r="L215" s="749"/>
    </row>
    <row r="216" spans="11:12" x14ac:dyDescent="0.25">
      <c r="K216" s="749"/>
      <c r="L216" s="749"/>
    </row>
    <row r="217" spans="11:12" x14ac:dyDescent="0.25">
      <c r="K217" s="749"/>
      <c r="L217" s="749"/>
    </row>
    <row r="218" spans="11:12" x14ac:dyDescent="0.25">
      <c r="K218" s="749"/>
      <c r="L218" s="749"/>
    </row>
    <row r="219" spans="11:12" x14ac:dyDescent="0.25">
      <c r="K219" s="749"/>
      <c r="L219" s="749"/>
    </row>
    <row r="220" spans="11:12" x14ac:dyDescent="0.25">
      <c r="K220" s="749"/>
      <c r="L220" s="749"/>
    </row>
    <row r="221" spans="11:12" x14ac:dyDescent="0.25">
      <c r="K221" s="749"/>
      <c r="L221" s="749"/>
    </row>
    <row r="222" spans="11:12" x14ac:dyDescent="0.25">
      <c r="K222" s="749"/>
      <c r="L222" s="749"/>
    </row>
    <row r="223" spans="11:12" x14ac:dyDescent="0.25">
      <c r="K223" s="749"/>
      <c r="L223" s="749"/>
    </row>
    <row r="224" spans="11:12" x14ac:dyDescent="0.25">
      <c r="K224" s="749"/>
      <c r="L224" s="749"/>
    </row>
    <row r="225" spans="11:12" x14ac:dyDescent="0.25">
      <c r="K225" s="749"/>
      <c r="L225" s="749"/>
    </row>
    <row r="226" spans="11:12" x14ac:dyDescent="0.25">
      <c r="K226" s="749"/>
      <c r="L226" s="749"/>
    </row>
    <row r="227" spans="11:12" x14ac:dyDescent="0.25">
      <c r="K227" s="749"/>
      <c r="L227" s="749"/>
    </row>
    <row r="228" spans="11:12" x14ac:dyDescent="0.25">
      <c r="K228" s="749"/>
      <c r="L228" s="749"/>
    </row>
    <row r="229" spans="11:12" x14ac:dyDescent="0.25">
      <c r="K229" s="749"/>
      <c r="L229" s="749"/>
    </row>
    <row r="230" spans="11:12" x14ac:dyDescent="0.25">
      <c r="K230" s="749"/>
      <c r="L230" s="749"/>
    </row>
    <row r="231" spans="11:12" x14ac:dyDescent="0.25">
      <c r="K231" s="749"/>
      <c r="L231" s="749"/>
    </row>
    <row r="232" spans="11:12" x14ac:dyDescent="0.25">
      <c r="K232" s="749"/>
      <c r="L232" s="749"/>
    </row>
    <row r="233" spans="11:12" x14ac:dyDescent="0.25">
      <c r="K233" s="749"/>
      <c r="L233" s="749"/>
    </row>
    <row r="234" spans="11:12" x14ac:dyDescent="0.25">
      <c r="K234" s="749"/>
      <c r="L234" s="749"/>
    </row>
    <row r="235" spans="11:12" x14ac:dyDescent="0.25">
      <c r="K235" s="749"/>
      <c r="L235" s="749"/>
    </row>
    <row r="236" spans="11:12" x14ac:dyDescent="0.25">
      <c r="K236" s="749"/>
      <c r="L236" s="749"/>
    </row>
    <row r="237" spans="11:12" x14ac:dyDescent="0.25">
      <c r="K237" s="749"/>
      <c r="L237" s="749"/>
    </row>
    <row r="238" spans="11:12" x14ac:dyDescent="0.25">
      <c r="K238" s="749"/>
      <c r="L238" s="749"/>
    </row>
    <row r="239" spans="11:12" x14ac:dyDescent="0.25">
      <c r="K239" s="749"/>
      <c r="L239" s="749"/>
    </row>
    <row r="240" spans="11:12" x14ac:dyDescent="0.25">
      <c r="K240" s="749"/>
      <c r="L240" s="749"/>
    </row>
    <row r="241" spans="11:12" x14ac:dyDescent="0.25">
      <c r="K241" s="749"/>
      <c r="L241" s="749"/>
    </row>
    <row r="242" spans="11:12" x14ac:dyDescent="0.25">
      <c r="K242" s="749"/>
      <c r="L242" s="749"/>
    </row>
    <row r="243" spans="11:12" x14ac:dyDescent="0.25">
      <c r="K243" s="749"/>
      <c r="L243" s="749"/>
    </row>
    <row r="244" spans="11:12" x14ac:dyDescent="0.25">
      <c r="K244" s="749"/>
      <c r="L244" s="749"/>
    </row>
    <row r="245" spans="11:12" x14ac:dyDescent="0.25">
      <c r="K245" s="749"/>
      <c r="L245" s="749"/>
    </row>
    <row r="246" spans="11:12" x14ac:dyDescent="0.25">
      <c r="K246" s="749"/>
      <c r="L246" s="749"/>
    </row>
    <row r="247" spans="11:12" x14ac:dyDescent="0.25">
      <c r="K247" s="749"/>
      <c r="L247" s="749"/>
    </row>
    <row r="248" spans="11:12" x14ac:dyDescent="0.25">
      <c r="K248" s="749"/>
      <c r="L248" s="749"/>
    </row>
    <row r="249" spans="11:12" x14ac:dyDescent="0.25">
      <c r="K249" s="749"/>
      <c r="L249" s="749"/>
    </row>
    <row r="250" spans="11:12" x14ac:dyDescent="0.25">
      <c r="K250" s="749"/>
      <c r="L250" s="749"/>
    </row>
    <row r="251" spans="11:12" x14ac:dyDescent="0.25">
      <c r="K251" s="749"/>
      <c r="L251" s="749"/>
    </row>
    <row r="252" spans="11:12" x14ac:dyDescent="0.25">
      <c r="K252" s="749"/>
      <c r="L252" s="749"/>
    </row>
    <row r="253" spans="11:12" x14ac:dyDescent="0.25">
      <c r="K253" s="749"/>
      <c r="L253" s="749"/>
    </row>
    <row r="254" spans="11:12" x14ac:dyDescent="0.25">
      <c r="K254" s="749"/>
      <c r="L254" s="749"/>
    </row>
    <row r="255" spans="11:12" x14ac:dyDescent="0.25">
      <c r="K255" s="749"/>
      <c r="L255" s="749"/>
    </row>
    <row r="256" spans="11:12" x14ac:dyDescent="0.25">
      <c r="K256" s="749"/>
      <c r="L256" s="749"/>
    </row>
    <row r="257" spans="11:12" x14ac:dyDescent="0.25">
      <c r="K257" s="749"/>
      <c r="L257" s="749"/>
    </row>
    <row r="258" spans="11:12" x14ac:dyDescent="0.25">
      <c r="K258" s="749"/>
      <c r="L258" s="749"/>
    </row>
    <row r="259" spans="11:12" x14ac:dyDescent="0.25">
      <c r="K259" s="749"/>
      <c r="L259" s="749"/>
    </row>
    <row r="260" spans="11:12" x14ac:dyDescent="0.25">
      <c r="K260" s="749"/>
      <c r="L260" s="749"/>
    </row>
    <row r="261" spans="11:12" x14ac:dyDescent="0.25">
      <c r="K261" s="749"/>
      <c r="L261" s="749"/>
    </row>
    <row r="262" spans="11:12" x14ac:dyDescent="0.25">
      <c r="K262" s="749"/>
      <c r="L262" s="749"/>
    </row>
    <row r="263" spans="11:12" x14ac:dyDescent="0.25">
      <c r="K263" s="749"/>
      <c r="L263" s="749"/>
    </row>
    <row r="264" spans="11:12" x14ac:dyDescent="0.25">
      <c r="K264" s="749"/>
      <c r="L264" s="749"/>
    </row>
    <row r="265" spans="11:12" x14ac:dyDescent="0.25">
      <c r="K265" s="749"/>
      <c r="L265" s="749"/>
    </row>
    <row r="266" spans="11:12" x14ac:dyDescent="0.25">
      <c r="K266" s="749"/>
      <c r="L266" s="749"/>
    </row>
    <row r="267" spans="11:12" x14ac:dyDescent="0.25">
      <c r="K267" s="749"/>
      <c r="L267" s="749"/>
    </row>
    <row r="268" spans="11:12" x14ac:dyDescent="0.25">
      <c r="K268" s="14"/>
      <c r="L268" s="14"/>
    </row>
    <row r="269" spans="11:12" x14ac:dyDescent="0.25">
      <c r="K269" s="14"/>
      <c r="L269" s="14"/>
    </row>
    <row r="270" spans="11:12" x14ac:dyDescent="0.25">
      <c r="K270" s="14"/>
      <c r="L270" s="14"/>
    </row>
    <row r="271" spans="11:12" x14ac:dyDescent="0.25">
      <c r="K271" s="14"/>
      <c r="L271" s="14"/>
    </row>
    <row r="272" spans="11:12" x14ac:dyDescent="0.25">
      <c r="K272" s="14"/>
      <c r="L272" s="14"/>
    </row>
    <row r="273" spans="11:12" x14ac:dyDescent="0.25">
      <c r="K273" s="14"/>
      <c r="L273" s="14"/>
    </row>
    <row r="274" spans="11:12" x14ac:dyDescent="0.25">
      <c r="K274" s="14"/>
      <c r="L274" s="14"/>
    </row>
    <row r="275" spans="11:12" x14ac:dyDescent="0.25">
      <c r="K275" s="14"/>
      <c r="L275" s="14"/>
    </row>
    <row r="276" spans="11:12" x14ac:dyDescent="0.25">
      <c r="K276" s="14"/>
      <c r="L276" s="14"/>
    </row>
    <row r="277" spans="11:12" x14ac:dyDescent="0.25">
      <c r="K277" s="14"/>
      <c r="L277" s="14"/>
    </row>
  </sheetData>
  <mergeCells count="5">
    <mergeCell ref="A1:C1"/>
    <mergeCell ref="A2:C2"/>
    <mergeCell ref="A3:C3"/>
    <mergeCell ref="A9:C9"/>
    <mergeCell ref="A38:C38"/>
  </mergeCells>
  <pageMargins left="0.85" right="0.6" top="0.74803149606299213" bottom="0.74803149606299213" header="0.51181102362204722" footer="0.70866141732283472"/>
  <pageSetup paperSize="9" scale="70" firstPageNumber="3" orientation="portrait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19F1-3986-444B-A853-5EEDFDB7055F}">
  <sheetPr codeName="Sheet4">
    <tabColor rgb="FF92D050"/>
  </sheetPr>
  <dimension ref="A1:J108"/>
  <sheetViews>
    <sheetView view="pageBreakPreview" zoomScaleSheetLayoutView="100" workbookViewId="0">
      <selection activeCell="C5" sqref="A5:E19"/>
    </sheetView>
  </sheetViews>
  <sheetFormatPr defaultRowHeight="15" x14ac:dyDescent="0.25"/>
  <cols>
    <col min="1" max="2" width="3.7109375" style="1" customWidth="1"/>
    <col min="3" max="3" width="42.42578125" style="1" customWidth="1"/>
    <col min="4" max="4" width="22.85546875" style="181" customWidth="1"/>
    <col min="5" max="5" width="20.7109375" style="4" customWidth="1"/>
    <col min="6" max="6" width="20.7109375" style="4" hidden="1" customWidth="1"/>
    <col min="7" max="7" width="25.28515625" style="4" hidden="1" customWidth="1"/>
    <col min="8" max="8" width="22.85546875" style="1" hidden="1" customWidth="1"/>
    <col min="9" max="9" width="34.7109375" style="1" hidden="1" customWidth="1"/>
    <col min="10" max="10" width="31.5703125" style="1" customWidth="1"/>
    <col min="11" max="245" width="9.140625" style="1"/>
    <col min="246" max="247" width="3.7109375" style="1" customWidth="1"/>
    <col min="248" max="248" width="44" style="1" customWidth="1"/>
    <col min="249" max="249" width="3.42578125" style="1" customWidth="1"/>
    <col min="250" max="250" width="3" style="1" customWidth="1"/>
    <col min="251" max="251" width="16.85546875" style="1" customWidth="1"/>
    <col min="252" max="252" width="4.28515625" style="1" customWidth="1"/>
    <col min="253" max="253" width="16.140625" style="1" customWidth="1"/>
    <col min="254" max="254" width="3.5703125" style="1" bestFit="1" customWidth="1"/>
    <col min="255" max="255" width="16.5703125" style="1" customWidth="1"/>
    <col min="256" max="256" width="9.140625" style="1"/>
    <col min="257" max="257" width="14.5703125" style="1" bestFit="1" customWidth="1"/>
    <col min="258" max="258" width="13.5703125" style="1" bestFit="1" customWidth="1"/>
    <col min="259" max="259" width="14.5703125" style="1" bestFit="1" customWidth="1"/>
    <col min="260" max="501" width="9.140625" style="1"/>
    <col min="502" max="503" width="3.7109375" style="1" customWidth="1"/>
    <col min="504" max="504" width="44" style="1" customWidth="1"/>
    <col min="505" max="505" width="3.42578125" style="1" customWidth="1"/>
    <col min="506" max="506" width="3" style="1" customWidth="1"/>
    <col min="507" max="507" width="16.85546875" style="1" customWidth="1"/>
    <col min="508" max="508" width="4.28515625" style="1" customWidth="1"/>
    <col min="509" max="509" width="16.140625" style="1" customWidth="1"/>
    <col min="510" max="510" width="3.5703125" style="1" bestFit="1" customWidth="1"/>
    <col min="511" max="511" width="16.5703125" style="1" customWidth="1"/>
    <col min="512" max="512" width="9.140625" style="1"/>
    <col min="513" max="513" width="14.5703125" style="1" bestFit="1" customWidth="1"/>
    <col min="514" max="514" width="13.5703125" style="1" bestFit="1" customWidth="1"/>
    <col min="515" max="515" width="14.5703125" style="1" bestFit="1" customWidth="1"/>
    <col min="516" max="757" width="9.140625" style="1"/>
    <col min="758" max="759" width="3.7109375" style="1" customWidth="1"/>
    <col min="760" max="760" width="44" style="1" customWidth="1"/>
    <col min="761" max="761" width="3.42578125" style="1" customWidth="1"/>
    <col min="762" max="762" width="3" style="1" customWidth="1"/>
    <col min="763" max="763" width="16.85546875" style="1" customWidth="1"/>
    <col min="764" max="764" width="4.28515625" style="1" customWidth="1"/>
    <col min="765" max="765" width="16.140625" style="1" customWidth="1"/>
    <col min="766" max="766" width="3.5703125" style="1" bestFit="1" customWidth="1"/>
    <col min="767" max="767" width="16.5703125" style="1" customWidth="1"/>
    <col min="768" max="768" width="9.140625" style="1"/>
    <col min="769" max="769" width="14.5703125" style="1" bestFit="1" customWidth="1"/>
    <col min="770" max="770" width="13.5703125" style="1" bestFit="1" customWidth="1"/>
    <col min="771" max="771" width="14.5703125" style="1" bestFit="1" customWidth="1"/>
    <col min="772" max="1013" width="9.140625" style="1"/>
    <col min="1014" max="1015" width="3.7109375" style="1" customWidth="1"/>
    <col min="1016" max="1016" width="44" style="1" customWidth="1"/>
    <col min="1017" max="1017" width="3.42578125" style="1" customWidth="1"/>
    <col min="1018" max="1018" width="3" style="1" customWidth="1"/>
    <col min="1019" max="1019" width="16.85546875" style="1" customWidth="1"/>
    <col min="1020" max="1020" width="4.28515625" style="1" customWidth="1"/>
    <col min="1021" max="1021" width="16.140625" style="1" customWidth="1"/>
    <col min="1022" max="1022" width="3.5703125" style="1" bestFit="1" customWidth="1"/>
    <col min="1023" max="1023" width="16.5703125" style="1" customWidth="1"/>
    <col min="1024" max="1024" width="9.140625" style="1"/>
    <col min="1025" max="1025" width="14.5703125" style="1" bestFit="1" customWidth="1"/>
    <col min="1026" max="1026" width="13.5703125" style="1" bestFit="1" customWidth="1"/>
    <col min="1027" max="1027" width="14.5703125" style="1" bestFit="1" customWidth="1"/>
    <col min="1028" max="1269" width="9.140625" style="1"/>
    <col min="1270" max="1271" width="3.7109375" style="1" customWidth="1"/>
    <col min="1272" max="1272" width="44" style="1" customWidth="1"/>
    <col min="1273" max="1273" width="3.42578125" style="1" customWidth="1"/>
    <col min="1274" max="1274" width="3" style="1" customWidth="1"/>
    <col min="1275" max="1275" width="16.85546875" style="1" customWidth="1"/>
    <col min="1276" max="1276" width="4.28515625" style="1" customWidth="1"/>
    <col min="1277" max="1277" width="16.140625" style="1" customWidth="1"/>
    <col min="1278" max="1278" width="3.5703125" style="1" bestFit="1" customWidth="1"/>
    <col min="1279" max="1279" width="16.5703125" style="1" customWidth="1"/>
    <col min="1280" max="1280" width="9.140625" style="1"/>
    <col min="1281" max="1281" width="14.5703125" style="1" bestFit="1" customWidth="1"/>
    <col min="1282" max="1282" width="13.5703125" style="1" bestFit="1" customWidth="1"/>
    <col min="1283" max="1283" width="14.5703125" style="1" bestFit="1" customWidth="1"/>
    <col min="1284" max="1525" width="9.140625" style="1"/>
    <col min="1526" max="1527" width="3.7109375" style="1" customWidth="1"/>
    <col min="1528" max="1528" width="44" style="1" customWidth="1"/>
    <col min="1529" max="1529" width="3.42578125" style="1" customWidth="1"/>
    <col min="1530" max="1530" width="3" style="1" customWidth="1"/>
    <col min="1531" max="1531" width="16.85546875" style="1" customWidth="1"/>
    <col min="1532" max="1532" width="4.28515625" style="1" customWidth="1"/>
    <col min="1533" max="1533" width="16.140625" style="1" customWidth="1"/>
    <col min="1534" max="1534" width="3.5703125" style="1" bestFit="1" customWidth="1"/>
    <col min="1535" max="1535" width="16.5703125" style="1" customWidth="1"/>
    <col min="1536" max="1536" width="9.140625" style="1"/>
    <col min="1537" max="1537" width="14.5703125" style="1" bestFit="1" customWidth="1"/>
    <col min="1538" max="1538" width="13.5703125" style="1" bestFit="1" customWidth="1"/>
    <col min="1539" max="1539" width="14.5703125" style="1" bestFit="1" customWidth="1"/>
    <col min="1540" max="1781" width="9.140625" style="1"/>
    <col min="1782" max="1783" width="3.7109375" style="1" customWidth="1"/>
    <col min="1784" max="1784" width="44" style="1" customWidth="1"/>
    <col min="1785" max="1785" width="3.42578125" style="1" customWidth="1"/>
    <col min="1786" max="1786" width="3" style="1" customWidth="1"/>
    <col min="1787" max="1787" width="16.85546875" style="1" customWidth="1"/>
    <col min="1788" max="1788" width="4.28515625" style="1" customWidth="1"/>
    <col min="1789" max="1789" width="16.140625" style="1" customWidth="1"/>
    <col min="1790" max="1790" width="3.5703125" style="1" bestFit="1" customWidth="1"/>
    <col min="1791" max="1791" width="16.5703125" style="1" customWidth="1"/>
    <col min="1792" max="1792" width="9.140625" style="1"/>
    <col min="1793" max="1793" width="14.5703125" style="1" bestFit="1" customWidth="1"/>
    <col min="1794" max="1794" width="13.5703125" style="1" bestFit="1" customWidth="1"/>
    <col min="1795" max="1795" width="14.5703125" style="1" bestFit="1" customWidth="1"/>
    <col min="1796" max="2037" width="9.140625" style="1"/>
    <col min="2038" max="2039" width="3.7109375" style="1" customWidth="1"/>
    <col min="2040" max="2040" width="44" style="1" customWidth="1"/>
    <col min="2041" max="2041" width="3.42578125" style="1" customWidth="1"/>
    <col min="2042" max="2042" width="3" style="1" customWidth="1"/>
    <col min="2043" max="2043" width="16.85546875" style="1" customWidth="1"/>
    <col min="2044" max="2044" width="4.28515625" style="1" customWidth="1"/>
    <col min="2045" max="2045" width="16.140625" style="1" customWidth="1"/>
    <col min="2046" max="2046" width="3.5703125" style="1" bestFit="1" customWidth="1"/>
    <col min="2047" max="2047" width="16.5703125" style="1" customWidth="1"/>
    <col min="2048" max="2048" width="9.140625" style="1"/>
    <col min="2049" max="2049" width="14.5703125" style="1" bestFit="1" customWidth="1"/>
    <col min="2050" max="2050" width="13.5703125" style="1" bestFit="1" customWidth="1"/>
    <col min="2051" max="2051" width="14.5703125" style="1" bestFit="1" customWidth="1"/>
    <col min="2052" max="2293" width="9.140625" style="1"/>
    <col min="2294" max="2295" width="3.7109375" style="1" customWidth="1"/>
    <col min="2296" max="2296" width="44" style="1" customWidth="1"/>
    <col min="2297" max="2297" width="3.42578125" style="1" customWidth="1"/>
    <col min="2298" max="2298" width="3" style="1" customWidth="1"/>
    <col min="2299" max="2299" width="16.85546875" style="1" customWidth="1"/>
    <col min="2300" max="2300" width="4.28515625" style="1" customWidth="1"/>
    <col min="2301" max="2301" width="16.140625" style="1" customWidth="1"/>
    <col min="2302" max="2302" width="3.5703125" style="1" bestFit="1" customWidth="1"/>
    <col min="2303" max="2303" width="16.5703125" style="1" customWidth="1"/>
    <col min="2304" max="2304" width="9.140625" style="1"/>
    <col min="2305" max="2305" width="14.5703125" style="1" bestFit="1" customWidth="1"/>
    <col min="2306" max="2306" width="13.5703125" style="1" bestFit="1" customWidth="1"/>
    <col min="2307" max="2307" width="14.5703125" style="1" bestFit="1" customWidth="1"/>
    <col min="2308" max="2549" width="9.140625" style="1"/>
    <col min="2550" max="2551" width="3.7109375" style="1" customWidth="1"/>
    <col min="2552" max="2552" width="44" style="1" customWidth="1"/>
    <col min="2553" max="2553" width="3.42578125" style="1" customWidth="1"/>
    <col min="2554" max="2554" width="3" style="1" customWidth="1"/>
    <col min="2555" max="2555" width="16.85546875" style="1" customWidth="1"/>
    <col min="2556" max="2556" width="4.28515625" style="1" customWidth="1"/>
    <col min="2557" max="2557" width="16.140625" style="1" customWidth="1"/>
    <col min="2558" max="2558" width="3.5703125" style="1" bestFit="1" customWidth="1"/>
    <col min="2559" max="2559" width="16.5703125" style="1" customWidth="1"/>
    <col min="2560" max="2560" width="9.140625" style="1"/>
    <col min="2561" max="2561" width="14.5703125" style="1" bestFit="1" customWidth="1"/>
    <col min="2562" max="2562" width="13.5703125" style="1" bestFit="1" customWidth="1"/>
    <col min="2563" max="2563" width="14.5703125" style="1" bestFit="1" customWidth="1"/>
    <col min="2564" max="2805" width="9.140625" style="1"/>
    <col min="2806" max="2807" width="3.7109375" style="1" customWidth="1"/>
    <col min="2808" max="2808" width="44" style="1" customWidth="1"/>
    <col min="2809" max="2809" width="3.42578125" style="1" customWidth="1"/>
    <col min="2810" max="2810" width="3" style="1" customWidth="1"/>
    <col min="2811" max="2811" width="16.85546875" style="1" customWidth="1"/>
    <col min="2812" max="2812" width="4.28515625" style="1" customWidth="1"/>
    <col min="2813" max="2813" width="16.140625" style="1" customWidth="1"/>
    <col min="2814" max="2814" width="3.5703125" style="1" bestFit="1" customWidth="1"/>
    <col min="2815" max="2815" width="16.5703125" style="1" customWidth="1"/>
    <col min="2816" max="2816" width="9.140625" style="1"/>
    <col min="2817" max="2817" width="14.5703125" style="1" bestFit="1" customWidth="1"/>
    <col min="2818" max="2818" width="13.5703125" style="1" bestFit="1" customWidth="1"/>
    <col min="2819" max="2819" width="14.5703125" style="1" bestFit="1" customWidth="1"/>
    <col min="2820" max="3061" width="9.140625" style="1"/>
    <col min="3062" max="3063" width="3.7109375" style="1" customWidth="1"/>
    <col min="3064" max="3064" width="44" style="1" customWidth="1"/>
    <col min="3065" max="3065" width="3.42578125" style="1" customWidth="1"/>
    <col min="3066" max="3066" width="3" style="1" customWidth="1"/>
    <col min="3067" max="3067" width="16.85546875" style="1" customWidth="1"/>
    <col min="3068" max="3068" width="4.28515625" style="1" customWidth="1"/>
    <col min="3069" max="3069" width="16.140625" style="1" customWidth="1"/>
    <col min="3070" max="3070" width="3.5703125" style="1" bestFit="1" customWidth="1"/>
    <col min="3071" max="3071" width="16.5703125" style="1" customWidth="1"/>
    <col min="3072" max="3072" width="9.140625" style="1"/>
    <col min="3073" max="3073" width="14.5703125" style="1" bestFit="1" customWidth="1"/>
    <col min="3074" max="3074" width="13.5703125" style="1" bestFit="1" customWidth="1"/>
    <col min="3075" max="3075" width="14.5703125" style="1" bestFit="1" customWidth="1"/>
    <col min="3076" max="3317" width="9.140625" style="1"/>
    <col min="3318" max="3319" width="3.7109375" style="1" customWidth="1"/>
    <col min="3320" max="3320" width="44" style="1" customWidth="1"/>
    <col min="3321" max="3321" width="3.42578125" style="1" customWidth="1"/>
    <col min="3322" max="3322" width="3" style="1" customWidth="1"/>
    <col min="3323" max="3323" width="16.85546875" style="1" customWidth="1"/>
    <col min="3324" max="3324" width="4.28515625" style="1" customWidth="1"/>
    <col min="3325" max="3325" width="16.140625" style="1" customWidth="1"/>
    <col min="3326" max="3326" width="3.5703125" style="1" bestFit="1" customWidth="1"/>
    <col min="3327" max="3327" width="16.5703125" style="1" customWidth="1"/>
    <col min="3328" max="3328" width="9.140625" style="1"/>
    <col min="3329" max="3329" width="14.5703125" style="1" bestFit="1" customWidth="1"/>
    <col min="3330" max="3330" width="13.5703125" style="1" bestFit="1" customWidth="1"/>
    <col min="3331" max="3331" width="14.5703125" style="1" bestFit="1" customWidth="1"/>
    <col min="3332" max="3573" width="9.140625" style="1"/>
    <col min="3574" max="3575" width="3.7109375" style="1" customWidth="1"/>
    <col min="3576" max="3576" width="44" style="1" customWidth="1"/>
    <col min="3577" max="3577" width="3.42578125" style="1" customWidth="1"/>
    <col min="3578" max="3578" width="3" style="1" customWidth="1"/>
    <col min="3579" max="3579" width="16.85546875" style="1" customWidth="1"/>
    <col min="3580" max="3580" width="4.28515625" style="1" customWidth="1"/>
    <col min="3581" max="3581" width="16.140625" style="1" customWidth="1"/>
    <col min="3582" max="3582" width="3.5703125" style="1" bestFit="1" customWidth="1"/>
    <col min="3583" max="3583" width="16.5703125" style="1" customWidth="1"/>
    <col min="3584" max="3584" width="9.140625" style="1"/>
    <col min="3585" max="3585" width="14.5703125" style="1" bestFit="1" customWidth="1"/>
    <col min="3586" max="3586" width="13.5703125" style="1" bestFit="1" customWidth="1"/>
    <col min="3587" max="3587" width="14.5703125" style="1" bestFit="1" customWidth="1"/>
    <col min="3588" max="3829" width="9.140625" style="1"/>
    <col min="3830" max="3831" width="3.7109375" style="1" customWidth="1"/>
    <col min="3832" max="3832" width="44" style="1" customWidth="1"/>
    <col min="3833" max="3833" width="3.42578125" style="1" customWidth="1"/>
    <col min="3834" max="3834" width="3" style="1" customWidth="1"/>
    <col min="3835" max="3835" width="16.85546875" style="1" customWidth="1"/>
    <col min="3836" max="3836" width="4.28515625" style="1" customWidth="1"/>
    <col min="3837" max="3837" width="16.140625" style="1" customWidth="1"/>
    <col min="3838" max="3838" width="3.5703125" style="1" bestFit="1" customWidth="1"/>
    <col min="3839" max="3839" width="16.5703125" style="1" customWidth="1"/>
    <col min="3840" max="3840" width="9.140625" style="1"/>
    <col min="3841" max="3841" width="14.5703125" style="1" bestFit="1" customWidth="1"/>
    <col min="3842" max="3842" width="13.5703125" style="1" bestFit="1" customWidth="1"/>
    <col min="3843" max="3843" width="14.5703125" style="1" bestFit="1" customWidth="1"/>
    <col min="3844" max="4085" width="9.140625" style="1"/>
    <col min="4086" max="4087" width="3.7109375" style="1" customWidth="1"/>
    <col min="4088" max="4088" width="44" style="1" customWidth="1"/>
    <col min="4089" max="4089" width="3.42578125" style="1" customWidth="1"/>
    <col min="4090" max="4090" width="3" style="1" customWidth="1"/>
    <col min="4091" max="4091" width="16.85546875" style="1" customWidth="1"/>
    <col min="4092" max="4092" width="4.28515625" style="1" customWidth="1"/>
    <col min="4093" max="4093" width="16.140625" style="1" customWidth="1"/>
    <col min="4094" max="4094" width="3.5703125" style="1" bestFit="1" customWidth="1"/>
    <col min="4095" max="4095" width="16.5703125" style="1" customWidth="1"/>
    <col min="4096" max="4096" width="9.140625" style="1"/>
    <col min="4097" max="4097" width="14.5703125" style="1" bestFit="1" customWidth="1"/>
    <col min="4098" max="4098" width="13.5703125" style="1" bestFit="1" customWidth="1"/>
    <col min="4099" max="4099" width="14.5703125" style="1" bestFit="1" customWidth="1"/>
    <col min="4100" max="4341" width="9.140625" style="1"/>
    <col min="4342" max="4343" width="3.7109375" style="1" customWidth="1"/>
    <col min="4344" max="4344" width="44" style="1" customWidth="1"/>
    <col min="4345" max="4345" width="3.42578125" style="1" customWidth="1"/>
    <col min="4346" max="4346" width="3" style="1" customWidth="1"/>
    <col min="4347" max="4347" width="16.85546875" style="1" customWidth="1"/>
    <col min="4348" max="4348" width="4.28515625" style="1" customWidth="1"/>
    <col min="4349" max="4349" width="16.140625" style="1" customWidth="1"/>
    <col min="4350" max="4350" width="3.5703125" style="1" bestFit="1" customWidth="1"/>
    <col min="4351" max="4351" width="16.5703125" style="1" customWidth="1"/>
    <col min="4352" max="4352" width="9.140625" style="1"/>
    <col min="4353" max="4353" width="14.5703125" style="1" bestFit="1" customWidth="1"/>
    <col min="4354" max="4354" width="13.5703125" style="1" bestFit="1" customWidth="1"/>
    <col min="4355" max="4355" width="14.5703125" style="1" bestFit="1" customWidth="1"/>
    <col min="4356" max="4597" width="9.140625" style="1"/>
    <col min="4598" max="4599" width="3.7109375" style="1" customWidth="1"/>
    <col min="4600" max="4600" width="44" style="1" customWidth="1"/>
    <col min="4601" max="4601" width="3.42578125" style="1" customWidth="1"/>
    <col min="4602" max="4602" width="3" style="1" customWidth="1"/>
    <col min="4603" max="4603" width="16.85546875" style="1" customWidth="1"/>
    <col min="4604" max="4604" width="4.28515625" style="1" customWidth="1"/>
    <col min="4605" max="4605" width="16.140625" style="1" customWidth="1"/>
    <col min="4606" max="4606" width="3.5703125" style="1" bestFit="1" customWidth="1"/>
    <col min="4607" max="4607" width="16.5703125" style="1" customWidth="1"/>
    <col min="4608" max="4608" width="9.140625" style="1"/>
    <col min="4609" max="4609" width="14.5703125" style="1" bestFit="1" customWidth="1"/>
    <col min="4610" max="4610" width="13.5703125" style="1" bestFit="1" customWidth="1"/>
    <col min="4611" max="4611" width="14.5703125" style="1" bestFit="1" customWidth="1"/>
    <col min="4612" max="4853" width="9.140625" style="1"/>
    <col min="4854" max="4855" width="3.7109375" style="1" customWidth="1"/>
    <col min="4856" max="4856" width="44" style="1" customWidth="1"/>
    <col min="4857" max="4857" width="3.42578125" style="1" customWidth="1"/>
    <col min="4858" max="4858" width="3" style="1" customWidth="1"/>
    <col min="4859" max="4859" width="16.85546875" style="1" customWidth="1"/>
    <col min="4860" max="4860" width="4.28515625" style="1" customWidth="1"/>
    <col min="4861" max="4861" width="16.140625" style="1" customWidth="1"/>
    <col min="4862" max="4862" width="3.5703125" style="1" bestFit="1" customWidth="1"/>
    <col min="4863" max="4863" width="16.5703125" style="1" customWidth="1"/>
    <col min="4864" max="4864" width="9.140625" style="1"/>
    <col min="4865" max="4865" width="14.5703125" style="1" bestFit="1" customWidth="1"/>
    <col min="4866" max="4866" width="13.5703125" style="1" bestFit="1" customWidth="1"/>
    <col min="4867" max="4867" width="14.5703125" style="1" bestFit="1" customWidth="1"/>
    <col min="4868" max="5109" width="9.140625" style="1"/>
    <col min="5110" max="5111" width="3.7109375" style="1" customWidth="1"/>
    <col min="5112" max="5112" width="44" style="1" customWidth="1"/>
    <col min="5113" max="5113" width="3.42578125" style="1" customWidth="1"/>
    <col min="5114" max="5114" width="3" style="1" customWidth="1"/>
    <col min="5115" max="5115" width="16.85546875" style="1" customWidth="1"/>
    <col min="5116" max="5116" width="4.28515625" style="1" customWidth="1"/>
    <col min="5117" max="5117" width="16.140625" style="1" customWidth="1"/>
    <col min="5118" max="5118" width="3.5703125" style="1" bestFit="1" customWidth="1"/>
    <col min="5119" max="5119" width="16.5703125" style="1" customWidth="1"/>
    <col min="5120" max="5120" width="9.140625" style="1"/>
    <col min="5121" max="5121" width="14.5703125" style="1" bestFit="1" customWidth="1"/>
    <col min="5122" max="5122" width="13.5703125" style="1" bestFit="1" customWidth="1"/>
    <col min="5123" max="5123" width="14.5703125" style="1" bestFit="1" customWidth="1"/>
    <col min="5124" max="5365" width="9.140625" style="1"/>
    <col min="5366" max="5367" width="3.7109375" style="1" customWidth="1"/>
    <col min="5368" max="5368" width="44" style="1" customWidth="1"/>
    <col min="5369" max="5369" width="3.42578125" style="1" customWidth="1"/>
    <col min="5370" max="5370" width="3" style="1" customWidth="1"/>
    <col min="5371" max="5371" width="16.85546875" style="1" customWidth="1"/>
    <col min="5372" max="5372" width="4.28515625" style="1" customWidth="1"/>
    <col min="5373" max="5373" width="16.140625" style="1" customWidth="1"/>
    <col min="5374" max="5374" width="3.5703125" style="1" bestFit="1" customWidth="1"/>
    <col min="5375" max="5375" width="16.5703125" style="1" customWidth="1"/>
    <col min="5376" max="5376" width="9.140625" style="1"/>
    <col min="5377" max="5377" width="14.5703125" style="1" bestFit="1" customWidth="1"/>
    <col min="5378" max="5378" width="13.5703125" style="1" bestFit="1" customWidth="1"/>
    <col min="5379" max="5379" width="14.5703125" style="1" bestFit="1" customWidth="1"/>
    <col min="5380" max="5621" width="9.140625" style="1"/>
    <col min="5622" max="5623" width="3.7109375" style="1" customWidth="1"/>
    <col min="5624" max="5624" width="44" style="1" customWidth="1"/>
    <col min="5625" max="5625" width="3.42578125" style="1" customWidth="1"/>
    <col min="5626" max="5626" width="3" style="1" customWidth="1"/>
    <col min="5627" max="5627" width="16.85546875" style="1" customWidth="1"/>
    <col min="5628" max="5628" width="4.28515625" style="1" customWidth="1"/>
    <col min="5629" max="5629" width="16.140625" style="1" customWidth="1"/>
    <col min="5630" max="5630" width="3.5703125" style="1" bestFit="1" customWidth="1"/>
    <col min="5631" max="5631" width="16.5703125" style="1" customWidth="1"/>
    <col min="5632" max="5632" width="9.140625" style="1"/>
    <col min="5633" max="5633" width="14.5703125" style="1" bestFit="1" customWidth="1"/>
    <col min="5634" max="5634" width="13.5703125" style="1" bestFit="1" customWidth="1"/>
    <col min="5635" max="5635" width="14.5703125" style="1" bestFit="1" customWidth="1"/>
    <col min="5636" max="5877" width="9.140625" style="1"/>
    <col min="5878" max="5879" width="3.7109375" style="1" customWidth="1"/>
    <col min="5880" max="5880" width="44" style="1" customWidth="1"/>
    <col min="5881" max="5881" width="3.42578125" style="1" customWidth="1"/>
    <col min="5882" max="5882" width="3" style="1" customWidth="1"/>
    <col min="5883" max="5883" width="16.85546875" style="1" customWidth="1"/>
    <col min="5884" max="5884" width="4.28515625" style="1" customWidth="1"/>
    <col min="5885" max="5885" width="16.140625" style="1" customWidth="1"/>
    <col min="5886" max="5886" width="3.5703125" style="1" bestFit="1" customWidth="1"/>
    <col min="5887" max="5887" width="16.5703125" style="1" customWidth="1"/>
    <col min="5888" max="5888" width="9.140625" style="1"/>
    <col min="5889" max="5889" width="14.5703125" style="1" bestFit="1" customWidth="1"/>
    <col min="5890" max="5890" width="13.5703125" style="1" bestFit="1" customWidth="1"/>
    <col min="5891" max="5891" width="14.5703125" style="1" bestFit="1" customWidth="1"/>
    <col min="5892" max="6133" width="9.140625" style="1"/>
    <col min="6134" max="6135" width="3.7109375" style="1" customWidth="1"/>
    <col min="6136" max="6136" width="44" style="1" customWidth="1"/>
    <col min="6137" max="6137" width="3.42578125" style="1" customWidth="1"/>
    <col min="6138" max="6138" width="3" style="1" customWidth="1"/>
    <col min="6139" max="6139" width="16.85546875" style="1" customWidth="1"/>
    <col min="6140" max="6140" width="4.28515625" style="1" customWidth="1"/>
    <col min="6141" max="6141" width="16.140625" style="1" customWidth="1"/>
    <col min="6142" max="6142" width="3.5703125" style="1" bestFit="1" customWidth="1"/>
    <col min="6143" max="6143" width="16.5703125" style="1" customWidth="1"/>
    <col min="6144" max="6144" width="9.140625" style="1"/>
    <col min="6145" max="6145" width="14.5703125" style="1" bestFit="1" customWidth="1"/>
    <col min="6146" max="6146" width="13.5703125" style="1" bestFit="1" customWidth="1"/>
    <col min="6147" max="6147" width="14.5703125" style="1" bestFit="1" customWidth="1"/>
    <col min="6148" max="6389" width="9.140625" style="1"/>
    <col min="6390" max="6391" width="3.7109375" style="1" customWidth="1"/>
    <col min="6392" max="6392" width="44" style="1" customWidth="1"/>
    <col min="6393" max="6393" width="3.42578125" style="1" customWidth="1"/>
    <col min="6394" max="6394" width="3" style="1" customWidth="1"/>
    <col min="6395" max="6395" width="16.85546875" style="1" customWidth="1"/>
    <col min="6396" max="6396" width="4.28515625" style="1" customWidth="1"/>
    <col min="6397" max="6397" width="16.140625" style="1" customWidth="1"/>
    <col min="6398" max="6398" width="3.5703125" style="1" bestFit="1" customWidth="1"/>
    <col min="6399" max="6399" width="16.5703125" style="1" customWidth="1"/>
    <col min="6400" max="6400" width="9.140625" style="1"/>
    <col min="6401" max="6401" width="14.5703125" style="1" bestFit="1" customWidth="1"/>
    <col min="6402" max="6402" width="13.5703125" style="1" bestFit="1" customWidth="1"/>
    <col min="6403" max="6403" width="14.5703125" style="1" bestFit="1" customWidth="1"/>
    <col min="6404" max="6645" width="9.140625" style="1"/>
    <col min="6646" max="6647" width="3.7109375" style="1" customWidth="1"/>
    <col min="6648" max="6648" width="44" style="1" customWidth="1"/>
    <col min="6649" max="6649" width="3.42578125" style="1" customWidth="1"/>
    <col min="6650" max="6650" width="3" style="1" customWidth="1"/>
    <col min="6651" max="6651" width="16.85546875" style="1" customWidth="1"/>
    <col min="6652" max="6652" width="4.28515625" style="1" customWidth="1"/>
    <col min="6653" max="6653" width="16.140625" style="1" customWidth="1"/>
    <col min="6654" max="6654" width="3.5703125" style="1" bestFit="1" customWidth="1"/>
    <col min="6655" max="6655" width="16.5703125" style="1" customWidth="1"/>
    <col min="6656" max="6656" width="9.140625" style="1"/>
    <col min="6657" max="6657" width="14.5703125" style="1" bestFit="1" customWidth="1"/>
    <col min="6658" max="6658" width="13.5703125" style="1" bestFit="1" customWidth="1"/>
    <col min="6659" max="6659" width="14.5703125" style="1" bestFit="1" customWidth="1"/>
    <col min="6660" max="6901" width="9.140625" style="1"/>
    <col min="6902" max="6903" width="3.7109375" style="1" customWidth="1"/>
    <col min="6904" max="6904" width="44" style="1" customWidth="1"/>
    <col min="6905" max="6905" width="3.42578125" style="1" customWidth="1"/>
    <col min="6906" max="6906" width="3" style="1" customWidth="1"/>
    <col min="6907" max="6907" width="16.85546875" style="1" customWidth="1"/>
    <col min="6908" max="6908" width="4.28515625" style="1" customWidth="1"/>
    <col min="6909" max="6909" width="16.140625" style="1" customWidth="1"/>
    <col min="6910" max="6910" width="3.5703125" style="1" bestFit="1" customWidth="1"/>
    <col min="6911" max="6911" width="16.5703125" style="1" customWidth="1"/>
    <col min="6912" max="6912" width="9.140625" style="1"/>
    <col min="6913" max="6913" width="14.5703125" style="1" bestFit="1" customWidth="1"/>
    <col min="6914" max="6914" width="13.5703125" style="1" bestFit="1" customWidth="1"/>
    <col min="6915" max="6915" width="14.5703125" style="1" bestFit="1" customWidth="1"/>
    <col min="6916" max="7157" width="9.140625" style="1"/>
    <col min="7158" max="7159" width="3.7109375" style="1" customWidth="1"/>
    <col min="7160" max="7160" width="44" style="1" customWidth="1"/>
    <col min="7161" max="7161" width="3.42578125" style="1" customWidth="1"/>
    <col min="7162" max="7162" width="3" style="1" customWidth="1"/>
    <col min="7163" max="7163" width="16.85546875" style="1" customWidth="1"/>
    <col min="7164" max="7164" width="4.28515625" style="1" customWidth="1"/>
    <col min="7165" max="7165" width="16.140625" style="1" customWidth="1"/>
    <col min="7166" max="7166" width="3.5703125" style="1" bestFit="1" customWidth="1"/>
    <col min="7167" max="7167" width="16.5703125" style="1" customWidth="1"/>
    <col min="7168" max="7168" width="9.140625" style="1"/>
    <col min="7169" max="7169" width="14.5703125" style="1" bestFit="1" customWidth="1"/>
    <col min="7170" max="7170" width="13.5703125" style="1" bestFit="1" customWidth="1"/>
    <col min="7171" max="7171" width="14.5703125" style="1" bestFit="1" customWidth="1"/>
    <col min="7172" max="7413" width="9.140625" style="1"/>
    <col min="7414" max="7415" width="3.7109375" style="1" customWidth="1"/>
    <col min="7416" max="7416" width="44" style="1" customWidth="1"/>
    <col min="7417" max="7417" width="3.42578125" style="1" customWidth="1"/>
    <col min="7418" max="7418" width="3" style="1" customWidth="1"/>
    <col min="7419" max="7419" width="16.85546875" style="1" customWidth="1"/>
    <col min="7420" max="7420" width="4.28515625" style="1" customWidth="1"/>
    <col min="7421" max="7421" width="16.140625" style="1" customWidth="1"/>
    <col min="7422" max="7422" width="3.5703125" style="1" bestFit="1" customWidth="1"/>
    <col min="7423" max="7423" width="16.5703125" style="1" customWidth="1"/>
    <col min="7424" max="7424" width="9.140625" style="1"/>
    <col min="7425" max="7425" width="14.5703125" style="1" bestFit="1" customWidth="1"/>
    <col min="7426" max="7426" width="13.5703125" style="1" bestFit="1" customWidth="1"/>
    <col min="7427" max="7427" width="14.5703125" style="1" bestFit="1" customWidth="1"/>
    <col min="7428" max="7669" width="9.140625" style="1"/>
    <col min="7670" max="7671" width="3.7109375" style="1" customWidth="1"/>
    <col min="7672" max="7672" width="44" style="1" customWidth="1"/>
    <col min="7673" max="7673" width="3.42578125" style="1" customWidth="1"/>
    <col min="7674" max="7674" width="3" style="1" customWidth="1"/>
    <col min="7675" max="7675" width="16.85546875" style="1" customWidth="1"/>
    <col min="7676" max="7676" width="4.28515625" style="1" customWidth="1"/>
    <col min="7677" max="7677" width="16.140625" style="1" customWidth="1"/>
    <col min="7678" max="7678" width="3.5703125" style="1" bestFit="1" customWidth="1"/>
    <col min="7679" max="7679" width="16.5703125" style="1" customWidth="1"/>
    <col min="7680" max="7680" width="9.140625" style="1"/>
    <col min="7681" max="7681" width="14.5703125" style="1" bestFit="1" customWidth="1"/>
    <col min="7682" max="7682" width="13.5703125" style="1" bestFit="1" customWidth="1"/>
    <col min="7683" max="7683" width="14.5703125" style="1" bestFit="1" customWidth="1"/>
    <col min="7684" max="7925" width="9.140625" style="1"/>
    <col min="7926" max="7927" width="3.7109375" style="1" customWidth="1"/>
    <col min="7928" max="7928" width="44" style="1" customWidth="1"/>
    <col min="7929" max="7929" width="3.42578125" style="1" customWidth="1"/>
    <col min="7930" max="7930" width="3" style="1" customWidth="1"/>
    <col min="7931" max="7931" width="16.85546875" style="1" customWidth="1"/>
    <col min="7932" max="7932" width="4.28515625" style="1" customWidth="1"/>
    <col min="7933" max="7933" width="16.140625" style="1" customWidth="1"/>
    <col min="7934" max="7934" width="3.5703125" style="1" bestFit="1" customWidth="1"/>
    <col min="7935" max="7935" width="16.5703125" style="1" customWidth="1"/>
    <col min="7936" max="7936" width="9.140625" style="1"/>
    <col min="7937" max="7937" width="14.5703125" style="1" bestFit="1" customWidth="1"/>
    <col min="7938" max="7938" width="13.5703125" style="1" bestFit="1" customWidth="1"/>
    <col min="7939" max="7939" width="14.5703125" style="1" bestFit="1" customWidth="1"/>
    <col min="7940" max="8181" width="9.140625" style="1"/>
    <col min="8182" max="8183" width="3.7109375" style="1" customWidth="1"/>
    <col min="8184" max="8184" width="44" style="1" customWidth="1"/>
    <col min="8185" max="8185" width="3.42578125" style="1" customWidth="1"/>
    <col min="8186" max="8186" width="3" style="1" customWidth="1"/>
    <col min="8187" max="8187" width="16.85546875" style="1" customWidth="1"/>
    <col min="8188" max="8188" width="4.28515625" style="1" customWidth="1"/>
    <col min="8189" max="8189" width="16.140625" style="1" customWidth="1"/>
    <col min="8190" max="8190" width="3.5703125" style="1" bestFit="1" customWidth="1"/>
    <col min="8191" max="8191" width="16.5703125" style="1" customWidth="1"/>
    <col min="8192" max="8192" width="9.140625" style="1"/>
    <col min="8193" max="8193" width="14.5703125" style="1" bestFit="1" customWidth="1"/>
    <col min="8194" max="8194" width="13.5703125" style="1" bestFit="1" customWidth="1"/>
    <col min="8195" max="8195" width="14.5703125" style="1" bestFit="1" customWidth="1"/>
    <col min="8196" max="8437" width="9.140625" style="1"/>
    <col min="8438" max="8439" width="3.7109375" style="1" customWidth="1"/>
    <col min="8440" max="8440" width="44" style="1" customWidth="1"/>
    <col min="8441" max="8441" width="3.42578125" style="1" customWidth="1"/>
    <col min="8442" max="8442" width="3" style="1" customWidth="1"/>
    <col min="8443" max="8443" width="16.85546875" style="1" customWidth="1"/>
    <col min="8444" max="8444" width="4.28515625" style="1" customWidth="1"/>
    <col min="8445" max="8445" width="16.140625" style="1" customWidth="1"/>
    <col min="8446" max="8446" width="3.5703125" style="1" bestFit="1" customWidth="1"/>
    <col min="8447" max="8447" width="16.5703125" style="1" customWidth="1"/>
    <col min="8448" max="8448" width="9.140625" style="1"/>
    <col min="8449" max="8449" width="14.5703125" style="1" bestFit="1" customWidth="1"/>
    <col min="8450" max="8450" width="13.5703125" style="1" bestFit="1" customWidth="1"/>
    <col min="8451" max="8451" width="14.5703125" style="1" bestFit="1" customWidth="1"/>
    <col min="8452" max="8693" width="9.140625" style="1"/>
    <col min="8694" max="8695" width="3.7109375" style="1" customWidth="1"/>
    <col min="8696" max="8696" width="44" style="1" customWidth="1"/>
    <col min="8697" max="8697" width="3.42578125" style="1" customWidth="1"/>
    <col min="8698" max="8698" width="3" style="1" customWidth="1"/>
    <col min="8699" max="8699" width="16.85546875" style="1" customWidth="1"/>
    <col min="8700" max="8700" width="4.28515625" style="1" customWidth="1"/>
    <col min="8701" max="8701" width="16.140625" style="1" customWidth="1"/>
    <col min="8702" max="8702" width="3.5703125" style="1" bestFit="1" customWidth="1"/>
    <col min="8703" max="8703" width="16.5703125" style="1" customWidth="1"/>
    <col min="8704" max="8704" width="9.140625" style="1"/>
    <col min="8705" max="8705" width="14.5703125" style="1" bestFit="1" customWidth="1"/>
    <col min="8706" max="8706" width="13.5703125" style="1" bestFit="1" customWidth="1"/>
    <col min="8707" max="8707" width="14.5703125" style="1" bestFit="1" customWidth="1"/>
    <col min="8708" max="8949" width="9.140625" style="1"/>
    <col min="8950" max="8951" width="3.7109375" style="1" customWidth="1"/>
    <col min="8952" max="8952" width="44" style="1" customWidth="1"/>
    <col min="8953" max="8953" width="3.42578125" style="1" customWidth="1"/>
    <col min="8954" max="8954" width="3" style="1" customWidth="1"/>
    <col min="8955" max="8955" width="16.85546875" style="1" customWidth="1"/>
    <col min="8956" max="8956" width="4.28515625" style="1" customWidth="1"/>
    <col min="8957" max="8957" width="16.140625" style="1" customWidth="1"/>
    <col min="8958" max="8958" width="3.5703125" style="1" bestFit="1" customWidth="1"/>
    <col min="8959" max="8959" width="16.5703125" style="1" customWidth="1"/>
    <col min="8960" max="8960" width="9.140625" style="1"/>
    <col min="8961" max="8961" width="14.5703125" style="1" bestFit="1" customWidth="1"/>
    <col min="8962" max="8962" width="13.5703125" style="1" bestFit="1" customWidth="1"/>
    <col min="8963" max="8963" width="14.5703125" style="1" bestFit="1" customWidth="1"/>
    <col min="8964" max="9205" width="9.140625" style="1"/>
    <col min="9206" max="9207" width="3.7109375" style="1" customWidth="1"/>
    <col min="9208" max="9208" width="44" style="1" customWidth="1"/>
    <col min="9209" max="9209" width="3.42578125" style="1" customWidth="1"/>
    <col min="9210" max="9210" width="3" style="1" customWidth="1"/>
    <col min="9211" max="9211" width="16.85546875" style="1" customWidth="1"/>
    <col min="9212" max="9212" width="4.28515625" style="1" customWidth="1"/>
    <col min="9213" max="9213" width="16.140625" style="1" customWidth="1"/>
    <col min="9214" max="9214" width="3.5703125" style="1" bestFit="1" customWidth="1"/>
    <col min="9215" max="9215" width="16.5703125" style="1" customWidth="1"/>
    <col min="9216" max="9216" width="9.140625" style="1"/>
    <col min="9217" max="9217" width="14.5703125" style="1" bestFit="1" customWidth="1"/>
    <col min="9218" max="9218" width="13.5703125" style="1" bestFit="1" customWidth="1"/>
    <col min="9219" max="9219" width="14.5703125" style="1" bestFit="1" customWidth="1"/>
    <col min="9220" max="9461" width="9.140625" style="1"/>
    <col min="9462" max="9463" width="3.7109375" style="1" customWidth="1"/>
    <col min="9464" max="9464" width="44" style="1" customWidth="1"/>
    <col min="9465" max="9465" width="3.42578125" style="1" customWidth="1"/>
    <col min="9466" max="9466" width="3" style="1" customWidth="1"/>
    <col min="9467" max="9467" width="16.85546875" style="1" customWidth="1"/>
    <col min="9468" max="9468" width="4.28515625" style="1" customWidth="1"/>
    <col min="9469" max="9469" width="16.140625" style="1" customWidth="1"/>
    <col min="9470" max="9470" width="3.5703125" style="1" bestFit="1" customWidth="1"/>
    <col min="9471" max="9471" width="16.5703125" style="1" customWidth="1"/>
    <col min="9472" max="9472" width="9.140625" style="1"/>
    <col min="9473" max="9473" width="14.5703125" style="1" bestFit="1" customWidth="1"/>
    <col min="9474" max="9474" width="13.5703125" style="1" bestFit="1" customWidth="1"/>
    <col min="9475" max="9475" width="14.5703125" style="1" bestFit="1" customWidth="1"/>
    <col min="9476" max="9717" width="9.140625" style="1"/>
    <col min="9718" max="9719" width="3.7109375" style="1" customWidth="1"/>
    <col min="9720" max="9720" width="44" style="1" customWidth="1"/>
    <col min="9721" max="9721" width="3.42578125" style="1" customWidth="1"/>
    <col min="9722" max="9722" width="3" style="1" customWidth="1"/>
    <col min="9723" max="9723" width="16.85546875" style="1" customWidth="1"/>
    <col min="9724" max="9724" width="4.28515625" style="1" customWidth="1"/>
    <col min="9725" max="9725" width="16.140625" style="1" customWidth="1"/>
    <col min="9726" max="9726" width="3.5703125" style="1" bestFit="1" customWidth="1"/>
    <col min="9727" max="9727" width="16.5703125" style="1" customWidth="1"/>
    <col min="9728" max="9728" width="9.140625" style="1"/>
    <col min="9729" max="9729" width="14.5703125" style="1" bestFit="1" customWidth="1"/>
    <col min="9730" max="9730" width="13.5703125" style="1" bestFit="1" customWidth="1"/>
    <col min="9731" max="9731" width="14.5703125" style="1" bestFit="1" customWidth="1"/>
    <col min="9732" max="9973" width="9.140625" style="1"/>
    <col min="9974" max="9975" width="3.7109375" style="1" customWidth="1"/>
    <col min="9976" max="9976" width="44" style="1" customWidth="1"/>
    <col min="9977" max="9977" width="3.42578125" style="1" customWidth="1"/>
    <col min="9978" max="9978" width="3" style="1" customWidth="1"/>
    <col min="9979" max="9979" width="16.85546875" style="1" customWidth="1"/>
    <col min="9980" max="9980" width="4.28515625" style="1" customWidth="1"/>
    <col min="9981" max="9981" width="16.140625" style="1" customWidth="1"/>
    <col min="9982" max="9982" width="3.5703125" style="1" bestFit="1" customWidth="1"/>
    <col min="9983" max="9983" width="16.5703125" style="1" customWidth="1"/>
    <col min="9984" max="9984" width="9.140625" style="1"/>
    <col min="9985" max="9985" width="14.5703125" style="1" bestFit="1" customWidth="1"/>
    <col min="9986" max="9986" width="13.5703125" style="1" bestFit="1" customWidth="1"/>
    <col min="9987" max="9987" width="14.5703125" style="1" bestFit="1" customWidth="1"/>
    <col min="9988" max="10229" width="9.140625" style="1"/>
    <col min="10230" max="10231" width="3.7109375" style="1" customWidth="1"/>
    <col min="10232" max="10232" width="44" style="1" customWidth="1"/>
    <col min="10233" max="10233" width="3.42578125" style="1" customWidth="1"/>
    <col min="10234" max="10234" width="3" style="1" customWidth="1"/>
    <col min="10235" max="10235" width="16.85546875" style="1" customWidth="1"/>
    <col min="10236" max="10236" width="4.28515625" style="1" customWidth="1"/>
    <col min="10237" max="10237" width="16.140625" style="1" customWidth="1"/>
    <col min="10238" max="10238" width="3.5703125" style="1" bestFit="1" customWidth="1"/>
    <col min="10239" max="10239" width="16.5703125" style="1" customWidth="1"/>
    <col min="10240" max="10240" width="9.140625" style="1"/>
    <col min="10241" max="10241" width="14.5703125" style="1" bestFit="1" customWidth="1"/>
    <col min="10242" max="10242" width="13.5703125" style="1" bestFit="1" customWidth="1"/>
    <col min="10243" max="10243" width="14.5703125" style="1" bestFit="1" customWidth="1"/>
    <col min="10244" max="10485" width="9.140625" style="1"/>
    <col min="10486" max="10487" width="3.7109375" style="1" customWidth="1"/>
    <col min="10488" max="10488" width="44" style="1" customWidth="1"/>
    <col min="10489" max="10489" width="3.42578125" style="1" customWidth="1"/>
    <col min="10490" max="10490" width="3" style="1" customWidth="1"/>
    <col min="10491" max="10491" width="16.85546875" style="1" customWidth="1"/>
    <col min="10492" max="10492" width="4.28515625" style="1" customWidth="1"/>
    <col min="10493" max="10493" width="16.140625" style="1" customWidth="1"/>
    <col min="10494" max="10494" width="3.5703125" style="1" bestFit="1" customWidth="1"/>
    <col min="10495" max="10495" width="16.5703125" style="1" customWidth="1"/>
    <col min="10496" max="10496" width="9.140625" style="1"/>
    <col min="10497" max="10497" width="14.5703125" style="1" bestFit="1" customWidth="1"/>
    <col min="10498" max="10498" width="13.5703125" style="1" bestFit="1" customWidth="1"/>
    <col min="10499" max="10499" width="14.5703125" style="1" bestFit="1" customWidth="1"/>
    <col min="10500" max="10741" width="9.140625" style="1"/>
    <col min="10742" max="10743" width="3.7109375" style="1" customWidth="1"/>
    <col min="10744" max="10744" width="44" style="1" customWidth="1"/>
    <col min="10745" max="10745" width="3.42578125" style="1" customWidth="1"/>
    <col min="10746" max="10746" width="3" style="1" customWidth="1"/>
    <col min="10747" max="10747" width="16.85546875" style="1" customWidth="1"/>
    <col min="10748" max="10748" width="4.28515625" style="1" customWidth="1"/>
    <col min="10749" max="10749" width="16.140625" style="1" customWidth="1"/>
    <col min="10750" max="10750" width="3.5703125" style="1" bestFit="1" customWidth="1"/>
    <col min="10751" max="10751" width="16.5703125" style="1" customWidth="1"/>
    <col min="10752" max="10752" width="9.140625" style="1"/>
    <col min="10753" max="10753" width="14.5703125" style="1" bestFit="1" customWidth="1"/>
    <col min="10754" max="10754" width="13.5703125" style="1" bestFit="1" customWidth="1"/>
    <col min="10755" max="10755" width="14.5703125" style="1" bestFit="1" customWidth="1"/>
    <col min="10756" max="10997" width="9.140625" style="1"/>
    <col min="10998" max="10999" width="3.7109375" style="1" customWidth="1"/>
    <col min="11000" max="11000" width="44" style="1" customWidth="1"/>
    <col min="11001" max="11001" width="3.42578125" style="1" customWidth="1"/>
    <col min="11002" max="11002" width="3" style="1" customWidth="1"/>
    <col min="11003" max="11003" width="16.85546875" style="1" customWidth="1"/>
    <col min="11004" max="11004" width="4.28515625" style="1" customWidth="1"/>
    <col min="11005" max="11005" width="16.140625" style="1" customWidth="1"/>
    <col min="11006" max="11006" width="3.5703125" style="1" bestFit="1" customWidth="1"/>
    <col min="11007" max="11007" width="16.5703125" style="1" customWidth="1"/>
    <col min="11008" max="11008" width="9.140625" style="1"/>
    <col min="11009" max="11009" width="14.5703125" style="1" bestFit="1" customWidth="1"/>
    <col min="11010" max="11010" width="13.5703125" style="1" bestFit="1" customWidth="1"/>
    <col min="11011" max="11011" width="14.5703125" style="1" bestFit="1" customWidth="1"/>
    <col min="11012" max="11253" width="9.140625" style="1"/>
    <col min="11254" max="11255" width="3.7109375" style="1" customWidth="1"/>
    <col min="11256" max="11256" width="44" style="1" customWidth="1"/>
    <col min="11257" max="11257" width="3.42578125" style="1" customWidth="1"/>
    <col min="11258" max="11258" width="3" style="1" customWidth="1"/>
    <col min="11259" max="11259" width="16.85546875" style="1" customWidth="1"/>
    <col min="11260" max="11260" width="4.28515625" style="1" customWidth="1"/>
    <col min="11261" max="11261" width="16.140625" style="1" customWidth="1"/>
    <col min="11262" max="11262" width="3.5703125" style="1" bestFit="1" customWidth="1"/>
    <col min="11263" max="11263" width="16.5703125" style="1" customWidth="1"/>
    <col min="11264" max="11264" width="9.140625" style="1"/>
    <col min="11265" max="11265" width="14.5703125" style="1" bestFit="1" customWidth="1"/>
    <col min="11266" max="11266" width="13.5703125" style="1" bestFit="1" customWidth="1"/>
    <col min="11267" max="11267" width="14.5703125" style="1" bestFit="1" customWidth="1"/>
    <col min="11268" max="11509" width="9.140625" style="1"/>
    <col min="11510" max="11511" width="3.7109375" style="1" customWidth="1"/>
    <col min="11512" max="11512" width="44" style="1" customWidth="1"/>
    <col min="11513" max="11513" width="3.42578125" style="1" customWidth="1"/>
    <col min="11514" max="11514" width="3" style="1" customWidth="1"/>
    <col min="11515" max="11515" width="16.85546875" style="1" customWidth="1"/>
    <col min="11516" max="11516" width="4.28515625" style="1" customWidth="1"/>
    <col min="11517" max="11517" width="16.140625" style="1" customWidth="1"/>
    <col min="11518" max="11518" width="3.5703125" style="1" bestFit="1" customWidth="1"/>
    <col min="11519" max="11519" width="16.5703125" style="1" customWidth="1"/>
    <col min="11520" max="11520" width="9.140625" style="1"/>
    <col min="11521" max="11521" width="14.5703125" style="1" bestFit="1" customWidth="1"/>
    <col min="11522" max="11522" width="13.5703125" style="1" bestFit="1" customWidth="1"/>
    <col min="11523" max="11523" width="14.5703125" style="1" bestFit="1" customWidth="1"/>
    <col min="11524" max="11765" width="9.140625" style="1"/>
    <col min="11766" max="11767" width="3.7109375" style="1" customWidth="1"/>
    <col min="11768" max="11768" width="44" style="1" customWidth="1"/>
    <col min="11769" max="11769" width="3.42578125" style="1" customWidth="1"/>
    <col min="11770" max="11770" width="3" style="1" customWidth="1"/>
    <col min="11771" max="11771" width="16.85546875" style="1" customWidth="1"/>
    <col min="11772" max="11772" width="4.28515625" style="1" customWidth="1"/>
    <col min="11773" max="11773" width="16.140625" style="1" customWidth="1"/>
    <col min="11774" max="11774" width="3.5703125" style="1" bestFit="1" customWidth="1"/>
    <col min="11775" max="11775" width="16.5703125" style="1" customWidth="1"/>
    <col min="11776" max="11776" width="9.140625" style="1"/>
    <col min="11777" max="11777" width="14.5703125" style="1" bestFit="1" customWidth="1"/>
    <col min="11778" max="11778" width="13.5703125" style="1" bestFit="1" customWidth="1"/>
    <col min="11779" max="11779" width="14.5703125" style="1" bestFit="1" customWidth="1"/>
    <col min="11780" max="12021" width="9.140625" style="1"/>
    <col min="12022" max="12023" width="3.7109375" style="1" customWidth="1"/>
    <col min="12024" max="12024" width="44" style="1" customWidth="1"/>
    <col min="12025" max="12025" width="3.42578125" style="1" customWidth="1"/>
    <col min="12026" max="12026" width="3" style="1" customWidth="1"/>
    <col min="12027" max="12027" width="16.85546875" style="1" customWidth="1"/>
    <col min="12028" max="12028" width="4.28515625" style="1" customWidth="1"/>
    <col min="12029" max="12029" width="16.140625" style="1" customWidth="1"/>
    <col min="12030" max="12030" width="3.5703125" style="1" bestFit="1" customWidth="1"/>
    <col min="12031" max="12031" width="16.5703125" style="1" customWidth="1"/>
    <col min="12032" max="12032" width="9.140625" style="1"/>
    <col min="12033" max="12033" width="14.5703125" style="1" bestFit="1" customWidth="1"/>
    <col min="12034" max="12034" width="13.5703125" style="1" bestFit="1" customWidth="1"/>
    <col min="12035" max="12035" width="14.5703125" style="1" bestFit="1" customWidth="1"/>
    <col min="12036" max="12277" width="9.140625" style="1"/>
    <col min="12278" max="12279" width="3.7109375" style="1" customWidth="1"/>
    <col min="12280" max="12280" width="44" style="1" customWidth="1"/>
    <col min="12281" max="12281" width="3.42578125" style="1" customWidth="1"/>
    <col min="12282" max="12282" width="3" style="1" customWidth="1"/>
    <col min="12283" max="12283" width="16.85546875" style="1" customWidth="1"/>
    <col min="12284" max="12284" width="4.28515625" style="1" customWidth="1"/>
    <col min="12285" max="12285" width="16.140625" style="1" customWidth="1"/>
    <col min="12286" max="12286" width="3.5703125" style="1" bestFit="1" customWidth="1"/>
    <col min="12287" max="12287" width="16.5703125" style="1" customWidth="1"/>
    <col min="12288" max="12288" width="9.140625" style="1"/>
    <col min="12289" max="12289" width="14.5703125" style="1" bestFit="1" customWidth="1"/>
    <col min="12290" max="12290" width="13.5703125" style="1" bestFit="1" customWidth="1"/>
    <col min="12291" max="12291" width="14.5703125" style="1" bestFit="1" customWidth="1"/>
    <col min="12292" max="12533" width="9.140625" style="1"/>
    <col min="12534" max="12535" width="3.7109375" style="1" customWidth="1"/>
    <col min="12536" max="12536" width="44" style="1" customWidth="1"/>
    <col min="12537" max="12537" width="3.42578125" style="1" customWidth="1"/>
    <col min="12538" max="12538" width="3" style="1" customWidth="1"/>
    <col min="12539" max="12539" width="16.85546875" style="1" customWidth="1"/>
    <col min="12540" max="12540" width="4.28515625" style="1" customWidth="1"/>
    <col min="12541" max="12541" width="16.140625" style="1" customWidth="1"/>
    <col min="12542" max="12542" width="3.5703125" style="1" bestFit="1" customWidth="1"/>
    <col min="12543" max="12543" width="16.5703125" style="1" customWidth="1"/>
    <col min="12544" max="12544" width="9.140625" style="1"/>
    <col min="12545" max="12545" width="14.5703125" style="1" bestFit="1" customWidth="1"/>
    <col min="12546" max="12546" width="13.5703125" style="1" bestFit="1" customWidth="1"/>
    <col min="12547" max="12547" width="14.5703125" style="1" bestFit="1" customWidth="1"/>
    <col min="12548" max="12789" width="9.140625" style="1"/>
    <col min="12790" max="12791" width="3.7109375" style="1" customWidth="1"/>
    <col min="12792" max="12792" width="44" style="1" customWidth="1"/>
    <col min="12793" max="12793" width="3.42578125" style="1" customWidth="1"/>
    <col min="12794" max="12794" width="3" style="1" customWidth="1"/>
    <col min="12795" max="12795" width="16.85546875" style="1" customWidth="1"/>
    <col min="12796" max="12796" width="4.28515625" style="1" customWidth="1"/>
    <col min="12797" max="12797" width="16.140625" style="1" customWidth="1"/>
    <col min="12798" max="12798" width="3.5703125" style="1" bestFit="1" customWidth="1"/>
    <col min="12799" max="12799" width="16.5703125" style="1" customWidth="1"/>
    <col min="12800" max="12800" width="9.140625" style="1"/>
    <col min="12801" max="12801" width="14.5703125" style="1" bestFit="1" customWidth="1"/>
    <col min="12802" max="12802" width="13.5703125" style="1" bestFit="1" customWidth="1"/>
    <col min="12803" max="12803" width="14.5703125" style="1" bestFit="1" customWidth="1"/>
    <col min="12804" max="13045" width="9.140625" style="1"/>
    <col min="13046" max="13047" width="3.7109375" style="1" customWidth="1"/>
    <col min="13048" max="13048" width="44" style="1" customWidth="1"/>
    <col min="13049" max="13049" width="3.42578125" style="1" customWidth="1"/>
    <col min="13050" max="13050" width="3" style="1" customWidth="1"/>
    <col min="13051" max="13051" width="16.85546875" style="1" customWidth="1"/>
    <col min="13052" max="13052" width="4.28515625" style="1" customWidth="1"/>
    <col min="13053" max="13053" width="16.140625" style="1" customWidth="1"/>
    <col min="13054" max="13054" width="3.5703125" style="1" bestFit="1" customWidth="1"/>
    <col min="13055" max="13055" width="16.5703125" style="1" customWidth="1"/>
    <col min="13056" max="13056" width="9.140625" style="1"/>
    <col min="13057" max="13057" width="14.5703125" style="1" bestFit="1" customWidth="1"/>
    <col min="13058" max="13058" width="13.5703125" style="1" bestFit="1" customWidth="1"/>
    <col min="13059" max="13059" width="14.5703125" style="1" bestFit="1" customWidth="1"/>
    <col min="13060" max="13301" width="9.140625" style="1"/>
    <col min="13302" max="13303" width="3.7109375" style="1" customWidth="1"/>
    <col min="13304" max="13304" width="44" style="1" customWidth="1"/>
    <col min="13305" max="13305" width="3.42578125" style="1" customWidth="1"/>
    <col min="13306" max="13306" width="3" style="1" customWidth="1"/>
    <col min="13307" max="13307" width="16.85546875" style="1" customWidth="1"/>
    <col min="13308" max="13308" width="4.28515625" style="1" customWidth="1"/>
    <col min="13309" max="13309" width="16.140625" style="1" customWidth="1"/>
    <col min="13310" max="13310" width="3.5703125" style="1" bestFit="1" customWidth="1"/>
    <col min="13311" max="13311" width="16.5703125" style="1" customWidth="1"/>
    <col min="13312" max="13312" width="9.140625" style="1"/>
    <col min="13313" max="13313" width="14.5703125" style="1" bestFit="1" customWidth="1"/>
    <col min="13314" max="13314" width="13.5703125" style="1" bestFit="1" customWidth="1"/>
    <col min="13315" max="13315" width="14.5703125" style="1" bestFit="1" customWidth="1"/>
    <col min="13316" max="13557" width="9.140625" style="1"/>
    <col min="13558" max="13559" width="3.7109375" style="1" customWidth="1"/>
    <col min="13560" max="13560" width="44" style="1" customWidth="1"/>
    <col min="13561" max="13561" width="3.42578125" style="1" customWidth="1"/>
    <col min="13562" max="13562" width="3" style="1" customWidth="1"/>
    <col min="13563" max="13563" width="16.85546875" style="1" customWidth="1"/>
    <col min="13564" max="13564" width="4.28515625" style="1" customWidth="1"/>
    <col min="13565" max="13565" width="16.140625" style="1" customWidth="1"/>
    <col min="13566" max="13566" width="3.5703125" style="1" bestFit="1" customWidth="1"/>
    <col min="13567" max="13567" width="16.5703125" style="1" customWidth="1"/>
    <col min="13568" max="13568" width="9.140625" style="1"/>
    <col min="13569" max="13569" width="14.5703125" style="1" bestFit="1" customWidth="1"/>
    <col min="13570" max="13570" width="13.5703125" style="1" bestFit="1" customWidth="1"/>
    <col min="13571" max="13571" width="14.5703125" style="1" bestFit="1" customWidth="1"/>
    <col min="13572" max="13813" width="9.140625" style="1"/>
    <col min="13814" max="13815" width="3.7109375" style="1" customWidth="1"/>
    <col min="13816" max="13816" width="44" style="1" customWidth="1"/>
    <col min="13817" max="13817" width="3.42578125" style="1" customWidth="1"/>
    <col min="13818" max="13818" width="3" style="1" customWidth="1"/>
    <col min="13819" max="13819" width="16.85546875" style="1" customWidth="1"/>
    <col min="13820" max="13820" width="4.28515625" style="1" customWidth="1"/>
    <col min="13821" max="13821" width="16.140625" style="1" customWidth="1"/>
    <col min="13822" max="13822" width="3.5703125" style="1" bestFit="1" customWidth="1"/>
    <col min="13823" max="13823" width="16.5703125" style="1" customWidth="1"/>
    <col min="13824" max="13824" width="9.140625" style="1"/>
    <col min="13825" max="13825" width="14.5703125" style="1" bestFit="1" customWidth="1"/>
    <col min="13826" max="13826" width="13.5703125" style="1" bestFit="1" customWidth="1"/>
    <col min="13827" max="13827" width="14.5703125" style="1" bestFit="1" customWidth="1"/>
    <col min="13828" max="14069" width="9.140625" style="1"/>
    <col min="14070" max="14071" width="3.7109375" style="1" customWidth="1"/>
    <col min="14072" max="14072" width="44" style="1" customWidth="1"/>
    <col min="14073" max="14073" width="3.42578125" style="1" customWidth="1"/>
    <col min="14074" max="14074" width="3" style="1" customWidth="1"/>
    <col min="14075" max="14075" width="16.85546875" style="1" customWidth="1"/>
    <col min="14076" max="14076" width="4.28515625" style="1" customWidth="1"/>
    <col min="14077" max="14077" width="16.140625" style="1" customWidth="1"/>
    <col min="14078" max="14078" width="3.5703125" style="1" bestFit="1" customWidth="1"/>
    <col min="14079" max="14079" width="16.5703125" style="1" customWidth="1"/>
    <col min="14080" max="14080" width="9.140625" style="1"/>
    <col min="14081" max="14081" width="14.5703125" style="1" bestFit="1" customWidth="1"/>
    <col min="14082" max="14082" width="13.5703125" style="1" bestFit="1" customWidth="1"/>
    <col min="14083" max="14083" width="14.5703125" style="1" bestFit="1" customWidth="1"/>
    <col min="14084" max="14325" width="9.140625" style="1"/>
    <col min="14326" max="14327" width="3.7109375" style="1" customWidth="1"/>
    <col min="14328" max="14328" width="44" style="1" customWidth="1"/>
    <col min="14329" max="14329" width="3.42578125" style="1" customWidth="1"/>
    <col min="14330" max="14330" width="3" style="1" customWidth="1"/>
    <col min="14331" max="14331" width="16.85546875" style="1" customWidth="1"/>
    <col min="14332" max="14332" width="4.28515625" style="1" customWidth="1"/>
    <col min="14333" max="14333" width="16.140625" style="1" customWidth="1"/>
    <col min="14334" max="14334" width="3.5703125" style="1" bestFit="1" customWidth="1"/>
    <col min="14335" max="14335" width="16.5703125" style="1" customWidth="1"/>
    <col min="14336" max="14336" width="9.140625" style="1"/>
    <col min="14337" max="14337" width="14.5703125" style="1" bestFit="1" customWidth="1"/>
    <col min="14338" max="14338" width="13.5703125" style="1" bestFit="1" customWidth="1"/>
    <col min="14339" max="14339" width="14.5703125" style="1" bestFit="1" customWidth="1"/>
    <col min="14340" max="14581" width="9.140625" style="1"/>
    <col min="14582" max="14583" width="3.7109375" style="1" customWidth="1"/>
    <col min="14584" max="14584" width="44" style="1" customWidth="1"/>
    <col min="14585" max="14585" width="3.42578125" style="1" customWidth="1"/>
    <col min="14586" max="14586" width="3" style="1" customWidth="1"/>
    <col min="14587" max="14587" width="16.85546875" style="1" customWidth="1"/>
    <col min="14588" max="14588" width="4.28515625" style="1" customWidth="1"/>
    <col min="14589" max="14589" width="16.140625" style="1" customWidth="1"/>
    <col min="14590" max="14590" width="3.5703125" style="1" bestFit="1" customWidth="1"/>
    <col min="14591" max="14591" width="16.5703125" style="1" customWidth="1"/>
    <col min="14592" max="14592" width="9.140625" style="1"/>
    <col min="14593" max="14593" width="14.5703125" style="1" bestFit="1" customWidth="1"/>
    <col min="14594" max="14594" width="13.5703125" style="1" bestFit="1" customWidth="1"/>
    <col min="14595" max="14595" width="14.5703125" style="1" bestFit="1" customWidth="1"/>
    <col min="14596" max="14837" width="9.140625" style="1"/>
    <col min="14838" max="14839" width="3.7109375" style="1" customWidth="1"/>
    <col min="14840" max="14840" width="44" style="1" customWidth="1"/>
    <col min="14841" max="14841" width="3.42578125" style="1" customWidth="1"/>
    <col min="14842" max="14842" width="3" style="1" customWidth="1"/>
    <col min="14843" max="14843" width="16.85546875" style="1" customWidth="1"/>
    <col min="14844" max="14844" width="4.28515625" style="1" customWidth="1"/>
    <col min="14845" max="14845" width="16.140625" style="1" customWidth="1"/>
    <col min="14846" max="14846" width="3.5703125" style="1" bestFit="1" customWidth="1"/>
    <col min="14847" max="14847" width="16.5703125" style="1" customWidth="1"/>
    <col min="14848" max="14848" width="9.140625" style="1"/>
    <col min="14849" max="14849" width="14.5703125" style="1" bestFit="1" customWidth="1"/>
    <col min="14850" max="14850" width="13.5703125" style="1" bestFit="1" customWidth="1"/>
    <col min="14851" max="14851" width="14.5703125" style="1" bestFit="1" customWidth="1"/>
    <col min="14852" max="15093" width="9.140625" style="1"/>
    <col min="15094" max="15095" width="3.7109375" style="1" customWidth="1"/>
    <col min="15096" max="15096" width="44" style="1" customWidth="1"/>
    <col min="15097" max="15097" width="3.42578125" style="1" customWidth="1"/>
    <col min="15098" max="15098" width="3" style="1" customWidth="1"/>
    <col min="15099" max="15099" width="16.85546875" style="1" customWidth="1"/>
    <col min="15100" max="15100" width="4.28515625" style="1" customWidth="1"/>
    <col min="15101" max="15101" width="16.140625" style="1" customWidth="1"/>
    <col min="15102" max="15102" width="3.5703125" style="1" bestFit="1" customWidth="1"/>
    <col min="15103" max="15103" width="16.5703125" style="1" customWidth="1"/>
    <col min="15104" max="15104" width="9.140625" style="1"/>
    <col min="15105" max="15105" width="14.5703125" style="1" bestFit="1" customWidth="1"/>
    <col min="15106" max="15106" width="13.5703125" style="1" bestFit="1" customWidth="1"/>
    <col min="15107" max="15107" width="14.5703125" style="1" bestFit="1" customWidth="1"/>
    <col min="15108" max="15349" width="9.140625" style="1"/>
    <col min="15350" max="15351" width="3.7109375" style="1" customWidth="1"/>
    <col min="15352" max="15352" width="44" style="1" customWidth="1"/>
    <col min="15353" max="15353" width="3.42578125" style="1" customWidth="1"/>
    <col min="15354" max="15354" width="3" style="1" customWidth="1"/>
    <col min="15355" max="15355" width="16.85546875" style="1" customWidth="1"/>
    <col min="15356" max="15356" width="4.28515625" style="1" customWidth="1"/>
    <col min="15357" max="15357" width="16.140625" style="1" customWidth="1"/>
    <col min="15358" max="15358" width="3.5703125" style="1" bestFit="1" customWidth="1"/>
    <col min="15359" max="15359" width="16.5703125" style="1" customWidth="1"/>
    <col min="15360" max="15360" width="9.140625" style="1"/>
    <col min="15361" max="15361" width="14.5703125" style="1" bestFit="1" customWidth="1"/>
    <col min="15362" max="15362" width="13.5703125" style="1" bestFit="1" customWidth="1"/>
    <col min="15363" max="15363" width="14.5703125" style="1" bestFit="1" customWidth="1"/>
    <col min="15364" max="15605" width="9.140625" style="1"/>
    <col min="15606" max="15607" width="3.7109375" style="1" customWidth="1"/>
    <col min="15608" max="15608" width="44" style="1" customWidth="1"/>
    <col min="15609" max="15609" width="3.42578125" style="1" customWidth="1"/>
    <col min="15610" max="15610" width="3" style="1" customWidth="1"/>
    <col min="15611" max="15611" width="16.85546875" style="1" customWidth="1"/>
    <col min="15612" max="15612" width="4.28515625" style="1" customWidth="1"/>
    <col min="15613" max="15613" width="16.140625" style="1" customWidth="1"/>
    <col min="15614" max="15614" width="3.5703125" style="1" bestFit="1" customWidth="1"/>
    <col min="15615" max="15615" width="16.5703125" style="1" customWidth="1"/>
    <col min="15616" max="15616" width="9.140625" style="1"/>
    <col min="15617" max="15617" width="14.5703125" style="1" bestFit="1" customWidth="1"/>
    <col min="15618" max="15618" width="13.5703125" style="1" bestFit="1" customWidth="1"/>
    <col min="15619" max="15619" width="14.5703125" style="1" bestFit="1" customWidth="1"/>
    <col min="15620" max="15861" width="9.140625" style="1"/>
    <col min="15862" max="15863" width="3.7109375" style="1" customWidth="1"/>
    <col min="15864" max="15864" width="44" style="1" customWidth="1"/>
    <col min="15865" max="15865" width="3.42578125" style="1" customWidth="1"/>
    <col min="15866" max="15866" width="3" style="1" customWidth="1"/>
    <col min="15867" max="15867" width="16.85546875" style="1" customWidth="1"/>
    <col min="15868" max="15868" width="4.28515625" style="1" customWidth="1"/>
    <col min="15869" max="15869" width="16.140625" style="1" customWidth="1"/>
    <col min="15870" max="15870" width="3.5703125" style="1" bestFit="1" customWidth="1"/>
    <col min="15871" max="15871" width="16.5703125" style="1" customWidth="1"/>
    <col min="15872" max="15872" width="9.140625" style="1"/>
    <col min="15873" max="15873" width="14.5703125" style="1" bestFit="1" customWidth="1"/>
    <col min="15874" max="15874" width="13.5703125" style="1" bestFit="1" customWidth="1"/>
    <col min="15875" max="15875" width="14.5703125" style="1" bestFit="1" customWidth="1"/>
    <col min="15876" max="16117" width="9.140625" style="1"/>
    <col min="16118" max="16119" width="3.7109375" style="1" customWidth="1"/>
    <col min="16120" max="16120" width="44" style="1" customWidth="1"/>
    <col min="16121" max="16121" width="3.42578125" style="1" customWidth="1"/>
    <col min="16122" max="16122" width="3" style="1" customWidth="1"/>
    <col min="16123" max="16123" width="16.85546875" style="1" customWidth="1"/>
    <col min="16124" max="16124" width="4.28515625" style="1" customWidth="1"/>
    <col min="16125" max="16125" width="16.140625" style="1" customWidth="1"/>
    <col min="16126" max="16126" width="3.5703125" style="1" bestFit="1" customWidth="1"/>
    <col min="16127" max="16127" width="16.5703125" style="1" customWidth="1"/>
    <col min="16128" max="16128" width="9.140625" style="1"/>
    <col min="16129" max="16129" width="14.5703125" style="1" bestFit="1" customWidth="1"/>
    <col min="16130" max="16130" width="13.5703125" style="1" bestFit="1" customWidth="1"/>
    <col min="16131" max="16131" width="14.5703125" style="1" bestFit="1" customWidth="1"/>
    <col min="16132" max="16384" width="9.140625" style="1"/>
  </cols>
  <sheetData>
    <row r="1" spans="1:10" ht="15" customHeight="1" x14ac:dyDescent="0.25">
      <c r="A1" s="982" t="s">
        <v>22</v>
      </c>
      <c r="B1" s="982"/>
      <c r="C1" s="982"/>
      <c r="D1" s="982"/>
      <c r="E1" s="982"/>
      <c r="F1" s="385"/>
      <c r="G1" s="385"/>
    </row>
    <row r="2" spans="1:10" ht="15" customHeight="1" x14ac:dyDescent="0.25">
      <c r="A2" s="975" t="s">
        <v>1134</v>
      </c>
      <c r="B2" s="975"/>
      <c r="C2" s="975"/>
      <c r="D2" s="975"/>
      <c r="E2" s="975"/>
      <c r="F2" s="552"/>
      <c r="G2" s="552"/>
      <c r="H2" s="553"/>
    </row>
    <row r="3" spans="1:10" ht="15" customHeight="1" x14ac:dyDescent="0.2">
      <c r="A3" s="976" t="s">
        <v>2794</v>
      </c>
      <c r="B3" s="976"/>
      <c r="C3" s="976"/>
      <c r="D3" s="976"/>
      <c r="E3" s="976"/>
      <c r="F3" s="554"/>
      <c r="G3" s="554"/>
      <c r="H3" s="553"/>
    </row>
    <row r="4" spans="1:10" ht="15" hidden="1" customHeight="1" x14ac:dyDescent="0.25">
      <c r="A4" s="617" t="s">
        <v>12</v>
      </c>
      <c r="B4" s="611"/>
      <c r="C4" s="611"/>
      <c r="D4" s="570"/>
      <c r="E4" s="618"/>
      <c r="F4" s="618"/>
      <c r="G4" s="618"/>
      <c r="H4" s="553"/>
    </row>
    <row r="5" spans="1:10" s="11" customFormat="1" ht="15.75" x14ac:dyDescent="0.25">
      <c r="A5" s="617"/>
      <c r="B5" s="553"/>
      <c r="C5" s="553"/>
      <c r="D5" s="570"/>
      <c r="E5" s="619"/>
      <c r="F5" s="619"/>
      <c r="G5" s="619"/>
      <c r="H5" s="556"/>
    </row>
    <row r="6" spans="1:10" ht="13.5" customHeight="1" thickBot="1" x14ac:dyDescent="0.3">
      <c r="A6" s="610"/>
      <c r="B6" s="610"/>
      <c r="C6" s="610"/>
      <c r="D6" s="570"/>
      <c r="E6" s="619"/>
      <c r="F6" s="619"/>
      <c r="G6" s="619"/>
      <c r="H6" s="610"/>
    </row>
    <row r="7" spans="1:10" ht="13.5" customHeight="1" x14ac:dyDescent="0.25">
      <c r="A7" s="558"/>
      <c r="B7" s="558"/>
      <c r="C7" s="558"/>
      <c r="D7" s="620"/>
      <c r="E7" s="560"/>
      <c r="F7" s="979" t="s">
        <v>1663</v>
      </c>
      <c r="G7" s="977" t="s">
        <v>1143</v>
      </c>
      <c r="H7" s="614" t="s">
        <v>1131</v>
      </c>
      <c r="I7" s="514" t="s">
        <v>1513</v>
      </c>
      <c r="J7" s="560"/>
    </row>
    <row r="8" spans="1:10" ht="16.5" customHeight="1" thickBot="1" x14ac:dyDescent="0.3">
      <c r="A8" s="576"/>
      <c r="B8" s="576"/>
      <c r="C8" s="576"/>
      <c r="D8" s="955" t="s">
        <v>2801</v>
      </c>
      <c r="E8" s="615" t="s">
        <v>2793</v>
      </c>
      <c r="F8" s="980"/>
      <c r="G8" s="978"/>
      <c r="H8" s="616" t="s">
        <v>1463</v>
      </c>
      <c r="I8" s="515" t="s">
        <v>1519</v>
      </c>
      <c r="J8" s="948" t="s">
        <v>2799</v>
      </c>
    </row>
    <row r="9" spans="1:10" ht="15" customHeight="1" x14ac:dyDescent="0.25">
      <c r="A9" s="553"/>
      <c r="B9" s="553"/>
      <c r="C9" s="553"/>
      <c r="D9" s="570"/>
      <c r="E9" s="619"/>
      <c r="F9" s="553"/>
      <c r="G9" s="619"/>
      <c r="H9" s="553"/>
      <c r="J9" s="619"/>
    </row>
    <row r="10" spans="1:10" ht="15" customHeight="1" x14ac:dyDescent="0.25">
      <c r="A10" s="571" t="s">
        <v>987</v>
      </c>
      <c r="B10" s="553"/>
      <c r="C10" s="553"/>
      <c r="D10" s="570"/>
      <c r="E10" s="619"/>
      <c r="F10" s="553"/>
      <c r="G10" s="619"/>
      <c r="H10" s="553"/>
      <c r="J10" s="619"/>
    </row>
    <row r="11" spans="1:10" ht="14.1" customHeight="1" x14ac:dyDescent="0.25">
      <c r="A11" s="621"/>
      <c r="B11" s="553"/>
      <c r="C11" s="553"/>
      <c r="D11" s="570"/>
      <c r="E11" s="622"/>
      <c r="F11" s="553"/>
      <c r="G11" s="622"/>
      <c r="H11" s="553"/>
      <c r="J11" s="622"/>
    </row>
    <row r="12" spans="1:10" ht="15" customHeight="1" x14ac:dyDescent="0.25">
      <c r="A12" s="553" t="s">
        <v>1105</v>
      </c>
      <c r="B12" s="553"/>
      <c r="C12" s="553"/>
      <c r="D12" s="623"/>
      <c r="E12" s="624">
        <f>'TRIAL BALANCE '!N173</f>
        <v>346713265.95999998</v>
      </c>
      <c r="F12" s="625">
        <v>301688144</v>
      </c>
      <c r="G12" s="624">
        <f>44704542-11840646.2</f>
        <v>32863895.800000001</v>
      </c>
      <c r="H12" s="625">
        <f>F12+G12</f>
        <v>334552039.80000001</v>
      </c>
      <c r="I12" s="508">
        <f>E12-H12</f>
        <v>12161226.159999967</v>
      </c>
      <c r="J12" s="624">
        <f>'TRIAL BALANCE '!S173</f>
        <v>0</v>
      </c>
    </row>
    <row r="13" spans="1:10" ht="17.25" customHeight="1" x14ac:dyDescent="0.25">
      <c r="A13" s="553" t="s">
        <v>1104</v>
      </c>
      <c r="B13" s="553"/>
      <c r="C13" s="553"/>
      <c r="D13" s="623"/>
      <c r="E13" s="624">
        <f>'TRIAL BALANCE '!N175</f>
        <v>777026873.01999998</v>
      </c>
      <c r="F13" s="625">
        <v>5330323267</v>
      </c>
      <c r="G13" s="624"/>
      <c r="H13" s="625">
        <v>5330323267</v>
      </c>
      <c r="I13" s="508">
        <f>E13-H13</f>
        <v>-4553296393.9799995</v>
      </c>
      <c r="J13" s="624">
        <f>'TRIAL BALANCE '!S175</f>
        <v>0</v>
      </c>
    </row>
    <row r="14" spans="1:10" ht="15.75" customHeight="1" x14ac:dyDescent="0.25">
      <c r="A14" s="553" t="s">
        <v>1103</v>
      </c>
      <c r="B14" s="553"/>
      <c r="C14" s="553"/>
      <c r="D14" s="623"/>
      <c r="E14" s="624">
        <f>'TRIAL BALANCE '!N176</f>
        <v>5144588.7300000004</v>
      </c>
      <c r="F14" s="597">
        <v>8171087</v>
      </c>
      <c r="G14" s="624"/>
      <c r="H14" s="597">
        <v>8171087</v>
      </c>
      <c r="I14" s="508">
        <f>E14-H14</f>
        <v>-3026498.2699999996</v>
      </c>
      <c r="J14" s="624">
        <f>'TRIAL BALANCE '!S176</f>
        <v>0</v>
      </c>
    </row>
    <row r="15" spans="1:10" ht="14.1" hidden="1" customHeight="1" x14ac:dyDescent="0.25">
      <c r="A15" s="553"/>
      <c r="B15" s="553"/>
      <c r="C15" s="553"/>
      <c r="D15" s="623"/>
      <c r="E15" s="624"/>
      <c r="F15" s="553"/>
      <c r="G15" s="624"/>
      <c r="H15" s="553"/>
      <c r="I15" s="184"/>
      <c r="J15" s="624"/>
    </row>
    <row r="16" spans="1:10" ht="1.5" customHeight="1" x14ac:dyDescent="0.25">
      <c r="A16" s="576"/>
      <c r="B16" s="576"/>
      <c r="C16" s="576"/>
      <c r="D16" s="626"/>
      <c r="E16" s="627"/>
      <c r="F16" s="553"/>
      <c r="G16" s="628"/>
      <c r="H16" s="553"/>
      <c r="I16" s="184"/>
      <c r="J16" s="627"/>
    </row>
    <row r="17" spans="1:10" ht="5.0999999999999996" customHeight="1" x14ac:dyDescent="0.25">
      <c r="A17" s="553"/>
      <c r="B17" s="553"/>
      <c r="C17" s="553"/>
      <c r="D17" s="623"/>
      <c r="E17" s="622"/>
      <c r="F17" s="598"/>
      <c r="G17" s="629"/>
      <c r="H17" s="598"/>
      <c r="I17" s="184"/>
      <c r="J17" s="622"/>
    </row>
    <row r="18" spans="1:10" ht="15" customHeight="1" x14ac:dyDescent="0.25">
      <c r="A18" s="983" t="s">
        <v>4</v>
      </c>
      <c r="B18" s="983"/>
      <c r="C18" s="983"/>
      <c r="D18" s="626"/>
      <c r="E18" s="630">
        <f>SUM(E12:E15)+1</f>
        <v>1128884728.71</v>
      </c>
      <c r="F18" s="631">
        <f>SUM(F12:F15)</f>
        <v>5640182498</v>
      </c>
      <c r="G18" s="630"/>
      <c r="H18" s="631">
        <f>SUM(H12:H15)</f>
        <v>5673046393.8000002</v>
      </c>
      <c r="I18" s="184"/>
      <c r="J18" s="630">
        <v>0</v>
      </c>
    </row>
    <row r="19" spans="1:10" ht="19.149999999999999" customHeight="1" x14ac:dyDescent="0.25">
      <c r="A19" s="632" t="s">
        <v>1032</v>
      </c>
      <c r="B19" s="633"/>
      <c r="C19" s="633"/>
      <c r="D19" s="623"/>
      <c r="E19" s="628"/>
      <c r="F19" s="553"/>
      <c r="G19" s="628"/>
      <c r="H19" s="553"/>
      <c r="I19" s="184"/>
      <c r="J19" s="628"/>
    </row>
    <row r="20" spans="1:10" ht="6" customHeight="1" x14ac:dyDescent="0.25">
      <c r="A20" s="632"/>
      <c r="B20" s="633"/>
      <c r="C20" s="633"/>
      <c r="D20" s="623"/>
      <c r="E20" s="628"/>
      <c r="F20" s="553"/>
      <c r="G20" s="628"/>
      <c r="H20" s="553"/>
      <c r="I20" s="184"/>
      <c r="J20" s="628"/>
    </row>
    <row r="21" spans="1:10" ht="19.149999999999999" customHeight="1" x14ac:dyDescent="0.25">
      <c r="A21" s="984" t="s">
        <v>791</v>
      </c>
      <c r="B21" s="984"/>
      <c r="C21" s="984"/>
      <c r="D21" s="623"/>
      <c r="E21" s="628">
        <f>'TRIAL BALANCE '!N183</f>
        <v>50613303.709999993</v>
      </c>
      <c r="F21" s="625">
        <v>39662090</v>
      </c>
      <c r="G21" s="628">
        <f>257621-100</f>
        <v>257521</v>
      </c>
      <c r="H21" s="625">
        <f>F21+G21</f>
        <v>39919611</v>
      </c>
      <c r="I21" s="508">
        <f>E21-H21</f>
        <v>10693692.709999993</v>
      </c>
      <c r="J21" s="628">
        <f>'TRIAL BALANCE '!S183</f>
        <v>0</v>
      </c>
    </row>
    <row r="22" spans="1:10" ht="19.149999999999999" customHeight="1" x14ac:dyDescent="0.25">
      <c r="A22" s="984" t="s">
        <v>792</v>
      </c>
      <c r="B22" s="984"/>
      <c r="C22" s="984"/>
      <c r="D22" s="623"/>
      <c r="E22" s="628">
        <f>'TRIAL BALANCE '!N184+'TRIAL BALANCE '!N185+'TRIAL BALANCE '!N186+'TRIAL BALANCE '!N187+'TRIAL BALANCE '!N188+'TRIAL BALANCE '!N189+'TRIAL BALANCE '!N190+'TRIAL BALANCE '!N192+'TRIAL BALANCE '!N193+'TRIAL BALANCE '!N194+'TRIAL BALANCE '!N195</f>
        <v>122120048.88000001</v>
      </c>
      <c r="F22" s="625">
        <v>119891602</v>
      </c>
      <c r="G22" s="628">
        <f>-91003+7737-138166.66+11788475.22</f>
        <v>11567042.560000001</v>
      </c>
      <c r="H22" s="625">
        <f>F22+G22</f>
        <v>131458644.56</v>
      </c>
      <c r="I22" s="508">
        <f>E22-H22</f>
        <v>-9338595.6799999923</v>
      </c>
      <c r="J22" s="628">
        <f>'TRIAL BALANCE '!S184+'TRIAL BALANCE '!S185+'TRIAL BALANCE '!S186+'TRIAL BALANCE '!S187+'TRIAL BALANCE '!S188+'TRIAL BALANCE '!S189+'TRIAL BALANCE '!S190+'TRIAL BALANCE '!S192+'TRIAL BALANCE '!S193+'TRIAL BALANCE '!S194+'TRIAL BALANCE '!S195</f>
        <v>0</v>
      </c>
    </row>
    <row r="23" spans="1:10" ht="19.149999999999999" customHeight="1" x14ac:dyDescent="0.25">
      <c r="A23" s="984" t="s">
        <v>1102</v>
      </c>
      <c r="B23" s="984"/>
      <c r="C23" s="984"/>
      <c r="D23" s="623"/>
      <c r="E23" s="628">
        <f>'TRIAL BALANCE '!I290+'TRIAL BALANCE '!I291</f>
        <v>86046.81</v>
      </c>
      <c r="F23" s="625">
        <v>3931769</v>
      </c>
      <c r="G23" s="628"/>
      <c r="H23" s="625">
        <v>3931769</v>
      </c>
      <c r="I23" s="508">
        <f>E23-H23</f>
        <v>-3845722.19</v>
      </c>
      <c r="J23" s="628">
        <f>'TRIAL BALANCE '!N290+'TRIAL BALANCE '!N291</f>
        <v>0</v>
      </c>
    </row>
    <row r="24" spans="1:10" ht="19.149999999999999" customHeight="1" x14ac:dyDescent="0.25">
      <c r="A24" s="984" t="s">
        <v>1101</v>
      </c>
      <c r="B24" s="984"/>
      <c r="C24" s="984"/>
      <c r="D24" s="623"/>
      <c r="E24" s="628">
        <f>'TRIAL BALANCE '!I188+'TRIAL BALANCE '!I189+'TRIAL BALANCE '!N198+'TRIAL BALANCE '!N199+'TRIAL BALANCE '!I305</f>
        <v>15929999.73</v>
      </c>
      <c r="F24" s="625">
        <v>21823766</v>
      </c>
      <c r="G24" s="628">
        <v>46175</v>
      </c>
      <c r="H24" s="625">
        <f>21823766+46175.5</f>
        <v>21869941.5</v>
      </c>
      <c r="I24" s="508">
        <f>E24-H24</f>
        <v>-5939941.7699999996</v>
      </c>
      <c r="J24" s="628">
        <v>0</v>
      </c>
    </row>
    <row r="25" spans="1:10" ht="19.149999999999999" customHeight="1" x14ac:dyDescent="0.25">
      <c r="A25" s="981"/>
      <c r="B25" s="981"/>
      <c r="C25" s="981"/>
      <c r="D25" s="634"/>
      <c r="E25" s="635">
        <f>E21+E22+E23+E24</f>
        <v>188749399.13</v>
      </c>
      <c r="F25" s="636">
        <f>F21+F22+F23+F24</f>
        <v>185309227</v>
      </c>
      <c r="G25" s="635"/>
      <c r="H25" s="636">
        <f>H21+H22+H23+H24</f>
        <v>197179966.06</v>
      </c>
      <c r="I25" s="184"/>
      <c r="J25" s="635">
        <f>J21+J22+J23+J24</f>
        <v>0</v>
      </c>
    </row>
    <row r="26" spans="1:10" ht="8.25" customHeight="1" x14ac:dyDescent="0.25">
      <c r="A26" s="637"/>
      <c r="B26" s="637"/>
      <c r="C26" s="637"/>
      <c r="D26" s="623"/>
      <c r="E26" s="638"/>
      <c r="F26" s="553"/>
      <c r="G26" s="638"/>
      <c r="H26" s="553"/>
      <c r="I26" s="184"/>
      <c r="J26" s="638"/>
    </row>
    <row r="27" spans="1:10" ht="19.149999999999999" customHeight="1" x14ac:dyDescent="0.25">
      <c r="A27" s="632" t="s">
        <v>1100</v>
      </c>
      <c r="B27" s="633"/>
      <c r="C27" s="633"/>
      <c r="D27" s="639"/>
      <c r="E27" s="638">
        <f>E18-E25</f>
        <v>940135329.58000004</v>
      </c>
      <c r="F27" s="597">
        <f>F18-F25</f>
        <v>5454873271</v>
      </c>
      <c r="G27" s="638"/>
      <c r="H27" s="597">
        <f>H18-H25</f>
        <v>5475866427.7399998</v>
      </c>
      <c r="I27" s="508">
        <f>E27-H27</f>
        <v>-4535731098.1599998</v>
      </c>
      <c r="J27" s="638">
        <f>J18-J25</f>
        <v>0</v>
      </c>
    </row>
    <row r="28" spans="1:10" ht="3" hidden="1" customHeight="1" x14ac:dyDescent="0.25">
      <c r="A28" s="621" t="s">
        <v>4</v>
      </c>
      <c r="B28" s="621"/>
      <c r="C28" s="621"/>
      <c r="D28" s="640"/>
      <c r="E28" s="641"/>
      <c r="F28" s="553"/>
      <c r="G28" s="641"/>
      <c r="H28" s="553"/>
      <c r="I28" s="184"/>
      <c r="J28" s="641"/>
    </row>
    <row r="29" spans="1:10" ht="3.75" customHeight="1" x14ac:dyDescent="0.25">
      <c r="A29" s="642"/>
      <c r="B29" s="642"/>
      <c r="C29" s="642"/>
      <c r="D29" s="626"/>
      <c r="E29" s="643"/>
      <c r="F29" s="644"/>
      <c r="G29" s="643"/>
      <c r="H29" s="644"/>
      <c r="I29" s="184"/>
      <c r="J29" s="643"/>
    </row>
    <row r="30" spans="1:10" ht="7.15" hidden="1" customHeight="1" x14ac:dyDescent="0.25">
      <c r="A30" s="645"/>
      <c r="B30" s="645"/>
      <c r="C30" s="553"/>
      <c r="D30" s="646"/>
      <c r="E30" s="641"/>
      <c r="F30" s="598"/>
      <c r="G30" s="641"/>
      <c r="H30" s="598"/>
      <c r="I30" s="184"/>
      <c r="J30" s="641"/>
    </row>
    <row r="31" spans="1:10" ht="14.1" hidden="1" customHeight="1" x14ac:dyDescent="0.25">
      <c r="A31" s="621"/>
      <c r="B31" s="621"/>
      <c r="C31" s="621"/>
      <c r="D31" s="646"/>
      <c r="E31" s="619"/>
      <c r="F31" s="553"/>
      <c r="G31" s="619"/>
      <c r="H31" s="553"/>
      <c r="I31" s="184"/>
      <c r="J31" s="619"/>
    </row>
    <row r="32" spans="1:10" ht="10.5" customHeight="1" x14ac:dyDescent="0.25">
      <c r="A32" s="621"/>
      <c r="B32" s="621"/>
      <c r="C32" s="621"/>
      <c r="D32" s="646"/>
      <c r="E32" s="619"/>
      <c r="F32" s="553"/>
      <c r="G32" s="619"/>
      <c r="H32" s="553"/>
      <c r="I32" s="184"/>
      <c r="J32" s="619"/>
    </row>
    <row r="33" spans="1:10" ht="14.1" customHeight="1" x14ac:dyDescent="0.25">
      <c r="A33" s="632" t="s">
        <v>13</v>
      </c>
      <c r="B33" s="632"/>
      <c r="C33" s="632"/>
      <c r="D33" s="623"/>
      <c r="E33" s="647"/>
      <c r="F33" s="553"/>
      <c r="G33" s="647"/>
      <c r="H33" s="553"/>
      <c r="I33" s="184"/>
      <c r="J33" s="647"/>
    </row>
    <row r="34" spans="1:10" ht="18" customHeight="1" x14ac:dyDescent="0.25">
      <c r="A34" s="633" t="s">
        <v>48</v>
      </c>
      <c r="B34" s="553"/>
      <c r="C34" s="633"/>
      <c r="D34" s="648"/>
      <c r="E34" s="647">
        <f>'TRIAL BALANCE '!N205</f>
        <v>33549956.02</v>
      </c>
      <c r="F34" s="649">
        <v>27906951</v>
      </c>
      <c r="G34" s="647"/>
      <c r="H34" s="649">
        <v>27906951</v>
      </c>
      <c r="I34" s="508">
        <f>E34-H34</f>
        <v>5643005.0199999996</v>
      </c>
      <c r="J34" s="647">
        <f>'TRIAL BALANCE '!S205</f>
        <v>0</v>
      </c>
    </row>
    <row r="35" spans="1:10" ht="18" customHeight="1" x14ac:dyDescent="0.25">
      <c r="A35" s="650" t="s">
        <v>942</v>
      </c>
      <c r="B35" s="576"/>
      <c r="C35" s="650"/>
      <c r="D35" s="651"/>
      <c r="E35" s="652">
        <f>'TRIAL BALANCE '!I266</f>
        <v>0</v>
      </c>
      <c r="F35" s="649">
        <v>1330935348</v>
      </c>
      <c r="G35" s="652">
        <f>-312375+1734651.72</f>
        <v>1422276.72</v>
      </c>
      <c r="H35" s="649">
        <f>1330935348+G35</f>
        <v>1332357624.72</v>
      </c>
      <c r="I35" s="508">
        <f>E35-H35</f>
        <v>-1332357624.72</v>
      </c>
      <c r="J35" s="652">
        <f>'TRIAL BALANCE '!N266</f>
        <v>0</v>
      </c>
    </row>
    <row r="36" spans="1:10" ht="18" customHeight="1" x14ac:dyDescent="0.25">
      <c r="A36" s="632" t="s">
        <v>678</v>
      </c>
      <c r="B36" s="633"/>
      <c r="C36" s="633"/>
      <c r="D36" s="648"/>
      <c r="E36" s="647">
        <f>E27-E34-E35</f>
        <v>906585373.56000006</v>
      </c>
      <c r="F36" s="653">
        <f>F27-F34-F35</f>
        <v>4096030972</v>
      </c>
      <c r="G36" s="647"/>
      <c r="H36" s="653">
        <f>H27-H34-H35</f>
        <v>4115601852.0199995</v>
      </c>
      <c r="I36" s="508">
        <f>E36-H36</f>
        <v>-3209016478.4599996</v>
      </c>
      <c r="J36" s="647">
        <f>J27-J34-J35</f>
        <v>0</v>
      </c>
    </row>
    <row r="37" spans="1:10" ht="18" customHeight="1" x14ac:dyDescent="0.25">
      <c r="A37" s="650" t="s">
        <v>780</v>
      </c>
      <c r="B37" s="650"/>
      <c r="C37" s="650"/>
      <c r="D37" s="626"/>
      <c r="E37" s="652">
        <f>'TRIAL BALANCE '!N209</f>
        <v>0</v>
      </c>
      <c r="F37" s="654">
        <v>21580025</v>
      </c>
      <c r="G37" s="652"/>
      <c r="H37" s="654">
        <v>21580025</v>
      </c>
      <c r="I37" s="508">
        <f>E37-H37</f>
        <v>-21580025</v>
      </c>
      <c r="J37" s="652">
        <f>'TRIAL BALANCE '!S209</f>
        <v>0</v>
      </c>
    </row>
    <row r="38" spans="1:10" ht="20.45" customHeight="1" x14ac:dyDescent="0.25">
      <c r="A38" s="621" t="s">
        <v>1398</v>
      </c>
      <c r="B38" s="621"/>
      <c r="C38" s="621"/>
      <c r="D38" s="655"/>
      <c r="E38" s="619">
        <f>E36+E37</f>
        <v>906585373.56000006</v>
      </c>
      <c r="F38" s="619">
        <f>F36+F37</f>
        <v>4117610997</v>
      </c>
      <c r="G38" s="619"/>
      <c r="H38" s="619">
        <f>H36+H37</f>
        <v>4137181877.0199995</v>
      </c>
      <c r="I38" s="508">
        <f>E38-H38</f>
        <v>-3230596503.4599996</v>
      </c>
      <c r="J38" s="619">
        <f>J36+J37</f>
        <v>0</v>
      </c>
    </row>
    <row r="39" spans="1:10" ht="3.75" customHeight="1" thickBot="1" x14ac:dyDescent="0.3">
      <c r="A39" s="656"/>
      <c r="B39" s="656"/>
      <c r="C39" s="656"/>
      <c r="D39" s="657"/>
      <c r="E39" s="658"/>
      <c r="F39" s="658"/>
      <c r="G39" s="658"/>
      <c r="H39" s="592"/>
      <c r="I39" s="184"/>
      <c r="J39" s="658"/>
    </row>
    <row r="40" spans="1:10" ht="15.75" customHeight="1" thickTop="1" thickBot="1" x14ac:dyDescent="0.3">
      <c r="A40" s="659"/>
      <c r="B40" s="659"/>
      <c r="C40" s="659"/>
      <c r="D40" s="660"/>
      <c r="E40" s="661"/>
      <c r="F40" s="662"/>
      <c r="G40" s="662"/>
      <c r="H40" s="610"/>
      <c r="I40" s="184"/>
      <c r="J40" s="661"/>
    </row>
    <row r="41" spans="1:10" ht="13.5" customHeight="1" x14ac:dyDescent="0.25">
      <c r="A41" s="753"/>
      <c r="B41" s="474"/>
      <c r="C41" s="474"/>
      <c r="D41" s="755"/>
      <c r="E41" s="756"/>
      <c r="F41" s="663"/>
      <c r="G41" s="663"/>
      <c r="H41" s="553"/>
      <c r="I41" s="509"/>
    </row>
    <row r="42" spans="1:10" ht="12" customHeight="1" x14ac:dyDescent="0.25">
      <c r="A42" s="664"/>
      <c r="B42" s="664"/>
      <c r="C42" s="664"/>
      <c r="D42" s="665"/>
      <c r="E42" s="663"/>
      <c r="F42" s="663"/>
      <c r="G42" s="663"/>
      <c r="H42" s="553"/>
      <c r="I42" s="14"/>
    </row>
    <row r="43" spans="1:10" ht="13.5" customHeight="1" x14ac:dyDescent="0.25">
      <c r="A43" s="22"/>
      <c r="B43" s="22"/>
      <c r="C43" s="22"/>
      <c r="D43" s="5"/>
      <c r="E43" s="21"/>
      <c r="F43" s="21"/>
      <c r="G43" s="21"/>
      <c r="I43" s="54"/>
    </row>
    <row r="44" spans="1:10" ht="30.75" customHeight="1" x14ac:dyDescent="0.25">
      <c r="A44" s="80"/>
      <c r="C44" s="358"/>
      <c r="D44" s="358"/>
      <c r="E44" s="17"/>
      <c r="F44" s="17"/>
      <c r="G44" s="17"/>
    </row>
    <row r="45" spans="1:10" ht="12" customHeight="1" x14ac:dyDescent="0.25">
      <c r="A45" s="80"/>
      <c r="C45" s="358"/>
      <c r="D45" s="80"/>
      <c r="E45" s="496"/>
      <c r="F45" s="21"/>
      <c r="G45" s="21"/>
    </row>
    <row r="46" spans="1:10" ht="12.75" customHeight="1" x14ac:dyDescent="0.2">
      <c r="A46" s="80"/>
      <c r="C46" s="358"/>
      <c r="D46" s="80"/>
      <c r="E46" s="536"/>
      <c r="F46" s="21"/>
      <c r="G46" s="21"/>
      <c r="I46" s="14"/>
    </row>
    <row r="47" spans="1:10" ht="16.5" customHeight="1" x14ac:dyDescent="0.25">
      <c r="A47" s="80"/>
      <c r="D47"/>
      <c r="E47" s="748"/>
      <c r="F47" s="360"/>
      <c r="G47" s="360"/>
      <c r="I47" s="54"/>
    </row>
    <row r="48" spans="1:10" ht="16.5" customHeight="1" x14ac:dyDescent="0.25">
      <c r="A48" s="80"/>
      <c r="D48"/>
      <c r="E48" s="538"/>
      <c r="F48" s="98"/>
      <c r="G48" s="98"/>
      <c r="I48" s="54"/>
    </row>
    <row r="49" spans="1:9" x14ac:dyDescent="0.25">
      <c r="A49" s="22"/>
      <c r="B49" s="22"/>
      <c r="C49" s="22"/>
      <c r="D49" s="5"/>
      <c r="E49" s="21"/>
      <c r="F49" s="21"/>
      <c r="G49" s="21"/>
    </row>
    <row r="50" spans="1:9" x14ac:dyDescent="0.25">
      <c r="A50" s="22"/>
      <c r="B50" s="22"/>
      <c r="C50" s="358"/>
      <c r="D50" s="358"/>
      <c r="E50" s="17"/>
      <c r="F50" s="21"/>
      <c r="G50" s="21"/>
      <c r="I50" s="146"/>
    </row>
    <row r="51" spans="1:9" x14ac:dyDescent="0.25">
      <c r="A51" s="22"/>
      <c r="B51" s="22"/>
      <c r="C51" s="358"/>
      <c r="D51" s="80"/>
      <c r="E51" s="496"/>
      <c r="F51" s="21"/>
      <c r="G51" s="21"/>
    </row>
    <row r="52" spans="1:9" x14ac:dyDescent="0.25">
      <c r="A52" s="22"/>
      <c r="B52" s="22"/>
      <c r="C52" s="358"/>
      <c r="D52" s="80"/>
      <c r="E52" s="536"/>
      <c r="F52" s="21"/>
      <c r="G52" s="21"/>
    </row>
    <row r="53" spans="1:9" x14ac:dyDescent="0.25">
      <c r="A53" s="22"/>
      <c r="B53" s="22"/>
      <c r="D53"/>
      <c r="E53" s="537"/>
      <c r="F53" s="21"/>
      <c r="G53" s="21"/>
    </row>
    <row r="54" spans="1:9" x14ac:dyDescent="0.25">
      <c r="A54" s="22"/>
      <c r="B54" s="22"/>
      <c r="D54"/>
      <c r="E54" s="538"/>
      <c r="F54" s="21"/>
      <c r="G54" s="21"/>
    </row>
    <row r="55" spans="1:9" x14ac:dyDescent="0.25">
      <c r="A55" s="22"/>
      <c r="B55" s="22"/>
      <c r="C55" s="22"/>
      <c r="D55" s="5"/>
      <c r="E55" s="21"/>
      <c r="F55" s="21"/>
      <c r="G55" s="21"/>
    </row>
    <row r="56" spans="1:9" x14ac:dyDescent="0.25">
      <c r="A56" s="22"/>
      <c r="B56" s="22"/>
      <c r="C56" s="22"/>
      <c r="D56" s="5"/>
      <c r="E56" s="21"/>
      <c r="F56" s="21"/>
      <c r="G56" s="21"/>
    </row>
    <row r="57" spans="1:9" x14ac:dyDescent="0.25">
      <c r="A57" s="22"/>
      <c r="B57" s="22"/>
      <c r="C57" s="22"/>
      <c r="D57" s="5"/>
      <c r="E57" s="21"/>
      <c r="F57" s="21"/>
      <c r="G57" s="21"/>
    </row>
    <row r="58" spans="1:9" x14ac:dyDescent="0.25">
      <c r="A58" s="22"/>
      <c r="B58" s="22"/>
      <c r="C58" s="22"/>
      <c r="D58" s="5"/>
      <c r="E58" s="21"/>
      <c r="F58" s="21"/>
      <c r="G58" s="21"/>
    </row>
    <row r="59" spans="1:9" x14ac:dyDescent="0.25">
      <c r="A59" s="22"/>
      <c r="B59" s="22"/>
      <c r="C59" s="22"/>
      <c r="D59" s="5"/>
      <c r="E59" s="21"/>
      <c r="F59" s="21"/>
      <c r="G59" s="21"/>
    </row>
    <row r="60" spans="1:9" x14ac:dyDescent="0.25">
      <c r="A60" s="22"/>
      <c r="B60" s="22"/>
      <c r="C60" s="22"/>
      <c r="D60" s="5"/>
      <c r="E60" s="21"/>
      <c r="F60" s="21"/>
      <c r="G60" s="21"/>
    </row>
    <row r="61" spans="1:9" x14ac:dyDescent="0.25">
      <c r="A61" s="22"/>
      <c r="B61" s="22"/>
      <c r="C61" s="22"/>
      <c r="D61" s="5"/>
      <c r="E61" s="21"/>
      <c r="F61" s="21"/>
      <c r="G61" s="21"/>
    </row>
    <row r="62" spans="1:9" x14ac:dyDescent="0.25">
      <c r="A62" s="22"/>
      <c r="B62" s="22"/>
      <c r="C62" s="22"/>
      <c r="D62" s="5"/>
      <c r="E62" s="21"/>
      <c r="F62" s="21"/>
      <c r="G62" s="21"/>
    </row>
    <row r="63" spans="1:9" x14ac:dyDescent="0.25">
      <c r="A63" s="22"/>
      <c r="B63" s="22"/>
      <c r="C63" s="22"/>
      <c r="D63" s="5"/>
      <c r="E63" s="21"/>
      <c r="F63" s="21"/>
      <c r="G63" s="21"/>
    </row>
    <row r="64" spans="1:9" x14ac:dyDescent="0.25">
      <c r="A64" s="22"/>
      <c r="B64" s="22"/>
      <c r="C64" s="22"/>
      <c r="D64" s="5"/>
      <c r="E64" s="21"/>
      <c r="F64" s="21"/>
      <c r="G64" s="21"/>
    </row>
    <row r="65" spans="1:7" x14ac:dyDescent="0.25">
      <c r="A65" s="22"/>
      <c r="B65" s="22"/>
      <c r="C65" s="22"/>
      <c r="D65" s="5"/>
      <c r="E65" s="21"/>
      <c r="F65" s="21"/>
      <c r="G65" s="21"/>
    </row>
    <row r="66" spans="1:7" x14ac:dyDescent="0.25">
      <c r="A66" s="22"/>
      <c r="B66" s="22"/>
      <c r="C66" s="22"/>
      <c r="D66" s="5"/>
      <c r="E66" s="21"/>
      <c r="F66" s="21"/>
      <c r="G66" s="21"/>
    </row>
    <row r="67" spans="1:7" x14ac:dyDescent="0.25">
      <c r="A67" s="22"/>
      <c r="B67" s="22"/>
      <c r="C67" s="22"/>
      <c r="D67" s="5"/>
      <c r="E67" s="21"/>
      <c r="F67" s="21"/>
      <c r="G67" s="21"/>
    </row>
    <row r="68" spans="1:7" x14ac:dyDescent="0.25">
      <c r="A68" s="22"/>
      <c r="B68" s="22"/>
      <c r="C68" s="22"/>
      <c r="D68" s="5"/>
      <c r="E68" s="21"/>
      <c r="F68" s="21"/>
      <c r="G68" s="21"/>
    </row>
    <row r="69" spans="1:7" x14ac:dyDescent="0.25">
      <c r="A69" s="22"/>
      <c r="B69" s="22"/>
      <c r="C69" s="22"/>
      <c r="D69" s="5"/>
      <c r="E69" s="21"/>
      <c r="F69" s="21"/>
      <c r="G69" s="21"/>
    </row>
    <row r="70" spans="1:7" x14ac:dyDescent="0.25">
      <c r="A70" s="22"/>
      <c r="B70" s="22"/>
      <c r="C70" s="22"/>
      <c r="D70" s="5"/>
      <c r="E70" s="21"/>
      <c r="F70" s="21"/>
      <c r="G70" s="21"/>
    </row>
    <row r="71" spans="1:7" x14ac:dyDescent="0.25">
      <c r="A71" s="22"/>
      <c r="B71" s="22"/>
      <c r="C71" s="22"/>
      <c r="D71" s="5"/>
      <c r="E71" s="21"/>
      <c r="F71" s="21"/>
      <c r="G71" s="21"/>
    </row>
    <row r="72" spans="1:7" x14ac:dyDescent="0.25">
      <c r="A72" s="22"/>
      <c r="B72" s="22"/>
      <c r="C72" s="22"/>
      <c r="D72" s="5"/>
      <c r="E72" s="21"/>
      <c r="F72" s="21"/>
      <c r="G72" s="21"/>
    </row>
    <row r="73" spans="1:7" x14ac:dyDescent="0.25">
      <c r="A73" s="22"/>
      <c r="B73" s="22"/>
      <c r="C73" s="22"/>
      <c r="D73" s="5"/>
      <c r="E73" s="21"/>
      <c r="F73" s="21"/>
      <c r="G73" s="21"/>
    </row>
    <row r="74" spans="1:7" x14ac:dyDescent="0.25">
      <c r="A74" s="22"/>
      <c r="B74" s="22"/>
      <c r="C74" s="22"/>
      <c r="D74" s="5"/>
      <c r="E74" s="21"/>
      <c r="F74" s="21"/>
      <c r="G74" s="21"/>
    </row>
    <row r="75" spans="1:7" x14ac:dyDescent="0.25">
      <c r="A75" s="22"/>
      <c r="B75" s="22"/>
      <c r="C75" s="22"/>
      <c r="D75" s="5"/>
      <c r="E75" s="21"/>
      <c r="F75" s="21"/>
      <c r="G75" s="21"/>
    </row>
    <row r="76" spans="1:7" x14ac:dyDescent="0.25">
      <c r="A76" s="22"/>
      <c r="B76" s="22"/>
      <c r="C76" s="22"/>
      <c r="D76" s="5"/>
      <c r="E76" s="21"/>
      <c r="F76" s="21"/>
      <c r="G76" s="21"/>
    </row>
    <row r="77" spans="1:7" x14ac:dyDescent="0.25">
      <c r="A77" s="22"/>
      <c r="B77" s="22"/>
      <c r="C77" s="22"/>
      <c r="D77" s="5"/>
      <c r="E77" s="21"/>
      <c r="F77" s="21"/>
      <c r="G77" s="21"/>
    </row>
    <row r="78" spans="1:7" x14ac:dyDescent="0.25">
      <c r="A78" s="22"/>
      <c r="B78" s="22"/>
      <c r="C78" s="22"/>
      <c r="D78" s="5"/>
      <c r="E78" s="21"/>
      <c r="F78" s="21"/>
      <c r="G78" s="21"/>
    </row>
    <row r="79" spans="1:7" x14ac:dyDescent="0.25">
      <c r="A79" s="22"/>
      <c r="B79" s="22"/>
      <c r="C79" s="22"/>
      <c r="D79" s="5"/>
      <c r="E79" s="21"/>
      <c r="F79" s="21"/>
      <c r="G79" s="21"/>
    </row>
    <row r="80" spans="1:7" x14ac:dyDescent="0.25">
      <c r="A80" s="22"/>
      <c r="B80" s="22"/>
      <c r="C80" s="22"/>
      <c r="D80" s="5"/>
      <c r="E80" s="21"/>
      <c r="F80" s="21"/>
      <c r="G80" s="21"/>
    </row>
    <row r="81" spans="1:7" x14ac:dyDescent="0.25">
      <c r="A81" s="22"/>
      <c r="B81" s="22"/>
      <c r="C81" s="22"/>
      <c r="D81" s="5"/>
      <c r="E81" s="21"/>
      <c r="F81" s="21"/>
      <c r="G81" s="21"/>
    </row>
    <row r="82" spans="1:7" x14ac:dyDescent="0.25">
      <c r="A82" s="22"/>
      <c r="B82" s="22"/>
      <c r="C82" s="22"/>
      <c r="D82" s="5"/>
      <c r="E82" s="21"/>
      <c r="F82" s="21"/>
      <c r="G82" s="21"/>
    </row>
    <row r="83" spans="1:7" x14ac:dyDescent="0.25">
      <c r="A83" s="22"/>
      <c r="B83" s="22"/>
      <c r="C83" s="22"/>
      <c r="D83" s="5"/>
      <c r="E83" s="21"/>
      <c r="F83" s="21"/>
      <c r="G83" s="21"/>
    </row>
    <row r="84" spans="1:7" x14ac:dyDescent="0.25">
      <c r="A84" s="22"/>
      <c r="B84" s="22"/>
      <c r="C84" s="22"/>
      <c r="D84" s="5"/>
      <c r="E84" s="21"/>
      <c r="F84" s="21"/>
      <c r="G84" s="21"/>
    </row>
    <row r="85" spans="1:7" x14ac:dyDescent="0.25">
      <c r="A85" s="22"/>
      <c r="B85" s="22"/>
      <c r="C85" s="22"/>
      <c r="D85" s="5"/>
      <c r="E85" s="21"/>
      <c r="F85" s="21"/>
      <c r="G85" s="21"/>
    </row>
    <row r="86" spans="1:7" x14ac:dyDescent="0.25">
      <c r="A86" s="22"/>
      <c r="B86" s="22"/>
      <c r="C86" s="22"/>
      <c r="D86" s="5"/>
      <c r="E86" s="21"/>
      <c r="F86" s="21"/>
      <c r="G86" s="21"/>
    </row>
    <row r="87" spans="1:7" x14ac:dyDescent="0.25">
      <c r="A87" s="22"/>
      <c r="B87" s="22"/>
      <c r="C87" s="22"/>
      <c r="D87" s="5"/>
      <c r="E87" s="21"/>
      <c r="F87" s="21"/>
      <c r="G87" s="21"/>
    </row>
    <row r="88" spans="1:7" x14ac:dyDescent="0.25">
      <c r="A88" s="22"/>
      <c r="B88" s="22"/>
      <c r="C88" s="22"/>
      <c r="D88" s="5"/>
      <c r="E88" s="21"/>
      <c r="F88" s="21"/>
      <c r="G88" s="21"/>
    </row>
    <row r="89" spans="1:7" x14ac:dyDescent="0.25">
      <c r="A89" s="22"/>
      <c r="B89" s="22"/>
      <c r="C89" s="22"/>
      <c r="D89" s="5"/>
      <c r="E89" s="21"/>
      <c r="F89" s="21"/>
      <c r="G89" s="21"/>
    </row>
    <row r="90" spans="1:7" x14ac:dyDescent="0.25">
      <c r="A90" s="22"/>
      <c r="B90" s="22"/>
      <c r="C90" s="22"/>
      <c r="D90" s="5"/>
      <c r="E90" s="21"/>
      <c r="F90" s="21"/>
      <c r="G90" s="21"/>
    </row>
    <row r="91" spans="1:7" x14ac:dyDescent="0.25">
      <c r="A91" s="22"/>
      <c r="B91" s="22"/>
      <c r="C91" s="22"/>
      <c r="D91" s="5"/>
      <c r="E91" s="21"/>
      <c r="F91" s="21"/>
      <c r="G91" s="21"/>
    </row>
    <row r="92" spans="1:7" x14ac:dyDescent="0.25">
      <c r="A92" s="22"/>
      <c r="B92" s="22"/>
      <c r="C92" s="22"/>
      <c r="D92" s="5"/>
      <c r="E92" s="21"/>
      <c r="F92" s="21"/>
      <c r="G92" s="21"/>
    </row>
    <row r="93" spans="1:7" x14ac:dyDescent="0.25">
      <c r="A93" s="22"/>
      <c r="B93" s="22"/>
      <c r="C93" s="22"/>
      <c r="D93" s="5"/>
      <c r="E93" s="21"/>
      <c r="F93" s="21"/>
      <c r="G93" s="21"/>
    </row>
    <row r="94" spans="1:7" x14ac:dyDescent="0.25">
      <c r="A94" s="22"/>
      <c r="B94" s="22"/>
      <c r="C94" s="22"/>
      <c r="D94" s="5"/>
      <c r="E94" s="21"/>
      <c r="F94" s="21"/>
      <c r="G94" s="21"/>
    </row>
    <row r="95" spans="1:7" x14ac:dyDescent="0.25">
      <c r="A95" s="22"/>
      <c r="B95" s="22"/>
      <c r="C95" s="22"/>
      <c r="D95" s="5"/>
      <c r="E95" s="21"/>
      <c r="F95" s="21"/>
      <c r="G95" s="21"/>
    </row>
    <row r="96" spans="1:7" x14ac:dyDescent="0.25">
      <c r="A96" s="22"/>
      <c r="B96" s="22"/>
      <c r="C96" s="22"/>
      <c r="D96" s="5"/>
      <c r="E96" s="21"/>
      <c r="F96" s="21"/>
      <c r="G96" s="21"/>
    </row>
    <row r="97" spans="1:7" x14ac:dyDescent="0.25">
      <c r="A97" s="22"/>
      <c r="B97" s="22"/>
      <c r="C97" s="22"/>
      <c r="D97" s="5"/>
      <c r="E97" s="21"/>
      <c r="F97" s="21"/>
      <c r="G97" s="21"/>
    </row>
    <row r="98" spans="1:7" x14ac:dyDescent="0.25">
      <c r="A98" s="22"/>
      <c r="B98" s="22"/>
      <c r="C98" s="22"/>
      <c r="D98" s="5"/>
      <c r="E98" s="21"/>
      <c r="F98" s="21"/>
      <c r="G98" s="21"/>
    </row>
    <row r="99" spans="1:7" x14ac:dyDescent="0.25">
      <c r="A99" s="22"/>
      <c r="B99" s="22"/>
      <c r="C99" s="22"/>
      <c r="D99" s="5"/>
      <c r="E99" s="21"/>
      <c r="F99" s="21"/>
      <c r="G99" s="21"/>
    </row>
    <row r="100" spans="1:7" x14ac:dyDescent="0.25">
      <c r="A100" s="22"/>
      <c r="B100" s="22"/>
      <c r="C100" s="22"/>
      <c r="D100" s="5"/>
      <c r="E100" s="21"/>
      <c r="F100" s="21"/>
      <c r="G100" s="21"/>
    </row>
    <row r="101" spans="1:7" x14ac:dyDescent="0.25">
      <c r="A101" s="22"/>
      <c r="B101" s="22"/>
      <c r="C101" s="22"/>
      <c r="D101" s="5"/>
      <c r="E101" s="21"/>
      <c r="F101" s="21"/>
      <c r="G101" s="21"/>
    </row>
    <row r="102" spans="1:7" x14ac:dyDescent="0.25">
      <c r="A102" s="22"/>
      <c r="B102" s="22"/>
      <c r="C102" s="22"/>
      <c r="D102" s="5"/>
      <c r="E102" s="21"/>
      <c r="F102" s="21"/>
      <c r="G102" s="21"/>
    </row>
    <row r="103" spans="1:7" x14ac:dyDescent="0.25">
      <c r="A103" s="22"/>
      <c r="B103" s="22"/>
      <c r="C103" s="22"/>
      <c r="D103" s="5"/>
      <c r="E103" s="21"/>
      <c r="F103" s="21"/>
      <c r="G103" s="21"/>
    </row>
    <row r="104" spans="1:7" x14ac:dyDescent="0.25">
      <c r="A104" s="22"/>
      <c r="B104" s="22"/>
      <c r="C104" s="22"/>
      <c r="D104" s="5"/>
      <c r="E104" s="21"/>
      <c r="F104" s="21"/>
      <c r="G104" s="21"/>
    </row>
    <row r="105" spans="1:7" x14ac:dyDescent="0.25">
      <c r="A105" s="22"/>
      <c r="B105" s="22"/>
      <c r="C105" s="22"/>
      <c r="D105" s="5"/>
      <c r="E105" s="21"/>
      <c r="F105" s="21"/>
      <c r="G105" s="21"/>
    </row>
    <row r="106" spans="1:7" x14ac:dyDescent="0.25">
      <c r="A106" s="22"/>
      <c r="B106" s="22"/>
      <c r="C106" s="22"/>
      <c r="D106" s="5"/>
      <c r="E106" s="21"/>
      <c r="F106" s="21"/>
      <c r="G106" s="21"/>
    </row>
    <row r="107" spans="1:7" x14ac:dyDescent="0.25">
      <c r="A107" s="22"/>
      <c r="B107" s="22"/>
      <c r="C107" s="22"/>
      <c r="D107" s="5"/>
      <c r="E107" s="21"/>
      <c r="F107" s="21"/>
      <c r="G107" s="21"/>
    </row>
    <row r="108" spans="1:7" x14ac:dyDescent="0.25">
      <c r="A108" s="22"/>
      <c r="B108" s="22"/>
      <c r="C108" s="22"/>
      <c r="D108" s="5"/>
      <c r="E108" s="21"/>
      <c r="F108" s="21"/>
      <c r="G108" s="21"/>
    </row>
  </sheetData>
  <mergeCells count="11">
    <mergeCell ref="G7:G8"/>
    <mergeCell ref="F7:F8"/>
    <mergeCell ref="A25:C25"/>
    <mergeCell ref="A1:E1"/>
    <mergeCell ref="A2:E2"/>
    <mergeCell ref="A3:E3"/>
    <mergeCell ref="A18:C18"/>
    <mergeCell ref="A22:C22"/>
    <mergeCell ref="A21:C21"/>
    <mergeCell ref="A23:C23"/>
    <mergeCell ref="A24:C24"/>
  </mergeCells>
  <pageMargins left="1.1000000000000001" right="0.86614173228346458" top="0.98425196850393704" bottom="0.98425196850393704" header="0.51181102362204722" footer="0.70866141732283472"/>
  <pageSetup scale="66" firstPageNumber="3" orientation="portrait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B4FE-5006-4FF7-9C4D-720F14F658B8}">
  <sheetPr codeName="Sheet5">
    <tabColor rgb="FF92D050"/>
  </sheetPr>
  <dimension ref="A1:J45"/>
  <sheetViews>
    <sheetView topLeftCell="A3" zoomScaleNormal="100" workbookViewId="0">
      <selection activeCell="G26" sqref="G26"/>
    </sheetView>
  </sheetViews>
  <sheetFormatPr defaultRowHeight="15" x14ac:dyDescent="0.25"/>
  <cols>
    <col min="1" max="1" width="41.42578125" customWidth="1"/>
    <col min="2" max="2" width="6.42578125" style="42" customWidth="1"/>
    <col min="3" max="3" width="16" style="33" customWidth="1"/>
    <col min="4" max="4" width="14.5703125" style="33" customWidth="1"/>
    <col min="5" max="5" width="15.42578125" style="33" customWidth="1"/>
    <col min="6" max="6" width="17.140625" style="33" customWidth="1"/>
    <col min="7" max="7" width="18.42578125" style="32" customWidth="1"/>
    <col min="8" max="8" width="3.5703125" style="32" customWidth="1"/>
    <col min="9" max="9" width="27.42578125" customWidth="1"/>
    <col min="10" max="10" width="26.28515625" customWidth="1"/>
    <col min="11" max="11" width="9.140625" customWidth="1"/>
  </cols>
  <sheetData>
    <row r="1" spans="1:10" ht="15.75" x14ac:dyDescent="0.25">
      <c r="A1" s="568" t="s">
        <v>22</v>
      </c>
      <c r="B1" s="611"/>
      <c r="C1" s="553"/>
      <c r="D1" s="553"/>
      <c r="E1" s="553"/>
      <c r="F1" s="571"/>
      <c r="G1" s="553"/>
      <c r="H1" s="553"/>
    </row>
    <row r="2" spans="1:10" ht="15.75" x14ac:dyDescent="0.25">
      <c r="A2" s="568" t="s">
        <v>1156</v>
      </c>
      <c r="B2" s="611"/>
      <c r="C2" s="553"/>
      <c r="D2" s="553"/>
      <c r="E2" s="553"/>
      <c r="F2" s="571"/>
      <c r="G2" s="553"/>
      <c r="H2" s="553"/>
    </row>
    <row r="3" spans="1:10" ht="15.75" x14ac:dyDescent="0.25">
      <c r="A3" s="986" t="s">
        <v>2795</v>
      </c>
      <c r="B3" s="986"/>
      <c r="C3" s="986"/>
      <c r="D3" s="986"/>
      <c r="E3" s="986"/>
      <c r="F3" s="986"/>
      <c r="G3" s="986"/>
      <c r="H3" s="986"/>
    </row>
    <row r="4" spans="1:10" ht="14.25" customHeight="1" x14ac:dyDescent="0.25">
      <c r="A4" s="617"/>
      <c r="B4" s="553"/>
      <c r="C4" s="553"/>
      <c r="D4" s="553"/>
      <c r="E4" s="553"/>
      <c r="F4" s="571"/>
      <c r="G4" s="553"/>
      <c r="H4" s="553"/>
    </row>
    <row r="5" spans="1:10" ht="16.5" thickBot="1" x14ac:dyDescent="0.3">
      <c r="A5" s="557"/>
      <c r="B5" s="610"/>
      <c r="C5" s="610"/>
      <c r="D5" s="610"/>
      <c r="E5" s="610"/>
      <c r="F5" s="666"/>
      <c r="G5" s="610"/>
      <c r="H5" s="553"/>
    </row>
    <row r="6" spans="1:10" ht="15" customHeight="1" x14ac:dyDescent="0.25">
      <c r="A6" s="667"/>
      <c r="B6" s="668"/>
      <c r="C6" s="669"/>
      <c r="D6" s="987" t="s">
        <v>34</v>
      </c>
      <c r="E6" s="990" t="s">
        <v>991</v>
      </c>
      <c r="F6" s="987" t="s">
        <v>2502</v>
      </c>
      <c r="G6" s="670"/>
      <c r="H6" s="670"/>
    </row>
    <row r="7" spans="1:10" ht="15" customHeight="1" x14ac:dyDescent="0.25">
      <c r="A7" s="667"/>
      <c r="B7" s="668"/>
      <c r="C7" s="988" t="s">
        <v>2501</v>
      </c>
      <c r="D7" s="988"/>
      <c r="E7" s="991"/>
      <c r="F7" s="993"/>
      <c r="G7" s="670"/>
      <c r="H7" s="670"/>
    </row>
    <row r="8" spans="1:10" ht="37.5" customHeight="1" x14ac:dyDescent="0.25">
      <c r="A8" s="667"/>
      <c r="B8" s="668"/>
      <c r="C8" s="989"/>
      <c r="D8" s="989"/>
      <c r="E8" s="992"/>
      <c r="F8" s="989"/>
      <c r="G8" s="670" t="s">
        <v>35</v>
      </c>
      <c r="H8" s="670"/>
    </row>
    <row r="9" spans="1:10" ht="15.75" x14ac:dyDescent="0.25">
      <c r="A9" s="671"/>
      <c r="B9" s="672"/>
      <c r="C9" s="673"/>
      <c r="D9" s="673"/>
      <c r="E9" s="673"/>
      <c r="F9" s="673"/>
      <c r="G9" s="674"/>
      <c r="H9" s="675"/>
    </row>
    <row r="10" spans="1:10" ht="15.75" x14ac:dyDescent="0.25">
      <c r="A10" s="526" t="s">
        <v>1387</v>
      </c>
      <c r="B10" s="668"/>
      <c r="C10" s="676">
        <v>8602803483</v>
      </c>
      <c r="D10" s="676">
        <v>28883100</v>
      </c>
      <c r="E10" s="676">
        <v>22806335</v>
      </c>
      <c r="F10" s="676">
        <v>7855922780</v>
      </c>
      <c r="G10" s="677">
        <f>SUM(C10:F10)</f>
        <v>16510415698</v>
      </c>
      <c r="H10" s="677"/>
    </row>
    <row r="11" spans="1:10" ht="15.75" x14ac:dyDescent="0.25">
      <c r="A11" s="678" t="s">
        <v>49</v>
      </c>
      <c r="B11" s="679"/>
      <c r="C11" s="680">
        <v>0</v>
      </c>
      <c r="D11" s="680">
        <v>0</v>
      </c>
      <c r="E11" s="680">
        <v>0</v>
      </c>
      <c r="F11" s="681">
        <v>10974697571.040001</v>
      </c>
      <c r="G11" s="682">
        <f>C11+D11+E11+F11</f>
        <v>10974697571.040001</v>
      </c>
      <c r="H11" s="683"/>
    </row>
    <row r="12" spans="1:10" ht="19.149999999999999" customHeight="1" x14ac:dyDescent="0.25">
      <c r="A12" s="667" t="s">
        <v>2504</v>
      </c>
      <c r="B12" s="668"/>
      <c r="C12" s="684">
        <f>C10+C11</f>
        <v>8602803483</v>
      </c>
      <c r="D12" s="684">
        <f>D10+D11</f>
        <v>28883100</v>
      </c>
      <c r="E12" s="684">
        <f>E10+E11</f>
        <v>22806335</v>
      </c>
      <c r="F12" s="684">
        <f>F10+F11</f>
        <v>18830620351.040001</v>
      </c>
      <c r="G12" s="684">
        <f>G10+G11</f>
        <v>27485113269.040001</v>
      </c>
      <c r="H12" s="684"/>
      <c r="I12" s="50"/>
      <c r="J12" s="179"/>
    </row>
    <row r="13" spans="1:10" ht="19.149999999999999" customHeight="1" x14ac:dyDescent="0.25">
      <c r="A13" s="667"/>
      <c r="B13" s="668"/>
      <c r="C13" s="684"/>
      <c r="D13" s="684"/>
      <c r="E13" s="684"/>
      <c r="F13" s="684"/>
      <c r="G13" s="684"/>
      <c r="H13" s="684"/>
      <c r="I13" s="50"/>
    </row>
    <row r="14" spans="1:10" ht="15.75" x14ac:dyDescent="0.25">
      <c r="A14" s="526" t="s">
        <v>2796</v>
      </c>
      <c r="B14" s="668"/>
      <c r="C14" s="685"/>
      <c r="D14" s="685"/>
      <c r="E14" s="685"/>
      <c r="F14" s="684"/>
      <c r="G14" s="683"/>
      <c r="H14" s="683"/>
      <c r="I14" s="50"/>
    </row>
    <row r="15" spans="1:10" ht="15.75" x14ac:dyDescent="0.25">
      <c r="A15" s="686" t="s">
        <v>2503</v>
      </c>
      <c r="B15" s="668"/>
      <c r="C15" s="687">
        <v>0</v>
      </c>
      <c r="D15" s="687">
        <v>0</v>
      </c>
      <c r="E15" s="687">
        <v>0</v>
      </c>
      <c r="F15" s="688">
        <f>'income sta'!E38</f>
        <v>906585373.56000006</v>
      </c>
      <c r="G15" s="683">
        <f>SUM(C15:F15)</f>
        <v>906585373.56000006</v>
      </c>
      <c r="H15" s="683"/>
      <c r="I15" s="50"/>
    </row>
    <row r="16" spans="1:10" ht="15.75" x14ac:dyDescent="0.25">
      <c r="A16" s="686" t="s">
        <v>25</v>
      </c>
      <c r="B16" s="668"/>
      <c r="C16" s="687">
        <v>0</v>
      </c>
      <c r="D16" s="687">
        <v>0</v>
      </c>
      <c r="E16" s="687">
        <v>0</v>
      </c>
      <c r="F16" s="688">
        <v>-156291318.63999999</v>
      </c>
      <c r="G16" s="683">
        <f>SUM(C16:F16)</f>
        <v>-156291318.63999999</v>
      </c>
      <c r="H16" s="683"/>
      <c r="I16" s="50"/>
    </row>
    <row r="17" spans="1:10" ht="15.75" customHeight="1" x14ac:dyDescent="0.25">
      <c r="A17" s="667" t="s">
        <v>943</v>
      </c>
      <c r="B17" s="668"/>
      <c r="C17" s="689"/>
      <c r="D17" s="689"/>
      <c r="E17" s="689"/>
      <c r="F17" s="690"/>
      <c r="G17" s="691"/>
      <c r="H17" s="683"/>
      <c r="I17" s="50"/>
    </row>
    <row r="18" spans="1:10" ht="15.75" x14ac:dyDescent="0.25">
      <c r="A18" s="678" t="s">
        <v>944</v>
      </c>
      <c r="B18" s="679"/>
      <c r="C18" s="680">
        <v>0</v>
      </c>
      <c r="D18" s="680">
        <v>0</v>
      </c>
      <c r="E18" s="680">
        <v>0</v>
      </c>
      <c r="F18" s="680">
        <v>0</v>
      </c>
      <c r="G18" s="682">
        <f>E18</f>
        <v>0</v>
      </c>
      <c r="H18" s="683"/>
      <c r="I18" s="50"/>
    </row>
    <row r="19" spans="1:10" ht="19.149999999999999" customHeight="1" x14ac:dyDescent="0.25">
      <c r="A19" s="526" t="s">
        <v>2797</v>
      </c>
      <c r="B19" s="668"/>
      <c r="C19" s="676">
        <f>C12</f>
        <v>8602803483</v>
      </c>
      <c r="D19" s="676">
        <f>SUM(D12:D18)</f>
        <v>28883100</v>
      </c>
      <c r="E19" s="676">
        <f>SUM(E12:E18)</f>
        <v>22806335</v>
      </c>
      <c r="F19" s="692">
        <f>SUM(F12:F18)</f>
        <v>19580914405.960003</v>
      </c>
      <c r="G19" s="692">
        <f>SUM(G12:G18)</f>
        <v>28235407323.960003</v>
      </c>
      <c r="H19" s="692"/>
      <c r="I19" s="50"/>
      <c r="J19" s="179"/>
    </row>
    <row r="20" spans="1:10" ht="15.75" x14ac:dyDescent="0.25">
      <c r="A20" s="667"/>
      <c r="B20" s="668"/>
      <c r="C20" s="693"/>
      <c r="D20" s="693"/>
      <c r="E20" s="693"/>
      <c r="F20" s="694"/>
      <c r="G20" s="683"/>
      <c r="H20" s="683"/>
      <c r="I20" s="50"/>
    </row>
    <row r="21" spans="1:10" ht="15.75" x14ac:dyDescent="0.25">
      <c r="A21" s="526"/>
      <c r="B21" s="668"/>
      <c r="C21" s="693"/>
      <c r="D21" s="693"/>
      <c r="E21" s="693"/>
      <c r="F21" s="845"/>
      <c r="G21" s="683"/>
      <c r="H21" s="683"/>
    </row>
    <row r="22" spans="1:10" ht="15.75" x14ac:dyDescent="0.25">
      <c r="A22" s="686"/>
      <c r="B22" s="668"/>
      <c r="C22" s="689"/>
      <c r="D22" s="689"/>
      <c r="E22" s="689"/>
      <c r="F22" s="694"/>
      <c r="G22" s="683"/>
      <c r="H22" s="683"/>
    </row>
    <row r="23" spans="1:10" ht="15.75" x14ac:dyDescent="0.25">
      <c r="A23" s="686"/>
      <c r="B23" s="668"/>
      <c r="C23" s="689"/>
      <c r="D23" s="689"/>
      <c r="E23" s="689"/>
      <c r="F23" s="694"/>
      <c r="G23" s="683"/>
      <c r="H23" s="683"/>
    </row>
    <row r="24" spans="1:10" ht="15.75" x14ac:dyDescent="0.25">
      <c r="A24" s="667"/>
      <c r="B24" s="668"/>
      <c r="C24" s="689"/>
      <c r="D24" s="689"/>
      <c r="E24" s="689"/>
      <c r="F24" s="690"/>
      <c r="G24" s="691"/>
      <c r="H24" s="683"/>
    </row>
    <row r="25" spans="1:10" ht="15.75" x14ac:dyDescent="0.25">
      <c r="A25" s="667"/>
      <c r="B25" s="668"/>
      <c r="C25" s="689"/>
      <c r="D25" s="689"/>
      <c r="E25" s="689"/>
      <c r="F25" s="689"/>
      <c r="G25" s="683"/>
      <c r="H25" s="683"/>
    </row>
    <row r="26" spans="1:10" ht="16.5" customHeight="1" x14ac:dyDescent="0.25">
      <c r="A26" s="526"/>
      <c r="B26" s="668"/>
      <c r="C26" s="695"/>
      <c r="D26" s="695"/>
      <c r="E26" s="695"/>
      <c r="F26" s="846"/>
      <c r="G26" s="846"/>
      <c r="H26" s="695"/>
      <c r="I26" s="104"/>
      <c r="J26" s="32"/>
    </row>
    <row r="27" spans="1:10" ht="14.45" customHeight="1" x14ac:dyDescent="0.25">
      <c r="A27" s="555"/>
      <c r="B27" s="667"/>
      <c r="C27" s="985"/>
      <c r="D27" s="985"/>
      <c r="E27" s="690"/>
      <c r="F27" s="690"/>
      <c r="G27" s="691"/>
      <c r="H27" s="691"/>
      <c r="I27" s="32"/>
    </row>
    <row r="28" spans="1:10" ht="15" customHeight="1" x14ac:dyDescent="0.25">
      <c r="A28" s="753"/>
      <c r="B28" s="847"/>
      <c r="C28" s="847"/>
      <c r="D28" s="848"/>
      <c r="E28" s="848"/>
      <c r="F28" s="849"/>
      <c r="G28" s="850"/>
      <c r="H28" s="850"/>
    </row>
    <row r="29" spans="1:10" x14ac:dyDescent="0.25">
      <c r="A29" s="129"/>
      <c r="C29" s="851"/>
      <c r="D29" s="851"/>
      <c r="E29" s="851"/>
      <c r="F29" s="851"/>
      <c r="G29" s="130"/>
      <c r="H29" s="130"/>
      <c r="I29" s="398"/>
    </row>
    <row r="30" spans="1:10" x14ac:dyDescent="0.25">
      <c r="A30" s="129"/>
      <c r="C30" s="131"/>
      <c r="D30" s="131"/>
      <c r="E30" s="131"/>
      <c r="F30" s="131"/>
      <c r="G30" s="130"/>
      <c r="H30" s="130"/>
      <c r="I30" s="50"/>
    </row>
    <row r="31" spans="1:10" x14ac:dyDescent="0.25">
      <c r="A31" s="129"/>
      <c r="C31" s="131"/>
      <c r="D31" s="131"/>
      <c r="E31" s="131"/>
      <c r="F31" s="131"/>
      <c r="G31" s="132"/>
      <c r="H31" s="132"/>
      <c r="I31" s="179"/>
    </row>
    <row r="32" spans="1:10" hidden="1" x14ac:dyDescent="0.25">
      <c r="G32" s="87"/>
      <c r="H32" s="87"/>
    </row>
    <row r="33" spans="6:8" hidden="1" x14ac:dyDescent="0.25">
      <c r="F33" s="409">
        <v>2500</v>
      </c>
      <c r="G33" s="406">
        <v>2500</v>
      </c>
    </row>
    <row r="34" spans="6:8" hidden="1" x14ac:dyDescent="0.25">
      <c r="F34" s="409">
        <v>113636</v>
      </c>
      <c r="G34" s="406">
        <v>113636.37</v>
      </c>
    </row>
    <row r="35" spans="6:8" hidden="1" x14ac:dyDescent="0.25">
      <c r="F35" s="409">
        <v>225000</v>
      </c>
      <c r="G35" s="406">
        <v>225000</v>
      </c>
      <c r="H35" s="32" t="s">
        <v>1144</v>
      </c>
    </row>
    <row r="36" spans="6:8" hidden="1" x14ac:dyDescent="0.25">
      <c r="F36" s="409">
        <v>356800</v>
      </c>
      <c r="G36" s="406">
        <v>356800</v>
      </c>
      <c r="H36" s="32" t="s">
        <v>1147</v>
      </c>
    </row>
    <row r="37" spans="6:8" hidden="1" x14ac:dyDescent="0.25">
      <c r="F37" s="33">
        <v>2400</v>
      </c>
      <c r="G37" s="406">
        <v>2399.5500000000002</v>
      </c>
      <c r="H37" s="32" t="s">
        <v>1145</v>
      </c>
    </row>
    <row r="38" spans="6:8" hidden="1" x14ac:dyDescent="0.25">
      <c r="F38" s="33">
        <v>107625</v>
      </c>
      <c r="G38" s="406">
        <v>107625</v>
      </c>
      <c r="H38" s="32" t="s">
        <v>1145</v>
      </c>
    </row>
    <row r="39" spans="6:8" hidden="1" x14ac:dyDescent="0.25">
      <c r="F39" s="33">
        <v>309339</v>
      </c>
      <c r="G39" s="406">
        <v>309339.19</v>
      </c>
      <c r="H39" s="32" t="s">
        <v>1146</v>
      </c>
    </row>
    <row r="40" spans="6:8" hidden="1" x14ac:dyDescent="0.25">
      <c r="G40" s="406">
        <v>-263140</v>
      </c>
      <c r="H40" s="32" t="s">
        <v>1148</v>
      </c>
    </row>
    <row r="41" spans="6:8" hidden="1" x14ac:dyDescent="0.25">
      <c r="F41" s="409">
        <v>1006667</v>
      </c>
      <c r="G41" s="406">
        <v>1006666.68</v>
      </c>
      <c r="H41" s="32" t="s">
        <v>1149</v>
      </c>
    </row>
    <row r="42" spans="6:8" hidden="1" x14ac:dyDescent="0.25">
      <c r="F42" s="33">
        <v>-2999</v>
      </c>
      <c r="G42" s="406">
        <v>-2998.91</v>
      </c>
      <c r="H42" s="32" t="s">
        <v>1150</v>
      </c>
    </row>
    <row r="43" spans="6:8" hidden="1" x14ac:dyDescent="0.25">
      <c r="F43" s="33">
        <v>11008</v>
      </c>
      <c r="G43" s="406">
        <v>11007.6</v>
      </c>
      <c r="H43" s="32" t="s">
        <v>1151</v>
      </c>
    </row>
    <row r="44" spans="6:8" hidden="1" x14ac:dyDescent="0.25">
      <c r="G44" s="32">
        <f>SUM(G33:G43)</f>
        <v>1868835.4800000002</v>
      </c>
      <c r="H44" s="32" t="s">
        <v>1152</v>
      </c>
    </row>
    <row r="45" spans="6:8" hidden="1" x14ac:dyDescent="0.25">
      <c r="H45" s="32" t="s">
        <v>1153</v>
      </c>
    </row>
  </sheetData>
  <mergeCells count="6">
    <mergeCell ref="C27:D27"/>
    <mergeCell ref="A3:H3"/>
    <mergeCell ref="D6:D8"/>
    <mergeCell ref="E6:E8"/>
    <mergeCell ref="F6:F8"/>
    <mergeCell ref="C7:C8"/>
  </mergeCells>
  <pageMargins left="0.55000000000000004" right="0.23" top="0.98425196850393704" bottom="0.98425196850393704" header="0.31496062992125984" footer="0.70866141732283472"/>
  <pageSetup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F6AD-1402-4E9C-A112-62F95A36A88C}">
  <sheetPr codeName="Sheet6">
    <tabColor rgb="FF92D050"/>
  </sheetPr>
  <dimension ref="A1:G64"/>
  <sheetViews>
    <sheetView workbookViewId="0">
      <selection activeCell="B20" sqref="B20"/>
    </sheetView>
  </sheetViews>
  <sheetFormatPr defaultRowHeight="15" x14ac:dyDescent="0.25"/>
  <cols>
    <col min="1" max="1" width="2.28515625" customWidth="1"/>
    <col min="2" max="2" width="56.7109375" customWidth="1"/>
    <col min="3" max="3" width="7.28515625" customWidth="1"/>
    <col min="4" max="4" width="18.7109375" customWidth="1"/>
    <col min="5" max="5" width="17.28515625" customWidth="1"/>
    <col min="6" max="6" width="32.28515625" customWidth="1"/>
    <col min="7" max="7" width="23" customWidth="1"/>
    <col min="8" max="8" width="14.42578125" customWidth="1"/>
    <col min="9" max="9" width="11.85546875" customWidth="1"/>
  </cols>
  <sheetData>
    <row r="1" spans="2:6" ht="15.75" x14ac:dyDescent="0.25">
      <c r="B1" s="696" t="s">
        <v>22</v>
      </c>
      <c r="C1" s="90"/>
      <c r="D1" s="90"/>
      <c r="E1" s="90"/>
    </row>
    <row r="2" spans="2:6" ht="15.75" x14ac:dyDescent="0.25">
      <c r="B2" s="696" t="s">
        <v>38</v>
      </c>
      <c r="C2" s="90"/>
      <c r="D2" s="90"/>
      <c r="E2" s="90"/>
    </row>
    <row r="3" spans="2:6" ht="15.75" x14ac:dyDescent="0.25">
      <c r="B3" s="697" t="s">
        <v>1376</v>
      </c>
      <c r="C3" s="90"/>
      <c r="D3" s="90"/>
      <c r="E3" s="90"/>
    </row>
    <row r="4" spans="2:6" ht="15.75" x14ac:dyDescent="0.25">
      <c r="B4" s="667" t="s">
        <v>1155</v>
      </c>
      <c r="C4" s="90"/>
      <c r="D4" s="698"/>
      <c r="E4" s="90"/>
    </row>
    <row r="5" spans="2:6" ht="16.5" thickBot="1" x14ac:dyDescent="0.3">
      <c r="B5" s="555"/>
      <c r="C5" s="90"/>
      <c r="D5" s="699"/>
      <c r="E5" s="90"/>
    </row>
    <row r="6" spans="2:6" ht="15.75" x14ac:dyDescent="0.25">
      <c r="B6" s="700"/>
      <c r="C6" s="701" t="s">
        <v>1130</v>
      </c>
      <c r="D6" s="702" t="s">
        <v>1670</v>
      </c>
      <c r="E6" s="703" t="s">
        <v>1131</v>
      </c>
      <c r="F6" s="9"/>
    </row>
    <row r="7" spans="2:6" ht="15.75" x14ac:dyDescent="0.25">
      <c r="B7" s="696"/>
      <c r="C7" s="90"/>
      <c r="D7" s="704"/>
      <c r="E7" s="704"/>
      <c r="F7" s="9"/>
    </row>
    <row r="8" spans="2:6" ht="15.75" x14ac:dyDescent="0.25">
      <c r="B8" s="696" t="s">
        <v>14</v>
      </c>
      <c r="C8" s="90"/>
      <c r="D8" s="704"/>
      <c r="E8" s="704"/>
      <c r="F8" s="9"/>
    </row>
    <row r="9" spans="2:6" ht="15.75" x14ac:dyDescent="0.25">
      <c r="B9" s="696"/>
      <c r="C9" s="90"/>
      <c r="D9" s="704"/>
      <c r="E9" s="704"/>
      <c r="F9" s="9"/>
    </row>
    <row r="10" spans="2:6" ht="15.75" x14ac:dyDescent="0.25">
      <c r="B10" s="696" t="s">
        <v>1117</v>
      </c>
      <c r="C10" s="90"/>
      <c r="D10" s="704"/>
      <c r="E10" s="704"/>
      <c r="F10" s="9"/>
    </row>
    <row r="11" spans="2:6" ht="15.75" x14ac:dyDescent="0.25">
      <c r="B11" s="705" t="s">
        <v>26</v>
      </c>
      <c r="C11" s="90"/>
      <c r="D11" s="706">
        <v>250758880</v>
      </c>
      <c r="E11" s="707">
        <v>156376509</v>
      </c>
    </row>
    <row r="12" spans="2:6" ht="15.75" x14ac:dyDescent="0.25">
      <c r="B12" s="705" t="s">
        <v>37</v>
      </c>
      <c r="C12" s="90"/>
      <c r="D12" s="706">
        <v>33422658</v>
      </c>
      <c r="E12" s="707">
        <v>33145056</v>
      </c>
    </row>
    <row r="13" spans="2:6" ht="15.75" x14ac:dyDescent="0.25">
      <c r="B13" s="705" t="s">
        <v>1121</v>
      </c>
      <c r="C13" s="90"/>
      <c r="D13" s="706">
        <v>13858937</v>
      </c>
      <c r="E13" s="707">
        <v>17194745</v>
      </c>
    </row>
    <row r="14" spans="2:6" ht="15.75" x14ac:dyDescent="0.25">
      <c r="B14" s="705" t="s">
        <v>1122</v>
      </c>
      <c r="C14" s="90"/>
      <c r="D14" s="706">
        <v>19596794</v>
      </c>
      <c r="E14" s="707">
        <v>5236310</v>
      </c>
    </row>
    <row r="15" spans="2:6" ht="15.75" x14ac:dyDescent="0.25">
      <c r="B15" s="708" t="s">
        <v>27</v>
      </c>
      <c r="C15" s="709"/>
      <c r="D15" s="710">
        <v>2951787</v>
      </c>
      <c r="E15" s="711">
        <v>1859626</v>
      </c>
    </row>
    <row r="16" spans="2:6" ht="15.75" x14ac:dyDescent="0.25">
      <c r="B16" s="712" t="s">
        <v>945</v>
      </c>
      <c r="C16" s="713"/>
      <c r="D16" s="714">
        <f>SUM(D11:D15)</f>
        <v>320589056</v>
      </c>
      <c r="E16" s="715">
        <f>SUM(E11:E15)</f>
        <v>213812246</v>
      </c>
    </row>
    <row r="17" spans="2:5" ht="15.75" x14ac:dyDescent="0.25">
      <c r="B17" s="705"/>
      <c r="C17" s="90"/>
      <c r="D17" s="706"/>
      <c r="E17" s="707"/>
    </row>
    <row r="18" spans="2:5" ht="15.75" x14ac:dyDescent="0.25">
      <c r="B18" s="716" t="s">
        <v>1118</v>
      </c>
      <c r="C18" s="90"/>
      <c r="D18" s="706"/>
      <c r="E18" s="707"/>
    </row>
    <row r="19" spans="2:5" ht="15.75" x14ac:dyDescent="0.25">
      <c r="B19" s="705" t="s">
        <v>30</v>
      </c>
      <c r="C19" s="90"/>
      <c r="D19" s="706">
        <v>-244243506</v>
      </c>
      <c r="E19" s="707">
        <v>-91038466</v>
      </c>
    </row>
    <row r="20" spans="2:5" ht="15.75" x14ac:dyDescent="0.25">
      <c r="B20" s="705" t="s">
        <v>1123</v>
      </c>
      <c r="C20" s="90"/>
      <c r="D20" s="706">
        <v>-53213999</v>
      </c>
      <c r="E20" s="707">
        <v>-77647807</v>
      </c>
    </row>
    <row r="21" spans="2:5" ht="15.75" x14ac:dyDescent="0.25">
      <c r="B21" s="705" t="s">
        <v>28</v>
      </c>
      <c r="C21" s="90"/>
      <c r="D21" s="706">
        <v>-52995076</v>
      </c>
      <c r="E21" s="707">
        <v>-33736632</v>
      </c>
    </row>
    <row r="22" spans="2:5" ht="15.75" x14ac:dyDescent="0.25">
      <c r="B22" s="712" t="s">
        <v>946</v>
      </c>
      <c r="C22" s="713"/>
      <c r="D22" s="714">
        <f>SUM(D19:D21)</f>
        <v>-350452581</v>
      </c>
      <c r="E22" s="714">
        <f>SUM(E19:E21)</f>
        <v>-202422905</v>
      </c>
    </row>
    <row r="23" spans="2:5" ht="15.75" x14ac:dyDescent="0.25">
      <c r="B23" s="716"/>
      <c r="C23" s="699"/>
      <c r="D23" s="717"/>
      <c r="E23" s="707"/>
    </row>
    <row r="24" spans="2:5" ht="15.75" x14ac:dyDescent="0.25">
      <c r="B24" s="718" t="s">
        <v>990</v>
      </c>
      <c r="C24" s="709"/>
      <c r="D24" s="710">
        <f>D16+D22</f>
        <v>-29863525</v>
      </c>
      <c r="E24" s="719">
        <v>11389341</v>
      </c>
    </row>
    <row r="25" spans="2:5" ht="15.75" x14ac:dyDescent="0.25">
      <c r="B25" s="720"/>
      <c r="C25" s="90"/>
      <c r="D25" s="699"/>
      <c r="E25" s="721"/>
    </row>
    <row r="26" spans="2:5" ht="15.75" x14ac:dyDescent="0.25">
      <c r="B26" s="696" t="s">
        <v>17</v>
      </c>
      <c r="C26" s="90"/>
      <c r="D26" s="699"/>
      <c r="E26" s="721"/>
    </row>
    <row r="27" spans="2:5" ht="15.75" x14ac:dyDescent="0.25">
      <c r="B27" s="696"/>
      <c r="C27" s="90"/>
      <c r="D27" s="699"/>
      <c r="E27" s="721"/>
    </row>
    <row r="28" spans="2:5" ht="15.75" x14ac:dyDescent="0.25">
      <c r="B28" s="699" t="s">
        <v>1117</v>
      </c>
      <c r="C28" s="90"/>
      <c r="D28" s="706"/>
      <c r="E28" s="721"/>
    </row>
    <row r="29" spans="2:5" ht="15.75" hidden="1" x14ac:dyDescent="0.25">
      <c r="B29" s="555" t="s">
        <v>1124</v>
      </c>
      <c r="C29" s="90"/>
      <c r="D29" s="706">
        <f>'[4]JUNE 2022A'!R20</f>
        <v>0</v>
      </c>
      <c r="E29" s="721"/>
    </row>
    <row r="30" spans="2:5" ht="17.25" customHeight="1" x14ac:dyDescent="0.25">
      <c r="B30" s="555" t="s">
        <v>1132</v>
      </c>
      <c r="C30" s="90"/>
      <c r="D30" s="706">
        <f>194219379-116434875</f>
        <v>77784504</v>
      </c>
      <c r="E30" s="721">
        <v>83494196</v>
      </c>
    </row>
    <row r="31" spans="2:5" ht="15.75" x14ac:dyDescent="0.25">
      <c r="B31" s="705" t="s">
        <v>31</v>
      </c>
      <c r="C31" s="90"/>
      <c r="D31" s="706">
        <v>390378</v>
      </c>
      <c r="E31" s="707">
        <v>8572123</v>
      </c>
    </row>
    <row r="32" spans="2:5" ht="14.25" customHeight="1" x14ac:dyDescent="0.25">
      <c r="B32" s="705" t="s">
        <v>36</v>
      </c>
      <c r="C32" s="90"/>
      <c r="D32" s="706">
        <v>132550</v>
      </c>
      <c r="E32" s="707">
        <v>1308320</v>
      </c>
    </row>
    <row r="33" spans="2:5" ht="15.75" x14ac:dyDescent="0.25">
      <c r="B33" s="722" t="s">
        <v>945</v>
      </c>
      <c r="C33" s="723"/>
      <c r="D33" s="714">
        <f>SUM(D28:D32)</f>
        <v>78307432</v>
      </c>
      <c r="E33" s="724">
        <f>SUM(E30:E32)</f>
        <v>93374639</v>
      </c>
    </row>
    <row r="34" spans="2:5" ht="15.75" x14ac:dyDescent="0.25">
      <c r="B34" s="696"/>
      <c r="C34" s="90"/>
      <c r="D34" s="717"/>
      <c r="E34" s="721"/>
    </row>
    <row r="35" spans="2:5" ht="15.75" x14ac:dyDescent="0.25">
      <c r="B35" s="716" t="s">
        <v>1396</v>
      </c>
      <c r="C35" s="90"/>
      <c r="D35" s="750"/>
      <c r="E35" s="721"/>
    </row>
    <row r="36" spans="2:5" ht="15.75" x14ac:dyDescent="0.25">
      <c r="B36" s="555" t="s">
        <v>1125</v>
      </c>
      <c r="C36" s="90"/>
      <c r="D36" s="751">
        <v>0</v>
      </c>
      <c r="E36" s="721">
        <v>-13500000</v>
      </c>
    </row>
    <row r="37" spans="2:5" ht="15.75" x14ac:dyDescent="0.25">
      <c r="B37" s="712" t="s">
        <v>1399</v>
      </c>
      <c r="C37" s="723"/>
      <c r="D37" s="752">
        <v>0</v>
      </c>
      <c r="E37" s="715">
        <f>E36</f>
        <v>-13500000</v>
      </c>
    </row>
    <row r="38" spans="2:5" ht="15.75" x14ac:dyDescent="0.25">
      <c r="B38" s="696"/>
      <c r="C38" s="90"/>
      <c r="D38" s="717"/>
      <c r="E38" s="721"/>
    </row>
    <row r="39" spans="2:5" ht="15.75" x14ac:dyDescent="0.25">
      <c r="B39" s="718" t="s">
        <v>802</v>
      </c>
      <c r="C39" s="709"/>
      <c r="D39" s="710">
        <f>D33+D37</f>
        <v>78307432</v>
      </c>
      <c r="E39" s="719">
        <v>79874639</v>
      </c>
    </row>
    <row r="40" spans="2:5" ht="15.75" x14ac:dyDescent="0.25">
      <c r="B40" s="720"/>
      <c r="C40" s="90"/>
      <c r="D40" s="699"/>
      <c r="E40" s="90"/>
    </row>
    <row r="41" spans="2:5" ht="15.75" x14ac:dyDescent="0.25">
      <c r="B41" s="696" t="s">
        <v>18</v>
      </c>
      <c r="C41" s="90"/>
      <c r="D41" s="699"/>
      <c r="E41" s="90"/>
    </row>
    <row r="42" spans="2:5" ht="15.75" x14ac:dyDescent="0.25">
      <c r="B42" s="696"/>
      <c r="C42" s="90"/>
      <c r="D42" s="699"/>
      <c r="E42" s="90"/>
    </row>
    <row r="43" spans="2:5" ht="15.75" x14ac:dyDescent="0.25">
      <c r="B43" s="696" t="s">
        <v>1396</v>
      </c>
      <c r="C43" s="725"/>
      <c r="D43" s="699"/>
      <c r="E43" s="90"/>
    </row>
    <row r="44" spans="2:5" ht="15.75" x14ac:dyDescent="0.25">
      <c r="B44" s="705" t="s">
        <v>32</v>
      </c>
      <c r="C44" s="725">
        <v>35</v>
      </c>
      <c r="D44" s="706">
        <v>-89152600</v>
      </c>
      <c r="E44" s="707">
        <v>-90445065</v>
      </c>
    </row>
    <row r="45" spans="2:5" ht="15.75" x14ac:dyDescent="0.25">
      <c r="B45" s="722" t="s">
        <v>1399</v>
      </c>
      <c r="C45" s="726"/>
      <c r="D45" s="714">
        <f>SUM(D44:D44)</f>
        <v>-89152600</v>
      </c>
      <c r="E45" s="715">
        <f>SUM(E44:E44)</f>
        <v>-90445065</v>
      </c>
    </row>
    <row r="46" spans="2:5" ht="15.75" x14ac:dyDescent="0.25">
      <c r="B46" s="696"/>
      <c r="C46" s="725"/>
      <c r="D46" s="717"/>
      <c r="E46" s="707"/>
    </row>
    <row r="47" spans="2:5" ht="15.75" x14ac:dyDescent="0.25">
      <c r="B47" s="718" t="s">
        <v>40</v>
      </c>
      <c r="C47" s="727"/>
      <c r="D47" s="710">
        <f>D45</f>
        <v>-89152600</v>
      </c>
      <c r="E47" s="719">
        <f>E45</f>
        <v>-90445065</v>
      </c>
    </row>
    <row r="48" spans="2:5" ht="15.75" x14ac:dyDescent="0.25">
      <c r="B48" s="720"/>
      <c r="C48" s="725"/>
      <c r="D48" s="699"/>
      <c r="E48" s="90"/>
    </row>
    <row r="49" spans="1:7" ht="15.75" x14ac:dyDescent="0.25">
      <c r="B49" s="696" t="s">
        <v>1397</v>
      </c>
      <c r="C49" s="725"/>
      <c r="D49" s="699"/>
      <c r="E49" s="90"/>
    </row>
    <row r="50" spans="1:7" ht="15.75" x14ac:dyDescent="0.25">
      <c r="B50" s="728" t="s">
        <v>926</v>
      </c>
      <c r="C50" s="727"/>
      <c r="D50" s="710">
        <v>625256</v>
      </c>
      <c r="E50" s="707">
        <v>96520</v>
      </c>
    </row>
    <row r="51" spans="1:7" ht="15.75" x14ac:dyDescent="0.25">
      <c r="B51" s="696"/>
      <c r="C51" s="725"/>
      <c r="D51" s="699"/>
      <c r="E51" s="729"/>
    </row>
    <row r="52" spans="1:7" ht="33.75" customHeight="1" x14ac:dyDescent="0.25">
      <c r="B52" s="730" t="s">
        <v>19</v>
      </c>
      <c r="C52" s="725"/>
      <c r="D52" s="717">
        <f>D24+D39+D47+D50</f>
        <v>-40083437</v>
      </c>
      <c r="E52" s="707">
        <f>E24+E39+E47+E50</f>
        <v>915435</v>
      </c>
    </row>
    <row r="53" spans="1:7" ht="35.25" customHeight="1" x14ac:dyDescent="0.25">
      <c r="B53" s="731" t="s">
        <v>20</v>
      </c>
      <c r="C53" s="727"/>
      <c r="D53" s="710">
        <v>255664554</v>
      </c>
      <c r="E53" s="711">
        <v>254749119</v>
      </c>
      <c r="F53" s="32"/>
    </row>
    <row r="54" spans="1:7" ht="15.75" x14ac:dyDescent="0.25">
      <c r="B54" s="696"/>
      <c r="C54" s="725"/>
      <c r="D54" s="699"/>
      <c r="E54" s="732"/>
    </row>
    <row r="55" spans="1:7" ht="33" customHeight="1" thickBot="1" x14ac:dyDescent="0.3">
      <c r="B55" s="733" t="s">
        <v>21</v>
      </c>
      <c r="C55" s="734">
        <v>7</v>
      </c>
      <c r="D55" s="735">
        <f>D52+D53</f>
        <v>215581117</v>
      </c>
      <c r="E55" s="736">
        <f>E52+E53</f>
        <v>255664554</v>
      </c>
    </row>
    <row r="56" spans="1:7" ht="17.25" thickTop="1" thickBot="1" x14ac:dyDescent="0.3">
      <c r="B56" s="737"/>
      <c r="C56" s="738"/>
      <c r="D56" s="739"/>
      <c r="E56" s="738"/>
    </row>
    <row r="57" spans="1:7" x14ac:dyDescent="0.25">
      <c r="B57" s="753" t="s">
        <v>1665</v>
      </c>
      <c r="C57" s="754"/>
      <c r="D57" s="353"/>
      <c r="E57" s="52"/>
    </row>
    <row r="58" spans="1:7" x14ac:dyDescent="0.25">
      <c r="A58" s="49"/>
      <c r="B58" s="42"/>
      <c r="C58" s="49"/>
      <c r="D58" s="32"/>
      <c r="E58" s="355"/>
      <c r="F58" s="356"/>
    </row>
    <row r="59" spans="1:7" x14ac:dyDescent="0.25">
      <c r="A59" s="49"/>
      <c r="B59" s="42"/>
      <c r="C59" s="63"/>
      <c r="D59" s="32"/>
      <c r="E59" s="357"/>
      <c r="F59" s="356"/>
    </row>
    <row r="60" spans="1:7" x14ac:dyDescent="0.25">
      <c r="A60" s="49"/>
      <c r="B60" s="80"/>
      <c r="C60" s="358"/>
      <c r="D60" s="358"/>
      <c r="E60" s="359"/>
      <c r="G60" s="358"/>
    </row>
    <row r="61" spans="1:7" x14ac:dyDescent="0.25">
      <c r="A61" s="49"/>
      <c r="B61" s="80"/>
      <c r="C61" s="80"/>
      <c r="D61" s="358"/>
      <c r="E61" s="358"/>
      <c r="F61" s="358"/>
      <c r="G61" s="358"/>
    </row>
    <row r="62" spans="1:7" x14ac:dyDescent="0.25">
      <c r="A62" s="49"/>
      <c r="B62" s="80"/>
      <c r="C62" s="80"/>
      <c r="D62" s="358"/>
      <c r="E62" s="358"/>
      <c r="F62" s="358"/>
      <c r="G62" s="358"/>
    </row>
    <row r="63" spans="1:7" ht="23.25" customHeight="1" x14ac:dyDescent="0.25">
      <c r="A63" s="52"/>
      <c r="B63" s="80"/>
      <c r="D63" s="360"/>
      <c r="E63" s="361"/>
      <c r="F63" s="358"/>
      <c r="G63" s="358"/>
    </row>
    <row r="64" spans="1:7" ht="15" customHeight="1" x14ac:dyDescent="0.25">
      <c r="B64" s="80"/>
      <c r="D64" s="176"/>
      <c r="E64" s="360"/>
      <c r="F64" s="358"/>
      <c r="G64" s="358"/>
    </row>
  </sheetData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38C2-9D10-4978-9AA6-4D792120FF93}">
  <dimension ref="B1:I2521"/>
  <sheetViews>
    <sheetView topLeftCell="A85" workbookViewId="0">
      <selection activeCell="H158" sqref="H158:H161"/>
    </sheetView>
  </sheetViews>
  <sheetFormatPr defaultRowHeight="15" x14ac:dyDescent="0.25"/>
  <cols>
    <col min="3" max="3" width="45.85546875" customWidth="1"/>
    <col min="4" max="4" width="25.7109375" customWidth="1"/>
    <col min="5" max="5" width="21" customWidth="1"/>
    <col min="6" max="6" width="21.5703125" customWidth="1"/>
    <col min="7" max="7" width="28" customWidth="1"/>
    <col min="8" max="8" width="23.7109375" customWidth="1"/>
    <col min="9" max="9" width="18.140625" customWidth="1"/>
  </cols>
  <sheetData>
    <row r="1" spans="2:9" x14ac:dyDescent="0.25">
      <c r="E1" t="s">
        <v>22</v>
      </c>
    </row>
    <row r="2" spans="2:9" x14ac:dyDescent="0.25">
      <c r="E2" t="s">
        <v>1716</v>
      </c>
    </row>
    <row r="3" spans="2:9" ht="15.75" thickBot="1" x14ac:dyDescent="0.3">
      <c r="E3" t="s">
        <v>1717</v>
      </c>
    </row>
    <row r="4" spans="2:9" ht="15.75" thickBot="1" x14ac:dyDescent="0.3">
      <c r="B4" t="s">
        <v>1718</v>
      </c>
      <c r="C4" t="s">
        <v>53</v>
      </c>
      <c r="D4" t="s">
        <v>1719</v>
      </c>
      <c r="E4" t="s">
        <v>1720</v>
      </c>
      <c r="F4" t="s">
        <v>1721</v>
      </c>
      <c r="G4" t="s">
        <v>1722</v>
      </c>
      <c r="I4" s="497" t="s">
        <v>1516</v>
      </c>
    </row>
    <row r="6" spans="2:9" x14ac:dyDescent="0.25">
      <c r="B6">
        <v>10101010</v>
      </c>
      <c r="C6" t="s">
        <v>69</v>
      </c>
    </row>
    <row r="7" spans="2:9" x14ac:dyDescent="0.25">
      <c r="C7" t="s">
        <v>1723</v>
      </c>
      <c r="D7">
        <v>0</v>
      </c>
      <c r="E7">
        <v>0</v>
      </c>
      <c r="F7">
        <v>0</v>
      </c>
      <c r="G7">
        <v>0</v>
      </c>
      <c r="H7" s="104">
        <f t="shared" ref="H7:H70" si="0">G7-D7</f>
        <v>0</v>
      </c>
    </row>
    <row r="8" spans="2:9" x14ac:dyDescent="0.25">
      <c r="C8" t="s">
        <v>1724</v>
      </c>
      <c r="D8">
        <v>0</v>
      </c>
      <c r="E8" s="104">
        <v>51857.41</v>
      </c>
      <c r="F8" s="104">
        <v>51857.41</v>
      </c>
      <c r="G8">
        <v>0</v>
      </c>
      <c r="H8" s="104">
        <f t="shared" si="0"/>
        <v>0</v>
      </c>
    </row>
    <row r="9" spans="2:9" x14ac:dyDescent="0.25">
      <c r="C9" t="s">
        <v>1725</v>
      </c>
      <c r="D9" s="104">
        <v>110325.97</v>
      </c>
      <c r="E9" s="104">
        <v>134734917.30000001</v>
      </c>
      <c r="F9" s="104">
        <v>134740970.06</v>
      </c>
      <c r="G9" s="104">
        <v>104273.21</v>
      </c>
      <c r="H9" s="104">
        <f t="shared" si="0"/>
        <v>-6052.7599999999948</v>
      </c>
    </row>
    <row r="10" spans="2:9" x14ac:dyDescent="0.25">
      <c r="C10" t="s">
        <v>1726</v>
      </c>
      <c r="D10">
        <v>0</v>
      </c>
      <c r="E10" s="104">
        <v>25000</v>
      </c>
      <c r="F10" s="104">
        <v>25000</v>
      </c>
      <c r="G10">
        <v>0</v>
      </c>
      <c r="H10" s="104">
        <f t="shared" si="0"/>
        <v>0</v>
      </c>
    </row>
    <row r="11" spans="2:9" x14ac:dyDescent="0.25">
      <c r="B11" t="s">
        <v>1587</v>
      </c>
      <c r="D11" s="104">
        <v>110325.97</v>
      </c>
      <c r="E11" s="104">
        <v>134811774.71000001</v>
      </c>
      <c r="F11" s="104">
        <v>134817827.47</v>
      </c>
      <c r="G11" s="104">
        <v>104273.21</v>
      </c>
      <c r="H11" s="830">
        <f t="shared" si="0"/>
        <v>-6052.7599999999948</v>
      </c>
    </row>
    <row r="12" spans="2:9" x14ac:dyDescent="0.25">
      <c r="H12" s="104"/>
    </row>
    <row r="13" spans="2:9" x14ac:dyDescent="0.25">
      <c r="B13">
        <v>10101020</v>
      </c>
      <c r="C13" t="s">
        <v>71</v>
      </c>
      <c r="H13" s="104"/>
    </row>
    <row r="14" spans="2:9" x14ac:dyDescent="0.25">
      <c r="C14" t="s">
        <v>1727</v>
      </c>
      <c r="D14">
        <v>0</v>
      </c>
      <c r="E14" s="104">
        <v>10000</v>
      </c>
      <c r="F14" s="104">
        <v>10000</v>
      </c>
      <c r="G14">
        <v>0</v>
      </c>
      <c r="H14" s="104">
        <f t="shared" si="0"/>
        <v>0</v>
      </c>
    </row>
    <row r="15" spans="2:9" x14ac:dyDescent="0.25">
      <c r="C15" t="s">
        <v>1728</v>
      </c>
      <c r="D15">
        <v>0</v>
      </c>
      <c r="E15" s="104">
        <v>25000</v>
      </c>
      <c r="F15" s="104">
        <v>25000</v>
      </c>
      <c r="G15">
        <v>0</v>
      </c>
      <c r="H15" s="104">
        <f t="shared" si="0"/>
        <v>0</v>
      </c>
    </row>
    <row r="16" spans="2:9" x14ac:dyDescent="0.25">
      <c r="C16" t="s">
        <v>1729</v>
      </c>
      <c r="D16">
        <v>0</v>
      </c>
      <c r="E16" s="104">
        <v>15000</v>
      </c>
      <c r="F16" s="104">
        <v>15000</v>
      </c>
      <c r="G16">
        <v>0</v>
      </c>
      <c r="H16" s="104">
        <f t="shared" si="0"/>
        <v>0</v>
      </c>
    </row>
    <row r="17" spans="2:8" x14ac:dyDescent="0.25">
      <c r="C17" t="s">
        <v>1730</v>
      </c>
      <c r="D17">
        <v>0</v>
      </c>
      <c r="E17" s="104">
        <v>20000</v>
      </c>
      <c r="F17" s="104">
        <v>20000</v>
      </c>
      <c r="G17">
        <v>0</v>
      </c>
      <c r="H17" s="104">
        <f t="shared" si="0"/>
        <v>0</v>
      </c>
    </row>
    <row r="18" spans="2:8" x14ac:dyDescent="0.25">
      <c r="C18" t="s">
        <v>1731</v>
      </c>
      <c r="D18">
        <v>0</v>
      </c>
      <c r="E18" s="104">
        <v>15000</v>
      </c>
      <c r="F18" s="104">
        <v>15000</v>
      </c>
      <c r="G18">
        <v>0</v>
      </c>
      <c r="H18" s="104">
        <f t="shared" si="0"/>
        <v>0</v>
      </c>
    </row>
    <row r="19" spans="2:8" x14ac:dyDescent="0.25">
      <c r="C19" t="s">
        <v>1732</v>
      </c>
      <c r="D19">
        <v>0</v>
      </c>
      <c r="E19" s="104">
        <v>15000</v>
      </c>
      <c r="F19" s="104">
        <v>15000</v>
      </c>
      <c r="G19">
        <v>0</v>
      </c>
      <c r="H19" s="104">
        <f t="shared" si="0"/>
        <v>0</v>
      </c>
    </row>
    <row r="20" spans="2:8" x14ac:dyDescent="0.25">
      <c r="C20" t="s">
        <v>1733</v>
      </c>
      <c r="D20">
        <v>0</v>
      </c>
      <c r="E20" s="104">
        <v>30000</v>
      </c>
      <c r="F20" s="104">
        <v>30000</v>
      </c>
      <c r="G20">
        <v>0</v>
      </c>
      <c r="H20" s="104">
        <f t="shared" si="0"/>
        <v>0</v>
      </c>
    </row>
    <row r="21" spans="2:8" x14ac:dyDescent="0.25">
      <c r="C21" t="s">
        <v>1734</v>
      </c>
      <c r="D21">
        <v>0</v>
      </c>
      <c r="E21" s="104">
        <v>50000</v>
      </c>
      <c r="F21" s="104">
        <v>50000</v>
      </c>
      <c r="G21">
        <v>0</v>
      </c>
      <c r="H21" s="104">
        <f t="shared" si="0"/>
        <v>0</v>
      </c>
    </row>
    <row r="22" spans="2:8" x14ac:dyDescent="0.25">
      <c r="B22" t="s">
        <v>1587</v>
      </c>
      <c r="D22">
        <v>0</v>
      </c>
      <c r="E22" s="104">
        <v>180000</v>
      </c>
      <c r="F22" s="104">
        <v>180000</v>
      </c>
      <c r="G22">
        <v>0</v>
      </c>
      <c r="H22" s="830">
        <f t="shared" si="0"/>
        <v>0</v>
      </c>
    </row>
    <row r="23" spans="2:8" x14ac:dyDescent="0.25">
      <c r="H23" s="104"/>
    </row>
    <row r="24" spans="2:8" x14ac:dyDescent="0.25">
      <c r="B24">
        <v>10102020</v>
      </c>
      <c r="C24" t="s">
        <v>59</v>
      </c>
      <c r="H24" s="104"/>
    </row>
    <row r="25" spans="2:8" x14ac:dyDescent="0.25">
      <c r="C25" t="s">
        <v>1724</v>
      </c>
      <c r="D25" s="104">
        <v>1902691.32</v>
      </c>
      <c r="E25" s="104">
        <v>706088004.02999997</v>
      </c>
      <c r="F25" s="104">
        <v>706011106.58000004</v>
      </c>
      <c r="G25" s="104">
        <v>1979588.77</v>
      </c>
      <c r="H25" s="104">
        <f t="shared" si="0"/>
        <v>76897.449999999953</v>
      </c>
    </row>
    <row r="26" spans="2:8" x14ac:dyDescent="0.25">
      <c r="C26" t="s">
        <v>1735</v>
      </c>
      <c r="D26" s="104">
        <v>139102.73000000001</v>
      </c>
      <c r="E26" s="104">
        <v>14885240.66</v>
      </c>
      <c r="F26" s="104">
        <v>14924304.220000001</v>
      </c>
      <c r="G26" s="104">
        <v>100039.17</v>
      </c>
      <c r="H26" s="104">
        <f t="shared" si="0"/>
        <v>-39063.560000000012</v>
      </c>
    </row>
    <row r="27" spans="2:8" x14ac:dyDescent="0.25">
      <c r="C27" t="s">
        <v>1736</v>
      </c>
      <c r="D27" s="104">
        <v>250922.71</v>
      </c>
      <c r="E27" s="104">
        <v>1179537192.4400001</v>
      </c>
      <c r="F27" s="104">
        <v>1179656865.8099999</v>
      </c>
      <c r="G27" s="104">
        <v>131249.34</v>
      </c>
      <c r="H27" s="104">
        <f t="shared" si="0"/>
        <v>-119673.37</v>
      </c>
    </row>
    <row r="28" spans="2:8" x14ac:dyDescent="0.25">
      <c r="C28" t="s">
        <v>1737</v>
      </c>
      <c r="D28" s="104">
        <v>34548.32</v>
      </c>
      <c r="E28">
        <v>0</v>
      </c>
      <c r="F28" s="104">
        <v>34548.32</v>
      </c>
      <c r="G28">
        <v>0</v>
      </c>
      <c r="H28" s="104">
        <f t="shared" si="0"/>
        <v>-34548.32</v>
      </c>
    </row>
    <row r="29" spans="2:8" x14ac:dyDescent="0.25">
      <c r="C29" t="s">
        <v>1738</v>
      </c>
      <c r="D29" s="104">
        <v>10003.799999999999</v>
      </c>
      <c r="E29" s="104">
        <v>200116.53</v>
      </c>
      <c r="F29" s="104">
        <v>210157.39</v>
      </c>
      <c r="G29">
        <v>-37.06</v>
      </c>
      <c r="H29" s="104">
        <f t="shared" si="0"/>
        <v>-10040.859999999999</v>
      </c>
    </row>
    <row r="30" spans="2:8" x14ac:dyDescent="0.25">
      <c r="C30" t="s">
        <v>1726</v>
      </c>
      <c r="D30">
        <v>0</v>
      </c>
      <c r="E30" s="104">
        <v>641402307.03999996</v>
      </c>
      <c r="F30" s="104">
        <v>590570914.14999998</v>
      </c>
      <c r="G30" s="104">
        <v>50831392.890000001</v>
      </c>
      <c r="H30" s="104">
        <f t="shared" si="0"/>
        <v>50831392.890000001</v>
      </c>
    </row>
    <row r="31" spans="2:8" x14ac:dyDescent="0.25">
      <c r="B31" t="s">
        <v>1587</v>
      </c>
      <c r="D31" s="104">
        <v>2337268.88</v>
      </c>
      <c r="E31" s="104">
        <v>2542112860.6999998</v>
      </c>
      <c r="F31" s="104">
        <v>2491407896.4699998</v>
      </c>
      <c r="G31" s="104">
        <v>53042233.109999999</v>
      </c>
      <c r="H31" s="830">
        <f t="shared" si="0"/>
        <v>50704964.229999997</v>
      </c>
    </row>
    <row r="32" spans="2:8" x14ac:dyDescent="0.25">
      <c r="H32" s="104"/>
    </row>
    <row r="33" spans="2:8" x14ac:dyDescent="0.25">
      <c r="B33">
        <v>10103030</v>
      </c>
      <c r="C33" t="s">
        <v>1739</v>
      </c>
      <c r="H33" s="104"/>
    </row>
    <row r="34" spans="2:8" x14ac:dyDescent="0.25">
      <c r="C34" t="s">
        <v>1740</v>
      </c>
      <c r="D34" s="104">
        <v>3216958.81</v>
      </c>
      <c r="E34" s="104">
        <v>3267326.91</v>
      </c>
      <c r="F34" s="104">
        <v>6417681.2800000003</v>
      </c>
      <c r="G34" s="104">
        <v>66604.44</v>
      </c>
      <c r="H34" s="104">
        <f t="shared" si="0"/>
        <v>-3150354.37</v>
      </c>
    </row>
    <row r="35" spans="2:8" x14ac:dyDescent="0.25">
      <c r="C35" t="s">
        <v>1724</v>
      </c>
      <c r="D35">
        <v>0</v>
      </c>
      <c r="E35">
        <v>0</v>
      </c>
      <c r="F35">
        <v>0</v>
      </c>
      <c r="G35">
        <v>0</v>
      </c>
      <c r="H35" s="104">
        <f t="shared" si="0"/>
        <v>0</v>
      </c>
    </row>
    <row r="36" spans="2:8" x14ac:dyDescent="0.25">
      <c r="B36" t="s">
        <v>1587</v>
      </c>
      <c r="D36" s="104">
        <v>3216958.81</v>
      </c>
      <c r="E36" s="104">
        <v>3267326.91</v>
      </c>
      <c r="F36" s="104">
        <v>6417681.2800000003</v>
      </c>
      <c r="G36" s="104">
        <v>66604.44</v>
      </c>
      <c r="H36" s="830">
        <f t="shared" si="0"/>
        <v>-3150354.37</v>
      </c>
    </row>
    <row r="37" spans="2:8" x14ac:dyDescent="0.25">
      <c r="H37" s="104"/>
    </row>
    <row r="38" spans="2:8" x14ac:dyDescent="0.25">
      <c r="B38">
        <v>10105020</v>
      </c>
      <c r="C38" t="s">
        <v>63</v>
      </c>
      <c r="H38" s="104"/>
    </row>
    <row r="39" spans="2:8" x14ac:dyDescent="0.25">
      <c r="C39" t="s">
        <v>1741</v>
      </c>
      <c r="D39">
        <v>0</v>
      </c>
      <c r="E39">
        <v>0</v>
      </c>
      <c r="F39">
        <v>0</v>
      </c>
      <c r="G39">
        <v>0</v>
      </c>
      <c r="H39" s="104">
        <f t="shared" si="0"/>
        <v>0</v>
      </c>
    </row>
    <row r="40" spans="2:8" x14ac:dyDescent="0.25">
      <c r="C40" t="s">
        <v>1742</v>
      </c>
      <c r="D40">
        <v>0</v>
      </c>
      <c r="E40">
        <v>0</v>
      </c>
      <c r="F40">
        <v>0</v>
      </c>
      <c r="G40">
        <v>0</v>
      </c>
      <c r="H40" s="104">
        <f t="shared" si="0"/>
        <v>0</v>
      </c>
    </row>
    <row r="41" spans="2:8" x14ac:dyDescent="0.25">
      <c r="C41" t="s">
        <v>1724</v>
      </c>
      <c r="D41" s="104">
        <v>409742215.82999998</v>
      </c>
      <c r="E41" s="104">
        <v>1169008795.6700001</v>
      </c>
      <c r="F41" s="104">
        <v>1270271684.3800001</v>
      </c>
      <c r="G41" s="104">
        <v>308479327.12</v>
      </c>
      <c r="H41" s="104">
        <f t="shared" si="0"/>
        <v>-101262888.70999998</v>
      </c>
    </row>
    <row r="42" spans="2:8" x14ac:dyDescent="0.25">
      <c r="C42" t="s">
        <v>1735</v>
      </c>
      <c r="D42">
        <v>0</v>
      </c>
      <c r="E42" s="104">
        <v>68295633.209999993</v>
      </c>
      <c r="F42" s="104">
        <v>68295633.209999993</v>
      </c>
      <c r="G42">
        <v>0</v>
      </c>
      <c r="H42" s="104">
        <f t="shared" si="0"/>
        <v>0</v>
      </c>
    </row>
    <row r="43" spans="2:8" x14ac:dyDescent="0.25">
      <c r="C43" t="s">
        <v>1736</v>
      </c>
      <c r="D43" s="104">
        <v>962954126.46000004</v>
      </c>
      <c r="E43" s="104">
        <v>2890485662.5700002</v>
      </c>
      <c r="F43" s="104">
        <v>2987928268.6399999</v>
      </c>
      <c r="G43" s="104">
        <v>865511520.38999999</v>
      </c>
      <c r="H43" s="104">
        <f t="shared" si="0"/>
        <v>-97442606.070000052</v>
      </c>
    </row>
    <row r="44" spans="2:8" x14ac:dyDescent="0.25">
      <c r="C44" t="s">
        <v>1743</v>
      </c>
      <c r="D44" s="104">
        <v>4746565.18</v>
      </c>
      <c r="E44" s="104">
        <v>13979646.75</v>
      </c>
      <c r="F44" s="104">
        <v>18726211.93</v>
      </c>
      <c r="G44">
        <v>0</v>
      </c>
      <c r="H44" s="104">
        <f t="shared" si="0"/>
        <v>-4746565.18</v>
      </c>
    </row>
    <row r="45" spans="2:8" x14ac:dyDescent="0.25">
      <c r="C45" t="s">
        <v>1738</v>
      </c>
      <c r="D45" s="104">
        <v>499990000</v>
      </c>
      <c r="E45" s="104">
        <v>1978221251.6099999</v>
      </c>
      <c r="F45" s="104">
        <v>2478211251.6100001</v>
      </c>
      <c r="G45">
        <v>0</v>
      </c>
      <c r="H45" s="104">
        <f t="shared" si="0"/>
        <v>-499990000</v>
      </c>
    </row>
    <row r="46" spans="2:8" x14ac:dyDescent="0.25">
      <c r="C46" t="s">
        <v>1744</v>
      </c>
      <c r="D46">
        <v>0</v>
      </c>
      <c r="E46" s="104">
        <v>8564125.4199999999</v>
      </c>
      <c r="F46" s="104">
        <v>8564125.4199999999</v>
      </c>
      <c r="G46">
        <v>0</v>
      </c>
      <c r="H46" s="104">
        <f t="shared" si="0"/>
        <v>0</v>
      </c>
    </row>
    <row r="47" spans="2:8" x14ac:dyDescent="0.25">
      <c r="B47" t="s">
        <v>1587</v>
      </c>
      <c r="D47" s="104">
        <v>1877432907.47</v>
      </c>
      <c r="E47" s="104">
        <v>6128555115.2299995</v>
      </c>
      <c r="F47" s="104">
        <v>6831997175.1899996</v>
      </c>
      <c r="G47" s="104">
        <v>1173990847.51</v>
      </c>
      <c r="H47" s="830">
        <f t="shared" si="0"/>
        <v>-703442059.96000004</v>
      </c>
    </row>
    <row r="48" spans="2:8" x14ac:dyDescent="0.25">
      <c r="H48" s="104"/>
    </row>
    <row r="49" spans="2:8" x14ac:dyDescent="0.25">
      <c r="B49">
        <v>10105030</v>
      </c>
      <c r="C49" t="s">
        <v>67</v>
      </c>
      <c r="H49" s="104"/>
    </row>
    <row r="50" spans="2:8" x14ac:dyDescent="0.25">
      <c r="C50" t="s">
        <v>1745</v>
      </c>
      <c r="D50" s="104">
        <v>228503580</v>
      </c>
      <c r="E50" s="104">
        <v>40460468.909999996</v>
      </c>
      <c r="F50" s="104">
        <v>262720489.27000001</v>
      </c>
      <c r="G50" s="104">
        <v>6243559.6399999997</v>
      </c>
      <c r="H50" s="104">
        <f t="shared" si="0"/>
        <v>-222260020.36000001</v>
      </c>
    </row>
    <row r="51" spans="2:8" x14ac:dyDescent="0.25">
      <c r="C51" t="s">
        <v>1746</v>
      </c>
      <c r="D51">
        <v>0</v>
      </c>
      <c r="E51" s="104">
        <v>232162890</v>
      </c>
      <c r="F51" s="104">
        <v>6505440</v>
      </c>
      <c r="G51" s="104">
        <v>225657450</v>
      </c>
      <c r="H51" s="104">
        <f t="shared" si="0"/>
        <v>225657450</v>
      </c>
    </row>
    <row r="52" spans="2:8" x14ac:dyDescent="0.25">
      <c r="B52" t="s">
        <v>1587</v>
      </c>
      <c r="D52" s="104">
        <v>228503580</v>
      </c>
      <c r="E52" s="104">
        <v>272623358.91000003</v>
      </c>
      <c r="F52" s="104">
        <v>269225929.26999998</v>
      </c>
      <c r="G52" s="104">
        <v>231901009.63999999</v>
      </c>
      <c r="H52" s="830">
        <f t="shared" si="0"/>
        <v>3397429.6399999857</v>
      </c>
    </row>
    <row r="53" spans="2:8" x14ac:dyDescent="0.25">
      <c r="H53" s="104"/>
    </row>
    <row r="54" spans="2:8" x14ac:dyDescent="0.25">
      <c r="B54">
        <v>10206010</v>
      </c>
      <c r="C54" t="s">
        <v>1747</v>
      </c>
      <c r="D54" s="104">
        <v>9175655.7400000002</v>
      </c>
      <c r="E54" s="104">
        <v>77713166.959999993</v>
      </c>
      <c r="F54" s="104">
        <v>16398953.1</v>
      </c>
      <c r="G54" s="104">
        <v>70489869.599999994</v>
      </c>
      <c r="H54" s="104">
        <f t="shared" si="0"/>
        <v>61314213.859999992</v>
      </c>
    </row>
    <row r="55" spans="2:8" x14ac:dyDescent="0.25">
      <c r="B55" t="s">
        <v>1748</v>
      </c>
      <c r="C55" t="s">
        <v>157</v>
      </c>
      <c r="H55" s="104">
        <f t="shared" si="0"/>
        <v>0</v>
      </c>
    </row>
    <row r="56" spans="2:8" x14ac:dyDescent="0.25">
      <c r="B56" t="s">
        <v>1749</v>
      </c>
      <c r="C56" t="s">
        <v>157</v>
      </c>
      <c r="H56" s="104">
        <f t="shared" si="0"/>
        <v>0</v>
      </c>
    </row>
    <row r="57" spans="2:8" x14ac:dyDescent="0.25">
      <c r="B57" t="s">
        <v>1750</v>
      </c>
      <c r="C57" t="s">
        <v>1751</v>
      </c>
      <c r="H57" s="104">
        <f t="shared" si="0"/>
        <v>0</v>
      </c>
    </row>
    <row r="58" spans="2:8" x14ac:dyDescent="0.25">
      <c r="C58" t="s">
        <v>1752</v>
      </c>
      <c r="D58" s="104"/>
      <c r="E58">
        <v>0</v>
      </c>
      <c r="F58">
        <v>0</v>
      </c>
      <c r="G58" s="104"/>
      <c r="H58" s="104">
        <f t="shared" si="0"/>
        <v>0</v>
      </c>
    </row>
    <row r="59" spans="2:8" x14ac:dyDescent="0.25">
      <c r="C59" t="s">
        <v>1753</v>
      </c>
      <c r="D59" s="104">
        <v>-30387544.940000001</v>
      </c>
      <c r="E59" s="104">
        <v>60491207</v>
      </c>
      <c r="F59">
        <v>0</v>
      </c>
      <c r="G59" s="104">
        <v>30103662.059999999</v>
      </c>
      <c r="H59" s="104">
        <f t="shared" si="0"/>
        <v>60491207</v>
      </c>
    </row>
    <row r="60" spans="2:8" x14ac:dyDescent="0.25">
      <c r="C60" t="s">
        <v>1754</v>
      </c>
      <c r="D60" s="104">
        <v>41216508</v>
      </c>
      <c r="E60" s="104">
        <v>15761731.539999999</v>
      </c>
      <c r="F60">
        <v>0</v>
      </c>
      <c r="G60" s="104">
        <v>56978239.539999999</v>
      </c>
      <c r="H60" s="104">
        <f t="shared" si="0"/>
        <v>15761731.539999999</v>
      </c>
    </row>
    <row r="61" spans="2:8" x14ac:dyDescent="0.25">
      <c r="C61" t="s">
        <v>1755</v>
      </c>
      <c r="D61" s="104">
        <v>767119.88</v>
      </c>
      <c r="E61" s="104">
        <v>1460228.42</v>
      </c>
      <c r="F61" s="104">
        <v>1371932.9</v>
      </c>
      <c r="G61" s="104">
        <v>855415.4</v>
      </c>
      <c r="H61" s="104">
        <f t="shared" si="0"/>
        <v>88295.520000000019</v>
      </c>
    </row>
    <row r="62" spans="2:8" x14ac:dyDescent="0.25">
      <c r="C62" t="s">
        <v>1756</v>
      </c>
      <c r="D62" s="104">
        <v>-3627106.4</v>
      </c>
      <c r="E62">
        <v>0</v>
      </c>
      <c r="F62" s="104">
        <v>15027020.199999999</v>
      </c>
      <c r="G62" s="104">
        <v>-18654126.600000001</v>
      </c>
      <c r="H62" s="104">
        <f t="shared" si="0"/>
        <v>-15027020.200000001</v>
      </c>
    </row>
    <row r="63" spans="2:8" x14ac:dyDescent="0.25">
      <c r="B63" t="s">
        <v>1587</v>
      </c>
      <c r="D63" s="104">
        <f>SUM(D58:D62)</f>
        <v>7968976.5399999991</v>
      </c>
      <c r="E63" s="104">
        <v>77713166.959999993</v>
      </c>
      <c r="F63" s="104">
        <v>16398953.1</v>
      </c>
      <c r="G63" s="104">
        <f>SUM(G58:G62)</f>
        <v>69283190.400000006</v>
      </c>
      <c r="H63" s="830">
        <f t="shared" si="0"/>
        <v>61314213.860000007</v>
      </c>
    </row>
    <row r="64" spans="2:8" x14ac:dyDescent="0.25">
      <c r="H64" s="104"/>
    </row>
    <row r="65" spans="2:8" x14ac:dyDescent="0.25">
      <c r="B65">
        <v>10206011</v>
      </c>
      <c r="C65" t="s">
        <v>1757</v>
      </c>
      <c r="H65" s="104"/>
    </row>
    <row r="66" spans="2:8" x14ac:dyDescent="0.25">
      <c r="B66">
        <v>10206012</v>
      </c>
      <c r="C66" t="s">
        <v>1758</v>
      </c>
      <c r="H66" s="104"/>
    </row>
    <row r="67" spans="2:8" x14ac:dyDescent="0.25">
      <c r="C67" t="s">
        <v>1759</v>
      </c>
      <c r="D67" s="104">
        <v>-900000000</v>
      </c>
      <c r="E67">
        <v>0</v>
      </c>
      <c r="F67">
        <v>0</v>
      </c>
      <c r="G67" s="104">
        <v>-900000000</v>
      </c>
      <c r="H67" s="104">
        <f t="shared" si="0"/>
        <v>0</v>
      </c>
    </row>
    <row r="68" spans="2:8" x14ac:dyDescent="0.25">
      <c r="C68" t="s">
        <v>1760</v>
      </c>
      <c r="D68" s="104">
        <v>-330987000</v>
      </c>
      <c r="E68">
        <v>0</v>
      </c>
      <c r="F68">
        <v>0</v>
      </c>
      <c r="G68" s="104">
        <v>-330987000</v>
      </c>
      <c r="H68" s="104">
        <f t="shared" si="0"/>
        <v>0</v>
      </c>
    </row>
    <row r="69" spans="2:8" x14ac:dyDescent="0.25">
      <c r="C69" t="s">
        <v>1761</v>
      </c>
      <c r="D69" s="104">
        <v>-8845038.5</v>
      </c>
      <c r="E69">
        <v>0</v>
      </c>
      <c r="F69">
        <v>0</v>
      </c>
      <c r="G69" s="104">
        <v>-8845038.5</v>
      </c>
      <c r="H69" s="104">
        <f t="shared" si="0"/>
        <v>0</v>
      </c>
    </row>
    <row r="70" spans="2:8" x14ac:dyDescent="0.25">
      <c r="C70" t="s">
        <v>1762</v>
      </c>
      <c r="D70" s="104">
        <v>-30000000</v>
      </c>
      <c r="E70">
        <v>0</v>
      </c>
      <c r="F70">
        <v>0</v>
      </c>
      <c r="G70" s="104">
        <v>-30000000</v>
      </c>
      <c r="H70" s="104">
        <f t="shared" si="0"/>
        <v>0</v>
      </c>
    </row>
    <row r="71" spans="2:8" x14ac:dyDescent="0.25">
      <c r="B71" t="s">
        <v>1587</v>
      </c>
      <c r="D71" s="104">
        <v>-1269832038.5</v>
      </c>
      <c r="E71">
        <v>0</v>
      </c>
      <c r="F71">
        <v>0</v>
      </c>
      <c r="G71" s="104">
        <v>-1269832038.5</v>
      </c>
      <c r="H71" s="830">
        <f t="shared" ref="H71:H134" si="1">G71-D71</f>
        <v>0</v>
      </c>
    </row>
    <row r="72" spans="2:8" x14ac:dyDescent="0.25">
      <c r="H72" s="104"/>
    </row>
    <row r="73" spans="2:8" x14ac:dyDescent="0.25">
      <c r="B73">
        <v>10206013</v>
      </c>
      <c r="C73" t="s">
        <v>1763</v>
      </c>
      <c r="H73" s="104"/>
    </row>
    <row r="74" spans="2:8" x14ac:dyDescent="0.25">
      <c r="C74" t="s">
        <v>1764</v>
      </c>
      <c r="D74" s="104">
        <v>-1000000</v>
      </c>
      <c r="E74">
        <v>0</v>
      </c>
      <c r="F74">
        <v>0</v>
      </c>
      <c r="G74" s="104">
        <v>-1000000</v>
      </c>
      <c r="H74" s="104">
        <f t="shared" si="1"/>
        <v>0</v>
      </c>
    </row>
    <row r="75" spans="2:8" x14ac:dyDescent="0.25">
      <c r="C75" t="s">
        <v>1765</v>
      </c>
      <c r="D75" s="104">
        <v>-12000000</v>
      </c>
      <c r="E75">
        <v>0</v>
      </c>
      <c r="F75">
        <v>0</v>
      </c>
      <c r="G75" s="104">
        <v>-12000000</v>
      </c>
      <c r="H75" s="104">
        <f t="shared" si="1"/>
        <v>0</v>
      </c>
    </row>
    <row r="76" spans="2:8" x14ac:dyDescent="0.25">
      <c r="C76" t="s">
        <v>1766</v>
      </c>
      <c r="D76" s="104">
        <v>-101650000</v>
      </c>
      <c r="E76">
        <v>0</v>
      </c>
      <c r="F76">
        <v>0</v>
      </c>
      <c r="G76" s="104">
        <v>-101650000</v>
      </c>
      <c r="H76" s="104">
        <f t="shared" si="1"/>
        <v>0</v>
      </c>
    </row>
    <row r="77" spans="2:8" x14ac:dyDescent="0.25">
      <c r="C77" t="s">
        <v>1767</v>
      </c>
      <c r="D77" s="104">
        <v>-17000000</v>
      </c>
      <c r="E77">
        <v>0</v>
      </c>
      <c r="F77">
        <v>0</v>
      </c>
      <c r="G77" s="104">
        <v>-17000000</v>
      </c>
      <c r="H77" s="104">
        <f t="shared" si="1"/>
        <v>0</v>
      </c>
    </row>
    <row r="78" spans="2:8" x14ac:dyDescent="0.25">
      <c r="C78" t="s">
        <v>1768</v>
      </c>
      <c r="D78" s="104">
        <v>-15000000</v>
      </c>
      <c r="E78">
        <v>0</v>
      </c>
      <c r="F78">
        <v>0</v>
      </c>
      <c r="G78" s="104">
        <v>-15000000</v>
      </c>
      <c r="H78" s="104">
        <f t="shared" si="1"/>
        <v>0</v>
      </c>
    </row>
    <row r="79" spans="2:8" x14ac:dyDescent="0.25">
      <c r="C79" t="s">
        <v>1769</v>
      </c>
      <c r="D79" s="104">
        <v>-193620979</v>
      </c>
      <c r="E79">
        <v>0</v>
      </c>
      <c r="F79">
        <v>0</v>
      </c>
      <c r="G79" s="104">
        <v>-193620979</v>
      </c>
      <c r="H79" s="104">
        <f t="shared" si="1"/>
        <v>0</v>
      </c>
    </row>
    <row r="80" spans="2:8" x14ac:dyDescent="0.25">
      <c r="C80" t="s">
        <v>1770</v>
      </c>
      <c r="D80" s="104">
        <v>-65435000</v>
      </c>
      <c r="E80">
        <v>0</v>
      </c>
      <c r="F80">
        <v>0</v>
      </c>
      <c r="G80" s="104">
        <v>-65435000</v>
      </c>
      <c r="H80" s="104">
        <f t="shared" si="1"/>
        <v>0</v>
      </c>
    </row>
    <row r="81" spans="2:8" x14ac:dyDescent="0.25">
      <c r="C81" t="s">
        <v>1752</v>
      </c>
      <c r="D81" s="104">
        <v>-2400000</v>
      </c>
      <c r="E81">
        <v>0</v>
      </c>
      <c r="F81">
        <v>0</v>
      </c>
      <c r="G81" s="104">
        <v>-2400000</v>
      </c>
      <c r="H81" s="104">
        <f t="shared" si="1"/>
        <v>0</v>
      </c>
    </row>
    <row r="82" spans="2:8" x14ac:dyDescent="0.25">
      <c r="C82" t="s">
        <v>1771</v>
      </c>
      <c r="D82" s="104">
        <v>-1000000</v>
      </c>
      <c r="E82">
        <v>0</v>
      </c>
      <c r="F82">
        <v>0</v>
      </c>
      <c r="G82" s="104">
        <v>-1000000</v>
      </c>
      <c r="H82" s="104">
        <f t="shared" si="1"/>
        <v>0</v>
      </c>
    </row>
    <row r="83" spans="2:8" x14ac:dyDescent="0.25">
      <c r="C83" t="s">
        <v>1772</v>
      </c>
      <c r="D83" s="104">
        <v>-4000000</v>
      </c>
      <c r="E83">
        <v>0</v>
      </c>
      <c r="F83">
        <v>0</v>
      </c>
      <c r="G83" s="104">
        <v>-4000000</v>
      </c>
      <c r="H83" s="104">
        <f t="shared" si="1"/>
        <v>0</v>
      </c>
    </row>
    <row r="84" spans="2:8" x14ac:dyDescent="0.25">
      <c r="C84" t="s">
        <v>1773</v>
      </c>
      <c r="D84" s="104">
        <v>-172901712.75</v>
      </c>
      <c r="E84">
        <v>0</v>
      </c>
      <c r="F84">
        <v>0</v>
      </c>
      <c r="G84" s="104">
        <v>-172901712.75</v>
      </c>
      <c r="H84" s="104">
        <f t="shared" si="1"/>
        <v>0</v>
      </c>
    </row>
    <row r="85" spans="2:8" x14ac:dyDescent="0.25">
      <c r="B85" t="s">
        <v>1587</v>
      </c>
      <c r="D85" s="104">
        <v>-586007691.75</v>
      </c>
      <c r="E85">
        <v>0</v>
      </c>
      <c r="F85">
        <v>0</v>
      </c>
      <c r="G85" s="104">
        <v>-586007691.75</v>
      </c>
      <c r="H85" s="830">
        <f t="shared" si="1"/>
        <v>0</v>
      </c>
    </row>
    <row r="86" spans="2:8" x14ac:dyDescent="0.25">
      <c r="H86" s="104"/>
    </row>
    <row r="87" spans="2:8" x14ac:dyDescent="0.25">
      <c r="B87">
        <v>10206014</v>
      </c>
      <c r="C87" t="s">
        <v>1774</v>
      </c>
      <c r="H87" s="104"/>
    </row>
    <row r="88" spans="2:8" x14ac:dyDescent="0.25">
      <c r="C88" t="s">
        <v>1775</v>
      </c>
      <c r="D88" s="104">
        <v>-10000000</v>
      </c>
      <c r="E88">
        <v>0</v>
      </c>
      <c r="F88">
        <v>0</v>
      </c>
      <c r="G88" s="104">
        <v>-10000000</v>
      </c>
      <c r="H88" s="104">
        <f t="shared" si="1"/>
        <v>0</v>
      </c>
    </row>
    <row r="89" spans="2:8" x14ac:dyDescent="0.25">
      <c r="C89" t="s">
        <v>1776</v>
      </c>
      <c r="D89" s="104">
        <v>-1819272909.0799999</v>
      </c>
      <c r="E89">
        <v>0</v>
      </c>
      <c r="F89">
        <v>0</v>
      </c>
      <c r="G89" s="104">
        <v>-1819272909.0799999</v>
      </c>
      <c r="H89" s="104">
        <f t="shared" si="1"/>
        <v>0</v>
      </c>
    </row>
    <row r="90" spans="2:8" x14ac:dyDescent="0.25">
      <c r="C90" t="s">
        <v>1777</v>
      </c>
      <c r="D90" s="104">
        <v>-15000000</v>
      </c>
      <c r="E90">
        <v>0</v>
      </c>
      <c r="F90">
        <v>0</v>
      </c>
      <c r="G90" s="104">
        <v>-15000000</v>
      </c>
      <c r="H90" s="104">
        <f t="shared" si="1"/>
        <v>0</v>
      </c>
    </row>
    <row r="91" spans="2:8" x14ac:dyDescent="0.25">
      <c r="C91" t="s">
        <v>1778</v>
      </c>
      <c r="D91" s="104">
        <v>-106605963.68000001</v>
      </c>
      <c r="E91">
        <v>0</v>
      </c>
      <c r="F91">
        <v>0</v>
      </c>
      <c r="G91" s="104">
        <v>-106605963.68000001</v>
      </c>
      <c r="H91" s="104">
        <f t="shared" si="1"/>
        <v>0</v>
      </c>
    </row>
    <row r="92" spans="2:8" x14ac:dyDescent="0.25">
      <c r="C92" t="s">
        <v>1779</v>
      </c>
      <c r="D92" s="104">
        <v>-6474300</v>
      </c>
      <c r="E92">
        <v>0</v>
      </c>
      <c r="F92">
        <v>0</v>
      </c>
      <c r="G92" s="104">
        <v>-6474300</v>
      </c>
      <c r="H92" s="104">
        <f t="shared" si="1"/>
        <v>0</v>
      </c>
    </row>
    <row r="93" spans="2:8" x14ac:dyDescent="0.25">
      <c r="C93" t="s">
        <v>1780</v>
      </c>
      <c r="D93" s="104">
        <v>-188550</v>
      </c>
      <c r="E93">
        <v>0</v>
      </c>
      <c r="F93">
        <v>0</v>
      </c>
      <c r="G93" s="104">
        <v>-188550</v>
      </c>
      <c r="H93" s="104">
        <f t="shared" si="1"/>
        <v>0</v>
      </c>
    </row>
    <row r="94" spans="2:8" x14ac:dyDescent="0.25">
      <c r="C94" t="s">
        <v>1781</v>
      </c>
      <c r="D94" s="104">
        <v>-15250</v>
      </c>
      <c r="E94">
        <v>0</v>
      </c>
      <c r="F94">
        <v>0</v>
      </c>
      <c r="G94" s="104">
        <v>-15250</v>
      </c>
      <c r="H94" s="104">
        <f t="shared" si="1"/>
        <v>0</v>
      </c>
    </row>
    <row r="95" spans="2:8" x14ac:dyDescent="0.25">
      <c r="C95" t="s">
        <v>1782</v>
      </c>
      <c r="D95" s="104">
        <v>-96000</v>
      </c>
      <c r="E95">
        <v>0</v>
      </c>
      <c r="F95">
        <v>0</v>
      </c>
      <c r="G95" s="104">
        <v>-96000</v>
      </c>
      <c r="H95" s="104">
        <f t="shared" si="1"/>
        <v>0</v>
      </c>
    </row>
    <row r="96" spans="2:8" x14ac:dyDescent="0.25">
      <c r="B96" t="s">
        <v>1587</v>
      </c>
      <c r="D96" s="104">
        <v>-1957652972.76</v>
      </c>
      <c r="E96">
        <v>0</v>
      </c>
      <c r="F96">
        <v>0</v>
      </c>
      <c r="G96" s="104">
        <v>-1957652972.76</v>
      </c>
      <c r="H96" s="830">
        <f t="shared" si="1"/>
        <v>0</v>
      </c>
    </row>
    <row r="97" spans="2:8" x14ac:dyDescent="0.25">
      <c r="H97" s="104"/>
    </row>
    <row r="98" spans="2:8" x14ac:dyDescent="0.25">
      <c r="B98">
        <v>10210010</v>
      </c>
      <c r="C98" t="s">
        <v>163</v>
      </c>
      <c r="H98" s="104"/>
    </row>
    <row r="99" spans="2:8" x14ac:dyDescent="0.25">
      <c r="C99" t="s">
        <v>1753</v>
      </c>
      <c r="D99">
        <v>0</v>
      </c>
      <c r="E99">
        <v>0</v>
      </c>
      <c r="F99">
        <v>0</v>
      </c>
      <c r="G99">
        <v>0</v>
      </c>
      <c r="H99" s="104">
        <f t="shared" si="1"/>
        <v>0</v>
      </c>
    </row>
    <row r="100" spans="2:8" x14ac:dyDescent="0.25">
      <c r="C100" t="s">
        <v>1756</v>
      </c>
      <c r="D100">
        <v>0</v>
      </c>
      <c r="E100">
        <v>0</v>
      </c>
      <c r="F100">
        <v>0</v>
      </c>
      <c r="G100">
        <v>0</v>
      </c>
      <c r="H100" s="104">
        <f t="shared" si="1"/>
        <v>0</v>
      </c>
    </row>
    <row r="101" spans="2:8" x14ac:dyDescent="0.25">
      <c r="C101" t="s">
        <v>1783</v>
      </c>
      <c r="D101" s="104">
        <v>55659300</v>
      </c>
      <c r="E101">
        <v>0</v>
      </c>
      <c r="F101">
        <v>0</v>
      </c>
      <c r="G101" s="104">
        <v>55659300</v>
      </c>
      <c r="H101" s="104">
        <f t="shared" si="1"/>
        <v>0</v>
      </c>
    </row>
    <row r="102" spans="2:8" x14ac:dyDescent="0.25">
      <c r="C102" t="s">
        <v>1759</v>
      </c>
      <c r="D102" s="104">
        <v>900000000</v>
      </c>
      <c r="E102">
        <v>0</v>
      </c>
      <c r="F102">
        <v>0</v>
      </c>
      <c r="G102" s="104">
        <v>900000000</v>
      </c>
      <c r="H102" s="104">
        <f t="shared" si="1"/>
        <v>0</v>
      </c>
    </row>
    <row r="103" spans="2:8" x14ac:dyDescent="0.25">
      <c r="C103" t="s">
        <v>1784</v>
      </c>
      <c r="D103" s="104">
        <v>13084200</v>
      </c>
      <c r="E103">
        <v>0</v>
      </c>
      <c r="F103">
        <v>0</v>
      </c>
      <c r="G103" s="104">
        <v>13084200</v>
      </c>
      <c r="H103" s="104">
        <f t="shared" si="1"/>
        <v>0</v>
      </c>
    </row>
    <row r="104" spans="2:8" x14ac:dyDescent="0.25">
      <c r="C104" t="s">
        <v>1785</v>
      </c>
      <c r="D104" s="104">
        <v>7447000</v>
      </c>
      <c r="E104">
        <v>0</v>
      </c>
      <c r="F104">
        <v>0</v>
      </c>
      <c r="G104" s="104">
        <v>7447000</v>
      </c>
      <c r="H104" s="104">
        <f t="shared" si="1"/>
        <v>0</v>
      </c>
    </row>
    <row r="105" spans="2:8" x14ac:dyDescent="0.25">
      <c r="C105" t="s">
        <v>1760</v>
      </c>
      <c r="D105" s="104">
        <v>330987000</v>
      </c>
      <c r="E105">
        <v>0</v>
      </c>
      <c r="F105">
        <v>0</v>
      </c>
      <c r="G105" s="104">
        <v>330987000</v>
      </c>
      <c r="H105" s="104">
        <f t="shared" si="1"/>
        <v>0</v>
      </c>
    </row>
    <row r="106" spans="2:8" x14ac:dyDescent="0.25">
      <c r="C106" t="s">
        <v>1786</v>
      </c>
      <c r="D106" s="104">
        <v>74616000</v>
      </c>
      <c r="E106">
        <v>0</v>
      </c>
      <c r="F106">
        <v>0</v>
      </c>
      <c r="G106" s="104">
        <v>74616000</v>
      </c>
      <c r="H106" s="104">
        <f t="shared" si="1"/>
        <v>0</v>
      </c>
    </row>
    <row r="107" spans="2:8" x14ac:dyDescent="0.25">
      <c r="C107" t="s">
        <v>1787</v>
      </c>
      <c r="D107" s="104">
        <v>199000000</v>
      </c>
      <c r="E107">
        <v>0</v>
      </c>
      <c r="F107">
        <v>0</v>
      </c>
      <c r="G107" s="104">
        <v>199000000</v>
      </c>
      <c r="H107" s="104">
        <f t="shared" si="1"/>
        <v>0</v>
      </c>
    </row>
    <row r="108" spans="2:8" x14ac:dyDescent="0.25">
      <c r="C108" t="s">
        <v>1788</v>
      </c>
      <c r="D108" s="104">
        <v>2508629.59</v>
      </c>
      <c r="E108">
        <v>0</v>
      </c>
      <c r="F108">
        <v>0</v>
      </c>
      <c r="G108" s="104">
        <v>2508629.59</v>
      </c>
      <c r="H108" s="104">
        <f t="shared" si="1"/>
        <v>0</v>
      </c>
    </row>
    <row r="109" spans="2:8" x14ac:dyDescent="0.25">
      <c r="C109" t="s">
        <v>1761</v>
      </c>
      <c r="D109" s="104">
        <v>8845038.5</v>
      </c>
      <c r="E109">
        <v>0</v>
      </c>
      <c r="F109">
        <v>0</v>
      </c>
      <c r="G109" s="104">
        <v>8845038.5</v>
      </c>
      <c r="H109" s="104">
        <f t="shared" si="1"/>
        <v>0</v>
      </c>
    </row>
    <row r="110" spans="2:8" x14ac:dyDescent="0.25">
      <c r="C110" t="s">
        <v>1762</v>
      </c>
      <c r="D110" s="104">
        <v>80000000</v>
      </c>
      <c r="E110">
        <v>0</v>
      </c>
      <c r="F110">
        <v>0</v>
      </c>
      <c r="G110" s="104">
        <v>80000000</v>
      </c>
      <c r="H110" s="104">
        <f t="shared" si="1"/>
        <v>0</v>
      </c>
    </row>
    <row r="111" spans="2:8" x14ac:dyDescent="0.25">
      <c r="B111" t="s">
        <v>1587</v>
      </c>
      <c r="D111" s="104">
        <v>1672147168.0899999</v>
      </c>
      <c r="E111">
        <v>0</v>
      </c>
      <c r="F111">
        <v>0</v>
      </c>
      <c r="G111" s="104">
        <v>1672147168.0899999</v>
      </c>
      <c r="H111" s="830">
        <f t="shared" si="1"/>
        <v>0</v>
      </c>
    </row>
    <row r="112" spans="2:8" x14ac:dyDescent="0.25">
      <c r="H112" s="104"/>
    </row>
    <row r="113" spans="2:8" x14ac:dyDescent="0.25">
      <c r="B113">
        <v>10210111</v>
      </c>
      <c r="C113" t="s">
        <v>1789</v>
      </c>
      <c r="D113" s="104">
        <v>4111885711.54</v>
      </c>
      <c r="E113" s="104">
        <v>20518134.050000001</v>
      </c>
      <c r="F113" s="104">
        <v>58475190</v>
      </c>
      <c r="G113" s="104">
        <v>4073928655.5900002</v>
      </c>
      <c r="H113" s="104">
        <f t="shared" si="1"/>
        <v>-37957055.949999809</v>
      </c>
    </row>
    <row r="114" spans="2:8" x14ac:dyDescent="0.25">
      <c r="B114" t="s">
        <v>1790</v>
      </c>
      <c r="C114" t="s">
        <v>767</v>
      </c>
      <c r="H114" s="104"/>
    </row>
    <row r="115" spans="2:8" x14ac:dyDescent="0.25">
      <c r="C115" t="s">
        <v>1791</v>
      </c>
      <c r="D115" s="104">
        <v>158895989.53</v>
      </c>
      <c r="E115">
        <v>0</v>
      </c>
      <c r="F115">
        <v>0</v>
      </c>
      <c r="G115" s="104">
        <v>158895989.53</v>
      </c>
      <c r="H115" s="104">
        <f t="shared" si="1"/>
        <v>0</v>
      </c>
    </row>
    <row r="116" spans="2:8" x14ac:dyDescent="0.25">
      <c r="C116" t="s">
        <v>1775</v>
      </c>
      <c r="D116" s="104">
        <v>10000000</v>
      </c>
      <c r="E116">
        <v>0</v>
      </c>
      <c r="F116">
        <v>0</v>
      </c>
      <c r="G116" s="104">
        <v>10000000</v>
      </c>
      <c r="H116" s="104">
        <f t="shared" si="1"/>
        <v>0</v>
      </c>
    </row>
    <row r="117" spans="2:8" x14ac:dyDescent="0.25">
      <c r="C117" t="s">
        <v>1776</v>
      </c>
      <c r="D117" s="104">
        <v>1819272909.0799999</v>
      </c>
      <c r="E117">
        <v>0</v>
      </c>
      <c r="F117">
        <v>0</v>
      </c>
      <c r="G117" s="104">
        <v>1819272909.0799999</v>
      </c>
      <c r="H117" s="104">
        <f t="shared" si="1"/>
        <v>0</v>
      </c>
    </row>
    <row r="118" spans="2:8" x14ac:dyDescent="0.25">
      <c r="C118" t="s">
        <v>1777</v>
      </c>
      <c r="D118" s="104">
        <v>15000000</v>
      </c>
      <c r="E118">
        <v>0</v>
      </c>
      <c r="F118">
        <v>0</v>
      </c>
      <c r="G118" s="104">
        <v>15000000</v>
      </c>
      <c r="H118" s="104">
        <f t="shared" si="1"/>
        <v>0</v>
      </c>
    </row>
    <row r="119" spans="2:8" x14ac:dyDescent="0.25">
      <c r="C119" t="s">
        <v>1778</v>
      </c>
      <c r="D119" s="104">
        <v>106605963.68000001</v>
      </c>
      <c r="E119">
        <v>0</v>
      </c>
      <c r="F119">
        <v>0</v>
      </c>
      <c r="G119" s="104">
        <v>106605963.68000001</v>
      </c>
      <c r="H119" s="104">
        <f t="shared" si="1"/>
        <v>0</v>
      </c>
    </row>
    <row r="120" spans="2:8" x14ac:dyDescent="0.25">
      <c r="C120" t="s">
        <v>1779</v>
      </c>
      <c r="D120" s="104">
        <v>6474300</v>
      </c>
      <c r="E120">
        <v>0</v>
      </c>
      <c r="F120">
        <v>0</v>
      </c>
      <c r="G120" s="104">
        <v>6474300</v>
      </c>
      <c r="H120" s="104">
        <f t="shared" si="1"/>
        <v>0</v>
      </c>
    </row>
    <row r="121" spans="2:8" x14ac:dyDescent="0.25">
      <c r="C121" t="s">
        <v>1792</v>
      </c>
      <c r="D121" s="104">
        <v>24951957.079999998</v>
      </c>
      <c r="E121">
        <v>0</v>
      </c>
      <c r="F121">
        <v>0</v>
      </c>
      <c r="G121" s="104">
        <v>24951957.079999998</v>
      </c>
      <c r="H121" s="104">
        <f t="shared" si="1"/>
        <v>0</v>
      </c>
    </row>
    <row r="122" spans="2:8" x14ac:dyDescent="0.25">
      <c r="C122" t="s">
        <v>1780</v>
      </c>
      <c r="D122" s="104">
        <v>188550</v>
      </c>
      <c r="E122">
        <v>0</v>
      </c>
      <c r="F122">
        <v>0</v>
      </c>
      <c r="G122" s="104">
        <v>188550</v>
      </c>
      <c r="H122" s="104">
        <f t="shared" si="1"/>
        <v>0</v>
      </c>
    </row>
    <row r="123" spans="2:8" x14ac:dyDescent="0.25">
      <c r="C123" t="s">
        <v>1781</v>
      </c>
      <c r="D123" s="104">
        <v>15250</v>
      </c>
      <c r="E123">
        <v>0</v>
      </c>
      <c r="F123">
        <v>0</v>
      </c>
      <c r="G123" s="104">
        <v>15250</v>
      </c>
      <c r="H123" s="104">
        <f t="shared" si="1"/>
        <v>0</v>
      </c>
    </row>
    <row r="124" spans="2:8" x14ac:dyDescent="0.25">
      <c r="C124" t="s">
        <v>1782</v>
      </c>
      <c r="D124" s="104">
        <v>96000</v>
      </c>
      <c r="E124">
        <v>0</v>
      </c>
      <c r="F124">
        <v>0</v>
      </c>
      <c r="G124" s="104">
        <v>96000</v>
      </c>
      <c r="H124" s="104">
        <f t="shared" si="1"/>
        <v>0</v>
      </c>
    </row>
    <row r="125" spans="2:8" x14ac:dyDescent="0.25">
      <c r="C125" t="s">
        <v>1793</v>
      </c>
      <c r="D125" s="104">
        <v>12598944.449999999</v>
      </c>
      <c r="E125">
        <v>0</v>
      </c>
      <c r="F125">
        <v>0</v>
      </c>
      <c r="G125" s="104">
        <v>12598944.449999999</v>
      </c>
      <c r="H125" s="104">
        <f t="shared" si="1"/>
        <v>0</v>
      </c>
    </row>
    <row r="126" spans="2:8" x14ac:dyDescent="0.25">
      <c r="B126" t="s">
        <v>1587</v>
      </c>
      <c r="D126" s="104">
        <v>2154099863.8200002</v>
      </c>
      <c r="E126">
        <v>0</v>
      </c>
      <c r="F126">
        <v>0</v>
      </c>
      <c r="G126" s="104">
        <v>2154099863.8200002</v>
      </c>
      <c r="H126" s="830">
        <f t="shared" si="1"/>
        <v>0</v>
      </c>
    </row>
    <row r="127" spans="2:8" x14ac:dyDescent="0.25">
      <c r="H127" s="104"/>
    </row>
    <row r="128" spans="2:8" x14ac:dyDescent="0.25">
      <c r="B128" t="s">
        <v>1794</v>
      </c>
      <c r="C128" t="s">
        <v>1795</v>
      </c>
      <c r="H128" s="104"/>
    </row>
    <row r="129" spans="2:8" x14ac:dyDescent="0.25">
      <c r="C129" t="s">
        <v>1796</v>
      </c>
      <c r="D129" s="104">
        <v>142866471.68000001</v>
      </c>
      <c r="E129">
        <v>0</v>
      </c>
      <c r="F129" s="104">
        <v>1500000</v>
      </c>
      <c r="G129" s="104">
        <v>141366471.68000001</v>
      </c>
      <c r="H129" s="104">
        <f t="shared" si="1"/>
        <v>-1500000</v>
      </c>
    </row>
    <row r="130" spans="2:8" x14ac:dyDescent="0.25">
      <c r="C130" t="s">
        <v>1797</v>
      </c>
      <c r="D130" s="104">
        <v>170653621.75999999</v>
      </c>
      <c r="E130">
        <v>0</v>
      </c>
      <c r="F130" s="104">
        <v>1500000</v>
      </c>
      <c r="G130" s="104">
        <v>169153621.75999999</v>
      </c>
      <c r="H130" s="104">
        <f t="shared" si="1"/>
        <v>-1500000</v>
      </c>
    </row>
    <row r="131" spans="2:8" x14ac:dyDescent="0.25">
      <c r="C131" t="s">
        <v>1798</v>
      </c>
      <c r="D131" s="104">
        <v>522091.48</v>
      </c>
      <c r="E131">
        <v>0</v>
      </c>
      <c r="F131">
        <v>0</v>
      </c>
      <c r="G131" s="104">
        <v>522091.48</v>
      </c>
      <c r="H131" s="104">
        <f t="shared" si="1"/>
        <v>0</v>
      </c>
    </row>
    <row r="132" spans="2:8" x14ac:dyDescent="0.25">
      <c r="C132" t="s">
        <v>1724</v>
      </c>
      <c r="D132" s="104">
        <v>705000000</v>
      </c>
      <c r="E132">
        <v>0</v>
      </c>
      <c r="F132" s="104">
        <v>55000000</v>
      </c>
      <c r="G132" s="104">
        <v>650000000</v>
      </c>
      <c r="H132" s="104">
        <f t="shared" si="1"/>
        <v>-55000000</v>
      </c>
    </row>
    <row r="133" spans="2:8" x14ac:dyDescent="0.25">
      <c r="C133" t="s">
        <v>1743</v>
      </c>
      <c r="D133" s="104">
        <v>15226886.050000001</v>
      </c>
      <c r="E133">
        <v>0</v>
      </c>
      <c r="F133">
        <v>0</v>
      </c>
      <c r="G133" s="104">
        <v>15226886.050000001</v>
      </c>
      <c r="H133" s="104">
        <f t="shared" si="1"/>
        <v>0</v>
      </c>
    </row>
    <row r="134" spans="2:8" x14ac:dyDescent="0.25">
      <c r="C134" t="s">
        <v>1744</v>
      </c>
      <c r="D134">
        <v>0</v>
      </c>
      <c r="E134" s="104">
        <v>15238134.050000001</v>
      </c>
      <c r="F134">
        <v>0</v>
      </c>
      <c r="G134" s="104">
        <v>15238134.050000001</v>
      </c>
      <c r="H134" s="104">
        <f t="shared" si="1"/>
        <v>15238134.050000001</v>
      </c>
    </row>
    <row r="135" spans="2:8" x14ac:dyDescent="0.25">
      <c r="B135" t="s">
        <v>1587</v>
      </c>
      <c r="D135" s="104">
        <v>1034269070.97</v>
      </c>
      <c r="E135" s="104">
        <v>15238134.050000001</v>
      </c>
      <c r="F135" s="104">
        <v>58000000</v>
      </c>
      <c r="G135" s="104">
        <v>991507205.01999998</v>
      </c>
      <c r="H135" s="830">
        <f t="shared" ref="H135:H198" si="2">G135-D135</f>
        <v>-42761865.950000048</v>
      </c>
    </row>
    <row r="136" spans="2:8" x14ac:dyDescent="0.25">
      <c r="H136" s="104"/>
    </row>
    <row r="137" spans="2:8" x14ac:dyDescent="0.25">
      <c r="B137" t="s">
        <v>1799</v>
      </c>
      <c r="C137" t="s">
        <v>1800</v>
      </c>
      <c r="H137" s="104"/>
    </row>
    <row r="138" spans="2:8" x14ac:dyDescent="0.25">
      <c r="C138" t="s">
        <v>1764</v>
      </c>
      <c r="D138" s="104">
        <v>1000000</v>
      </c>
      <c r="E138">
        <v>0</v>
      </c>
      <c r="F138">
        <v>0</v>
      </c>
      <c r="G138" s="104">
        <v>1000000</v>
      </c>
      <c r="H138" s="104">
        <f t="shared" si="2"/>
        <v>0</v>
      </c>
    </row>
    <row r="139" spans="2:8" x14ac:dyDescent="0.25">
      <c r="C139" t="s">
        <v>1765</v>
      </c>
      <c r="D139" s="104">
        <v>12000000</v>
      </c>
      <c r="E139">
        <v>0</v>
      </c>
      <c r="F139">
        <v>0</v>
      </c>
      <c r="G139" s="104">
        <v>12000000</v>
      </c>
      <c r="H139" s="104">
        <f t="shared" si="2"/>
        <v>0</v>
      </c>
    </row>
    <row r="140" spans="2:8" x14ac:dyDescent="0.25">
      <c r="C140" t="s">
        <v>1801</v>
      </c>
      <c r="D140" s="104">
        <v>1000000</v>
      </c>
      <c r="E140">
        <v>0</v>
      </c>
      <c r="F140">
        <v>0</v>
      </c>
      <c r="G140" s="104">
        <v>1000000</v>
      </c>
      <c r="H140" s="104">
        <f t="shared" si="2"/>
        <v>0</v>
      </c>
    </row>
    <row r="141" spans="2:8" x14ac:dyDescent="0.25">
      <c r="C141" t="s">
        <v>1766</v>
      </c>
      <c r="D141" s="104">
        <v>101650000</v>
      </c>
      <c r="E141">
        <v>0</v>
      </c>
      <c r="F141">
        <v>0</v>
      </c>
      <c r="G141" s="104">
        <v>101650000</v>
      </c>
      <c r="H141" s="104">
        <f t="shared" si="2"/>
        <v>0</v>
      </c>
    </row>
    <row r="142" spans="2:8" x14ac:dyDescent="0.25">
      <c r="C142" t="s">
        <v>1767</v>
      </c>
      <c r="D142" s="104">
        <v>17000000</v>
      </c>
      <c r="E142">
        <v>0</v>
      </c>
      <c r="F142">
        <v>0</v>
      </c>
      <c r="G142" s="104">
        <v>17000000</v>
      </c>
      <c r="H142" s="104">
        <f t="shared" si="2"/>
        <v>0</v>
      </c>
    </row>
    <row r="143" spans="2:8" x14ac:dyDescent="0.25">
      <c r="C143" t="s">
        <v>1768</v>
      </c>
      <c r="D143" s="104">
        <v>15000000</v>
      </c>
      <c r="E143">
        <v>0</v>
      </c>
      <c r="F143">
        <v>0</v>
      </c>
      <c r="G143" s="104">
        <v>15000000</v>
      </c>
      <c r="H143" s="104">
        <f t="shared" si="2"/>
        <v>0</v>
      </c>
    </row>
    <row r="144" spans="2:8" x14ac:dyDescent="0.25">
      <c r="C144" t="s">
        <v>1769</v>
      </c>
      <c r="D144" s="104">
        <v>193620979</v>
      </c>
      <c r="E144">
        <v>0</v>
      </c>
      <c r="F144">
        <v>0</v>
      </c>
      <c r="G144" s="104">
        <v>193620979</v>
      </c>
      <c r="H144" s="104">
        <f t="shared" si="2"/>
        <v>0</v>
      </c>
    </row>
    <row r="145" spans="2:8" x14ac:dyDescent="0.25">
      <c r="C145" t="s">
        <v>1802</v>
      </c>
      <c r="D145" s="104">
        <v>1712.75</v>
      </c>
      <c r="E145">
        <v>0</v>
      </c>
      <c r="F145">
        <v>0</v>
      </c>
      <c r="G145" s="104">
        <v>1712.75</v>
      </c>
      <c r="H145" s="104">
        <f t="shared" si="2"/>
        <v>0</v>
      </c>
    </row>
    <row r="146" spans="2:8" x14ac:dyDescent="0.25">
      <c r="C146" t="s">
        <v>1770</v>
      </c>
      <c r="D146" s="104">
        <v>65435000</v>
      </c>
      <c r="E146">
        <v>0</v>
      </c>
      <c r="F146">
        <v>0</v>
      </c>
      <c r="G146" s="104">
        <v>65435000</v>
      </c>
      <c r="H146" s="104">
        <f t="shared" si="2"/>
        <v>0</v>
      </c>
    </row>
    <row r="147" spans="2:8" x14ac:dyDescent="0.25">
      <c r="C147" t="s">
        <v>1752</v>
      </c>
      <c r="D147" s="104">
        <v>2400000</v>
      </c>
      <c r="E147">
        <v>0</v>
      </c>
      <c r="F147">
        <v>0</v>
      </c>
      <c r="G147" s="104">
        <v>2400000</v>
      </c>
      <c r="H147" s="104">
        <f t="shared" si="2"/>
        <v>0</v>
      </c>
    </row>
    <row r="148" spans="2:8" x14ac:dyDescent="0.25">
      <c r="C148" t="s">
        <v>1771</v>
      </c>
      <c r="D148" s="104">
        <v>1000000</v>
      </c>
      <c r="E148">
        <v>0</v>
      </c>
      <c r="F148">
        <v>0</v>
      </c>
      <c r="G148" s="104">
        <v>1000000</v>
      </c>
      <c r="H148" s="104">
        <f t="shared" si="2"/>
        <v>0</v>
      </c>
    </row>
    <row r="149" spans="2:8" x14ac:dyDescent="0.25">
      <c r="C149" t="s">
        <v>1753</v>
      </c>
      <c r="D149" s="104">
        <v>120000000</v>
      </c>
      <c r="E149">
        <v>0</v>
      </c>
      <c r="F149">
        <v>0</v>
      </c>
      <c r="G149" s="104">
        <v>120000000</v>
      </c>
      <c r="H149" s="104">
        <f t="shared" si="2"/>
        <v>0</v>
      </c>
    </row>
    <row r="150" spans="2:8" x14ac:dyDescent="0.25">
      <c r="C150" t="s">
        <v>1754</v>
      </c>
      <c r="D150" s="104">
        <v>20000</v>
      </c>
      <c r="E150">
        <v>0</v>
      </c>
      <c r="F150">
        <v>0</v>
      </c>
      <c r="G150" s="104">
        <v>20000</v>
      </c>
      <c r="H150" s="104">
        <f t="shared" si="2"/>
        <v>0</v>
      </c>
    </row>
    <row r="151" spans="2:8" x14ac:dyDescent="0.25">
      <c r="C151" t="s">
        <v>1755</v>
      </c>
      <c r="D151" s="104">
        <v>58800000</v>
      </c>
      <c r="E151">
        <v>0</v>
      </c>
      <c r="F151">
        <v>0</v>
      </c>
      <c r="G151" s="104">
        <v>58800000</v>
      </c>
      <c r="H151" s="104">
        <f t="shared" si="2"/>
        <v>0</v>
      </c>
    </row>
    <row r="152" spans="2:8" x14ac:dyDescent="0.25">
      <c r="C152" t="s">
        <v>1772</v>
      </c>
      <c r="D152" s="104">
        <v>4000000</v>
      </c>
      <c r="E152">
        <v>0</v>
      </c>
      <c r="F152">
        <v>0</v>
      </c>
      <c r="G152" s="104">
        <v>4000000</v>
      </c>
      <c r="H152" s="104">
        <f t="shared" si="2"/>
        <v>0</v>
      </c>
    </row>
    <row r="153" spans="2:8" x14ac:dyDescent="0.25">
      <c r="C153" t="s">
        <v>1756</v>
      </c>
      <c r="D153" s="104">
        <v>25000000</v>
      </c>
      <c r="E153">
        <v>0</v>
      </c>
      <c r="F153">
        <v>0</v>
      </c>
      <c r="G153" s="104">
        <v>25000000</v>
      </c>
      <c r="H153" s="104">
        <f t="shared" si="2"/>
        <v>0</v>
      </c>
    </row>
    <row r="154" spans="2:8" x14ac:dyDescent="0.25">
      <c r="C154" t="s">
        <v>1773</v>
      </c>
      <c r="D154" s="104">
        <v>172900000</v>
      </c>
      <c r="E154">
        <v>0</v>
      </c>
      <c r="F154">
        <v>0</v>
      </c>
      <c r="G154" s="104">
        <v>172900000</v>
      </c>
      <c r="H154" s="104">
        <f t="shared" si="2"/>
        <v>0</v>
      </c>
    </row>
    <row r="155" spans="2:8" x14ac:dyDescent="0.25">
      <c r="B155" t="s">
        <v>1587</v>
      </c>
      <c r="D155" s="104">
        <v>790827691.75</v>
      </c>
      <c r="E155">
        <v>0</v>
      </c>
      <c r="F155">
        <v>0</v>
      </c>
      <c r="G155" s="104">
        <v>790827691.75</v>
      </c>
      <c r="H155" s="830">
        <f t="shared" si="2"/>
        <v>0</v>
      </c>
    </row>
    <row r="156" spans="2:8" x14ac:dyDescent="0.25">
      <c r="H156" s="104"/>
    </row>
    <row r="157" spans="2:8" x14ac:dyDescent="0.25">
      <c r="B157" t="s">
        <v>1803</v>
      </c>
      <c r="C157" t="s">
        <v>777</v>
      </c>
      <c r="H157" s="104"/>
    </row>
    <row r="158" spans="2:8" x14ac:dyDescent="0.25">
      <c r="C158" t="s">
        <v>1804</v>
      </c>
      <c r="D158" s="104">
        <v>16469085</v>
      </c>
      <c r="E158">
        <v>0</v>
      </c>
      <c r="F158" s="104">
        <v>475190</v>
      </c>
      <c r="G158" s="104">
        <v>15993895</v>
      </c>
      <c r="H158" s="104">
        <f t="shared" si="2"/>
        <v>-475190</v>
      </c>
    </row>
    <row r="159" spans="2:8" x14ac:dyDescent="0.25">
      <c r="C159" t="s">
        <v>1805</v>
      </c>
      <c r="D159" s="104">
        <v>115000000</v>
      </c>
      <c r="E159" s="104">
        <v>5000000</v>
      </c>
      <c r="F159">
        <v>0</v>
      </c>
      <c r="G159" s="104">
        <v>120000000</v>
      </c>
      <c r="H159" s="104">
        <f t="shared" si="2"/>
        <v>5000000</v>
      </c>
    </row>
    <row r="160" spans="2:8" x14ac:dyDescent="0.25">
      <c r="C160" t="s">
        <v>1806</v>
      </c>
      <c r="D160" s="104">
        <v>1100000</v>
      </c>
      <c r="E160" s="104">
        <v>100000</v>
      </c>
      <c r="F160">
        <v>0</v>
      </c>
      <c r="G160" s="104">
        <v>1200000</v>
      </c>
      <c r="H160" s="104">
        <f t="shared" si="2"/>
        <v>100000</v>
      </c>
    </row>
    <row r="161" spans="2:8" x14ac:dyDescent="0.25">
      <c r="C161" t="s">
        <v>1807</v>
      </c>
      <c r="D161" s="104">
        <v>120000</v>
      </c>
      <c r="E161" s="104">
        <v>180000</v>
      </c>
      <c r="F161">
        <v>0</v>
      </c>
      <c r="G161" s="104">
        <v>300000</v>
      </c>
      <c r="H161" s="104">
        <f t="shared" si="2"/>
        <v>180000</v>
      </c>
    </row>
    <row r="162" spans="2:8" x14ac:dyDescent="0.25">
      <c r="B162" t="s">
        <v>1587</v>
      </c>
      <c r="D162" s="104">
        <v>132689085</v>
      </c>
      <c r="E162" s="104">
        <v>5280000</v>
      </c>
      <c r="F162" s="104">
        <v>475190</v>
      </c>
      <c r="G162" s="104">
        <v>137493895</v>
      </c>
      <c r="H162" s="830">
        <f t="shared" si="2"/>
        <v>4804810</v>
      </c>
    </row>
    <row r="163" spans="2:8" x14ac:dyDescent="0.25">
      <c r="H163" s="104"/>
    </row>
    <row r="164" spans="2:8" x14ac:dyDescent="0.25">
      <c r="B164">
        <v>10299010</v>
      </c>
      <c r="C164" t="s">
        <v>1808</v>
      </c>
      <c r="H164" s="104"/>
    </row>
    <row r="165" spans="2:8" x14ac:dyDescent="0.25">
      <c r="B165">
        <v>10299990</v>
      </c>
      <c r="C165" t="s">
        <v>262</v>
      </c>
      <c r="D165" s="104">
        <v>161861665.66999999</v>
      </c>
      <c r="E165">
        <v>0</v>
      </c>
      <c r="F165">
        <v>0</v>
      </c>
      <c r="G165" s="104">
        <v>161861665.66999999</v>
      </c>
      <c r="H165" s="104">
        <f t="shared" si="2"/>
        <v>0</v>
      </c>
    </row>
    <row r="166" spans="2:8" x14ac:dyDescent="0.25">
      <c r="B166" t="s">
        <v>1809</v>
      </c>
      <c r="C166" t="s">
        <v>51</v>
      </c>
      <c r="H166" s="104"/>
    </row>
    <row r="167" spans="2:8" x14ac:dyDescent="0.25">
      <c r="C167" t="s">
        <v>1810</v>
      </c>
      <c r="D167" s="104">
        <v>38083830.090000004</v>
      </c>
      <c r="E167">
        <v>0</v>
      </c>
      <c r="F167">
        <v>0</v>
      </c>
      <c r="G167" s="104">
        <v>38083830.090000004</v>
      </c>
      <c r="H167" s="104">
        <f t="shared" si="2"/>
        <v>0</v>
      </c>
    </row>
    <row r="168" spans="2:8" x14ac:dyDescent="0.25">
      <c r="C168" t="s">
        <v>1811</v>
      </c>
      <c r="D168" s="104">
        <v>7349422.1500000004</v>
      </c>
      <c r="E168">
        <v>0</v>
      </c>
      <c r="F168">
        <v>0</v>
      </c>
      <c r="G168" s="104">
        <v>7349422.1500000004</v>
      </c>
      <c r="H168" s="104">
        <f t="shared" si="2"/>
        <v>0</v>
      </c>
    </row>
    <row r="169" spans="2:8" x14ac:dyDescent="0.25">
      <c r="C169" t="s">
        <v>1812</v>
      </c>
      <c r="D169" s="104">
        <v>92105723</v>
      </c>
      <c r="E169">
        <v>0</v>
      </c>
      <c r="F169">
        <v>0</v>
      </c>
      <c r="G169" s="104">
        <v>92105723</v>
      </c>
      <c r="H169" s="104">
        <f t="shared" si="2"/>
        <v>0</v>
      </c>
    </row>
    <row r="170" spans="2:8" x14ac:dyDescent="0.25">
      <c r="C170" t="s">
        <v>1813</v>
      </c>
      <c r="D170" s="104">
        <v>24322690.43</v>
      </c>
      <c r="E170">
        <v>0</v>
      </c>
      <c r="F170">
        <v>0</v>
      </c>
      <c r="G170" s="104">
        <v>24322690.43</v>
      </c>
      <c r="H170" s="104">
        <f t="shared" si="2"/>
        <v>0</v>
      </c>
    </row>
    <row r="171" spans="2:8" x14ac:dyDescent="0.25">
      <c r="B171" t="s">
        <v>1587</v>
      </c>
      <c r="D171" s="104">
        <v>161861665.66999999</v>
      </c>
      <c r="E171">
        <v>0</v>
      </c>
      <c r="F171">
        <v>0</v>
      </c>
      <c r="G171" s="104">
        <v>161861665.66999999</v>
      </c>
      <c r="H171" s="830">
        <f t="shared" si="2"/>
        <v>0</v>
      </c>
    </row>
    <row r="172" spans="2:8" x14ac:dyDescent="0.25">
      <c r="H172" s="104"/>
    </row>
    <row r="173" spans="2:8" x14ac:dyDescent="0.25">
      <c r="B173">
        <v>10299991</v>
      </c>
      <c r="C173" t="s">
        <v>171</v>
      </c>
      <c r="H173" s="104"/>
    </row>
    <row r="174" spans="2:8" x14ac:dyDescent="0.25">
      <c r="C174" t="s">
        <v>1814</v>
      </c>
      <c r="D174" s="104">
        <v>-161861665.66999999</v>
      </c>
      <c r="E174">
        <v>0</v>
      </c>
      <c r="F174">
        <v>0</v>
      </c>
      <c r="G174" s="104">
        <v>-161861665.66999999</v>
      </c>
      <c r="H174" s="104">
        <f t="shared" si="2"/>
        <v>0</v>
      </c>
    </row>
    <row r="175" spans="2:8" x14ac:dyDescent="0.25">
      <c r="B175" t="s">
        <v>1587</v>
      </c>
      <c r="D175" s="104">
        <v>-161861665.66999999</v>
      </c>
      <c r="E175">
        <v>0</v>
      </c>
      <c r="F175">
        <v>0</v>
      </c>
      <c r="G175" s="104">
        <v>-161861665.66999999</v>
      </c>
      <c r="H175" s="830">
        <f t="shared" si="2"/>
        <v>0</v>
      </c>
    </row>
    <row r="176" spans="2:8" x14ac:dyDescent="0.25">
      <c r="H176" s="104"/>
    </row>
    <row r="177" spans="2:8" x14ac:dyDescent="0.25">
      <c r="B177">
        <v>10301010</v>
      </c>
      <c r="C177" t="s">
        <v>1815</v>
      </c>
      <c r="D177" s="104">
        <v>379486133.38999999</v>
      </c>
      <c r="E177" s="104">
        <v>208143461.83000001</v>
      </c>
      <c r="F177" s="104">
        <v>181426568.94999999</v>
      </c>
      <c r="G177" s="104">
        <v>406203026.26999998</v>
      </c>
      <c r="H177" s="104">
        <f t="shared" si="2"/>
        <v>26716892.879999995</v>
      </c>
    </row>
    <row r="178" spans="2:8" x14ac:dyDescent="0.25">
      <c r="B178" t="s">
        <v>1816</v>
      </c>
      <c r="C178" t="s">
        <v>1817</v>
      </c>
      <c r="H178" s="104"/>
    </row>
    <row r="179" spans="2:8" x14ac:dyDescent="0.25">
      <c r="B179" t="s">
        <v>1818</v>
      </c>
      <c r="C179" t="s">
        <v>96</v>
      </c>
      <c r="H179" s="104"/>
    </row>
    <row r="180" spans="2:8" x14ac:dyDescent="0.25">
      <c r="C180" t="s">
        <v>1819</v>
      </c>
      <c r="D180">
        <v>0</v>
      </c>
      <c r="E180">
        <v>0</v>
      </c>
      <c r="F180">
        <v>0</v>
      </c>
      <c r="G180">
        <v>0</v>
      </c>
      <c r="H180" s="104">
        <f t="shared" si="2"/>
        <v>0</v>
      </c>
    </row>
    <row r="181" spans="2:8" x14ac:dyDescent="0.25">
      <c r="C181" t="s">
        <v>1820</v>
      </c>
      <c r="D181" s="104">
        <v>11274547.6</v>
      </c>
      <c r="E181" s="104">
        <v>38833277.880000003</v>
      </c>
      <c r="F181" s="104">
        <v>30862957.600000001</v>
      </c>
      <c r="G181" s="104">
        <v>19244867.879999999</v>
      </c>
      <c r="H181" s="831">
        <f t="shared" si="2"/>
        <v>7970320.2799999993</v>
      </c>
    </row>
    <row r="182" spans="2:8" x14ac:dyDescent="0.25">
      <c r="C182" t="s">
        <v>1821</v>
      </c>
      <c r="D182" s="104">
        <v>2782</v>
      </c>
      <c r="E182">
        <v>0</v>
      </c>
      <c r="F182">
        <v>0</v>
      </c>
      <c r="G182" s="104">
        <v>2782</v>
      </c>
      <c r="H182" s="104">
        <f t="shared" si="2"/>
        <v>0</v>
      </c>
    </row>
    <row r="183" spans="2:8" x14ac:dyDescent="0.25">
      <c r="C183" t="s">
        <v>1822</v>
      </c>
      <c r="D183">
        <v>0</v>
      </c>
      <c r="E183" s="104">
        <v>2490008.9</v>
      </c>
      <c r="F183" s="104">
        <v>1968860.37</v>
      </c>
      <c r="G183" s="104">
        <v>521148.53</v>
      </c>
      <c r="H183" s="104">
        <f t="shared" si="2"/>
        <v>521148.53</v>
      </c>
    </row>
    <row r="184" spans="2:8" x14ac:dyDescent="0.25">
      <c r="C184" t="s">
        <v>1823</v>
      </c>
      <c r="D184" s="104">
        <v>1513290.95</v>
      </c>
      <c r="E184" s="104">
        <v>12607875.66</v>
      </c>
      <c r="F184" s="104">
        <v>12124623.93</v>
      </c>
      <c r="G184" s="104">
        <v>1996542.68</v>
      </c>
      <c r="H184" s="104">
        <f t="shared" si="2"/>
        <v>483251.73</v>
      </c>
    </row>
    <row r="185" spans="2:8" x14ac:dyDescent="0.25">
      <c r="C185" t="s">
        <v>1824</v>
      </c>
      <c r="D185" s="104">
        <v>1059263.76</v>
      </c>
      <c r="E185" s="104">
        <v>253052.29</v>
      </c>
      <c r="F185">
        <v>0</v>
      </c>
      <c r="G185" s="104">
        <v>1312316.05</v>
      </c>
      <c r="H185" s="104">
        <f t="shared" si="2"/>
        <v>253052.29000000004</v>
      </c>
    </row>
    <row r="186" spans="2:8" x14ac:dyDescent="0.25">
      <c r="C186" t="s">
        <v>1825</v>
      </c>
      <c r="D186" s="104">
        <v>345200.84</v>
      </c>
      <c r="E186" s="104">
        <v>746117.26</v>
      </c>
      <c r="F186" s="104">
        <v>882188.7</v>
      </c>
      <c r="G186" s="104">
        <v>209129.4</v>
      </c>
      <c r="H186" s="104">
        <f t="shared" si="2"/>
        <v>-136071.44000000003</v>
      </c>
    </row>
    <row r="187" spans="2:8" x14ac:dyDescent="0.25">
      <c r="C187" t="s">
        <v>1826</v>
      </c>
      <c r="D187" s="104">
        <v>4022352.19</v>
      </c>
      <c r="E187">
        <v>0</v>
      </c>
      <c r="F187">
        <v>0</v>
      </c>
      <c r="G187" s="104">
        <v>4022352.19</v>
      </c>
      <c r="H187" s="104">
        <f t="shared" si="2"/>
        <v>0</v>
      </c>
    </row>
    <row r="188" spans="2:8" x14ac:dyDescent="0.25">
      <c r="C188" t="s">
        <v>1827</v>
      </c>
      <c r="D188" s="104">
        <v>520000</v>
      </c>
      <c r="E188">
        <v>0</v>
      </c>
      <c r="F188">
        <v>0</v>
      </c>
      <c r="G188" s="104">
        <v>520000</v>
      </c>
      <c r="H188" s="104">
        <f t="shared" si="2"/>
        <v>0</v>
      </c>
    </row>
    <row r="189" spans="2:8" x14ac:dyDescent="0.25">
      <c r="C189" t="s">
        <v>1828</v>
      </c>
      <c r="D189" s="104">
        <v>2561401.9500000002</v>
      </c>
      <c r="E189" s="104">
        <v>6026152.3600000003</v>
      </c>
      <c r="F189" s="104">
        <v>6866578.9699999997</v>
      </c>
      <c r="G189" s="104">
        <v>1720975.34</v>
      </c>
      <c r="H189" s="104">
        <f t="shared" si="2"/>
        <v>-840426.6100000001</v>
      </c>
    </row>
    <row r="190" spans="2:8" x14ac:dyDescent="0.25">
      <c r="C190" t="s">
        <v>1787</v>
      </c>
      <c r="D190">
        <v>0</v>
      </c>
      <c r="E190" s="104">
        <v>8479791.8399999999</v>
      </c>
      <c r="F190" s="104">
        <v>8479791.8399999999</v>
      </c>
      <c r="G190">
        <v>0</v>
      </c>
      <c r="H190" s="104">
        <f t="shared" si="2"/>
        <v>0</v>
      </c>
    </row>
    <row r="191" spans="2:8" x14ac:dyDescent="0.25">
      <c r="C191" t="s">
        <v>1768</v>
      </c>
      <c r="D191" s="104">
        <v>9203757.6999999993</v>
      </c>
      <c r="E191">
        <v>0</v>
      </c>
      <c r="F191">
        <v>0</v>
      </c>
      <c r="G191" s="104">
        <v>9203757.6999999993</v>
      </c>
      <c r="H191" s="104">
        <f t="shared" si="2"/>
        <v>0</v>
      </c>
    </row>
    <row r="192" spans="2:8" x14ac:dyDescent="0.25">
      <c r="C192" t="s">
        <v>1829</v>
      </c>
      <c r="D192" s="104">
        <v>2693035.71</v>
      </c>
      <c r="E192">
        <v>0</v>
      </c>
      <c r="F192">
        <v>0</v>
      </c>
      <c r="G192" s="104">
        <v>2693035.71</v>
      </c>
      <c r="H192" s="104">
        <f t="shared" si="2"/>
        <v>0</v>
      </c>
    </row>
    <row r="193" spans="3:8" x14ac:dyDescent="0.25">
      <c r="C193" t="s">
        <v>1754</v>
      </c>
      <c r="D193" s="104">
        <v>7503844.7599999998</v>
      </c>
      <c r="E193" s="104">
        <v>6432500.04</v>
      </c>
      <c r="F193" s="104">
        <v>6432500.04</v>
      </c>
      <c r="G193" s="104">
        <v>7503844.7599999998</v>
      </c>
      <c r="H193" s="104">
        <f t="shared" si="2"/>
        <v>0</v>
      </c>
    </row>
    <row r="194" spans="3:8" x14ac:dyDescent="0.25">
      <c r="C194" t="s">
        <v>1830</v>
      </c>
      <c r="D194">
        <v>0</v>
      </c>
      <c r="E194" s="104">
        <v>3266582.73</v>
      </c>
      <c r="F194" s="104">
        <v>3207567.24</v>
      </c>
      <c r="G194" s="104">
        <v>59015.49</v>
      </c>
      <c r="H194" s="104">
        <f t="shared" si="2"/>
        <v>59015.49</v>
      </c>
    </row>
    <row r="195" spans="3:8" x14ac:dyDescent="0.25">
      <c r="C195" t="s">
        <v>1831</v>
      </c>
      <c r="D195" s="104">
        <v>120167.61</v>
      </c>
      <c r="E195">
        <v>0</v>
      </c>
      <c r="F195">
        <v>0</v>
      </c>
      <c r="G195" s="104">
        <v>120167.61</v>
      </c>
      <c r="H195" s="104">
        <f t="shared" si="2"/>
        <v>0</v>
      </c>
    </row>
    <row r="196" spans="3:8" x14ac:dyDescent="0.25">
      <c r="C196" t="s">
        <v>1832</v>
      </c>
      <c r="D196" s="104">
        <v>12838.97</v>
      </c>
      <c r="E196">
        <v>0</v>
      </c>
      <c r="F196">
        <v>0</v>
      </c>
      <c r="G196" s="104">
        <v>12838.97</v>
      </c>
      <c r="H196" s="104">
        <f t="shared" si="2"/>
        <v>0</v>
      </c>
    </row>
    <row r="197" spans="3:8" x14ac:dyDescent="0.25">
      <c r="C197" t="s">
        <v>1833</v>
      </c>
      <c r="D197" s="104">
        <v>106531.38</v>
      </c>
      <c r="E197">
        <v>0</v>
      </c>
      <c r="F197">
        <v>0</v>
      </c>
      <c r="G197" s="104">
        <v>106531.38</v>
      </c>
      <c r="H197" s="104">
        <f t="shared" si="2"/>
        <v>0</v>
      </c>
    </row>
    <row r="198" spans="3:8" x14ac:dyDescent="0.25">
      <c r="C198" t="s">
        <v>1834</v>
      </c>
      <c r="D198" s="104">
        <v>5078316</v>
      </c>
      <c r="E198">
        <v>0</v>
      </c>
      <c r="F198">
        <v>0</v>
      </c>
      <c r="G198" s="104">
        <v>5078316</v>
      </c>
      <c r="H198" s="104">
        <f t="shared" si="2"/>
        <v>0</v>
      </c>
    </row>
    <row r="199" spans="3:8" x14ac:dyDescent="0.25">
      <c r="C199" t="s">
        <v>1835</v>
      </c>
      <c r="D199" s="104">
        <v>36346.019999999997</v>
      </c>
      <c r="E199" s="104">
        <v>149068.38</v>
      </c>
      <c r="F199" s="104">
        <v>170751.95</v>
      </c>
      <c r="G199" s="104">
        <v>14662.45</v>
      </c>
      <c r="H199" s="104">
        <f t="shared" ref="H199:H256" si="3">G199-D199</f>
        <v>-21683.569999999996</v>
      </c>
    </row>
    <row r="200" spans="3:8" x14ac:dyDescent="0.25">
      <c r="C200" t="s">
        <v>1836</v>
      </c>
      <c r="D200" s="104">
        <v>94344.35</v>
      </c>
      <c r="E200">
        <v>0</v>
      </c>
      <c r="F200">
        <v>0</v>
      </c>
      <c r="G200" s="104">
        <v>94344.35</v>
      </c>
      <c r="H200" s="104">
        <f t="shared" si="3"/>
        <v>0</v>
      </c>
    </row>
    <row r="201" spans="3:8" x14ac:dyDescent="0.25">
      <c r="C201" t="s">
        <v>1837</v>
      </c>
      <c r="D201" s="104">
        <v>124181.81</v>
      </c>
      <c r="E201">
        <v>0</v>
      </c>
      <c r="F201">
        <v>0</v>
      </c>
      <c r="G201" s="104">
        <v>124181.81</v>
      </c>
      <c r="H201" s="104">
        <f t="shared" si="3"/>
        <v>0</v>
      </c>
    </row>
    <row r="202" spans="3:8" x14ac:dyDescent="0.25">
      <c r="C202" t="s">
        <v>1838</v>
      </c>
      <c r="D202" s="104">
        <v>186346</v>
      </c>
      <c r="E202">
        <v>0</v>
      </c>
      <c r="F202">
        <v>0</v>
      </c>
      <c r="G202" s="104">
        <v>186346</v>
      </c>
      <c r="H202" s="104">
        <f t="shared" si="3"/>
        <v>0</v>
      </c>
    </row>
    <row r="203" spans="3:8" x14ac:dyDescent="0.25">
      <c r="C203" t="s">
        <v>1839</v>
      </c>
      <c r="D203" s="104">
        <v>56036.17</v>
      </c>
      <c r="E203">
        <v>0</v>
      </c>
      <c r="F203">
        <v>0</v>
      </c>
      <c r="G203" s="104">
        <v>56036.17</v>
      </c>
      <c r="H203" s="104">
        <f t="shared" si="3"/>
        <v>0</v>
      </c>
    </row>
    <row r="204" spans="3:8" x14ac:dyDescent="0.25">
      <c r="C204" t="s">
        <v>1840</v>
      </c>
      <c r="D204" s="104">
        <v>272203.59999999998</v>
      </c>
      <c r="E204">
        <v>0</v>
      </c>
      <c r="F204" s="104">
        <v>272203.59999999998</v>
      </c>
      <c r="G204">
        <v>0</v>
      </c>
      <c r="H204" s="104">
        <f t="shared" si="3"/>
        <v>-272203.59999999998</v>
      </c>
    </row>
    <row r="205" spans="3:8" x14ac:dyDescent="0.25">
      <c r="C205" t="s">
        <v>1841</v>
      </c>
      <c r="D205" s="104">
        <v>18733.47</v>
      </c>
      <c r="E205">
        <v>0</v>
      </c>
      <c r="F205">
        <v>0</v>
      </c>
      <c r="G205" s="104">
        <v>18733.47</v>
      </c>
      <c r="H205" s="104">
        <f t="shared" si="3"/>
        <v>0</v>
      </c>
    </row>
    <row r="206" spans="3:8" x14ac:dyDescent="0.25">
      <c r="C206" t="s">
        <v>1842</v>
      </c>
      <c r="D206" s="104">
        <v>164480.89000000001</v>
      </c>
      <c r="E206" s="104">
        <v>3280824.64</v>
      </c>
      <c r="F206" s="104">
        <v>1241062.56</v>
      </c>
      <c r="G206" s="104">
        <v>2204242.9700000002</v>
      </c>
      <c r="H206" s="104">
        <f t="shared" si="3"/>
        <v>2039762.08</v>
      </c>
    </row>
    <row r="207" spans="3:8" x14ac:dyDescent="0.25">
      <c r="C207" t="s">
        <v>1843</v>
      </c>
      <c r="D207" s="104">
        <v>157565.21</v>
      </c>
      <c r="E207">
        <v>0</v>
      </c>
      <c r="F207">
        <v>0</v>
      </c>
      <c r="G207" s="104">
        <v>157565.21</v>
      </c>
      <c r="H207" s="104">
        <f t="shared" si="3"/>
        <v>0</v>
      </c>
    </row>
    <row r="208" spans="3:8" x14ac:dyDescent="0.25">
      <c r="C208" t="s">
        <v>1844</v>
      </c>
      <c r="D208" s="104">
        <v>223560.82</v>
      </c>
      <c r="E208" s="104">
        <v>1388100.89</v>
      </c>
      <c r="F208" s="104">
        <v>1611661.7</v>
      </c>
      <c r="G208">
        <v>0.01</v>
      </c>
      <c r="H208" s="104">
        <f t="shared" si="3"/>
        <v>-223560.81</v>
      </c>
    </row>
    <row r="209" spans="3:8" x14ac:dyDescent="0.25">
      <c r="C209" t="s">
        <v>1845</v>
      </c>
      <c r="D209" s="104">
        <v>17361.330000000002</v>
      </c>
      <c r="E209">
        <v>0</v>
      </c>
      <c r="F209">
        <v>0</v>
      </c>
      <c r="G209" s="104">
        <v>17361.330000000002</v>
      </c>
      <c r="H209" s="104">
        <f t="shared" si="3"/>
        <v>0</v>
      </c>
    </row>
    <row r="210" spans="3:8" x14ac:dyDescent="0.25">
      <c r="C210" t="s">
        <v>1846</v>
      </c>
      <c r="D210" s="104">
        <v>26532.23</v>
      </c>
      <c r="E210">
        <v>0</v>
      </c>
      <c r="F210">
        <v>0</v>
      </c>
      <c r="G210" s="104">
        <v>26532.23</v>
      </c>
      <c r="H210" s="104">
        <f t="shared" si="3"/>
        <v>0</v>
      </c>
    </row>
    <row r="211" spans="3:8" x14ac:dyDescent="0.25">
      <c r="C211" t="s">
        <v>1847</v>
      </c>
      <c r="D211" s="104">
        <v>2930135.96</v>
      </c>
      <c r="E211">
        <v>0</v>
      </c>
      <c r="F211">
        <v>0</v>
      </c>
      <c r="G211" s="104">
        <v>2930135.96</v>
      </c>
      <c r="H211" s="104">
        <f t="shared" si="3"/>
        <v>0</v>
      </c>
    </row>
    <row r="212" spans="3:8" x14ac:dyDescent="0.25">
      <c r="C212" t="s">
        <v>1848</v>
      </c>
      <c r="D212">
        <v>2.66</v>
      </c>
      <c r="E212">
        <v>0</v>
      </c>
      <c r="F212">
        <v>2.66</v>
      </c>
      <c r="G212">
        <v>0</v>
      </c>
      <c r="H212" s="104">
        <f t="shared" si="3"/>
        <v>-2.66</v>
      </c>
    </row>
    <row r="213" spans="3:8" x14ac:dyDescent="0.25">
      <c r="C213" t="s">
        <v>1849</v>
      </c>
      <c r="D213" s="104">
        <v>3123841.27</v>
      </c>
      <c r="E213" s="104">
        <v>3094947.76</v>
      </c>
      <c r="F213" s="104">
        <v>2790377.38</v>
      </c>
      <c r="G213" s="104">
        <v>3428411.65</v>
      </c>
      <c r="H213" s="104">
        <f t="shared" si="3"/>
        <v>304570.37999999989</v>
      </c>
    </row>
    <row r="214" spans="3:8" x14ac:dyDescent="0.25">
      <c r="C214" t="s">
        <v>1850</v>
      </c>
      <c r="D214" s="104">
        <v>509219.05</v>
      </c>
      <c r="E214" s="104">
        <v>4114281.35</v>
      </c>
      <c r="F214" s="104">
        <v>3768463.5</v>
      </c>
      <c r="G214" s="104">
        <v>855036.9</v>
      </c>
      <c r="H214" s="104">
        <f t="shared" si="3"/>
        <v>345817.85000000003</v>
      </c>
    </row>
    <row r="215" spans="3:8" x14ac:dyDescent="0.25">
      <c r="C215" t="s">
        <v>1851</v>
      </c>
      <c r="D215" s="104">
        <v>35714.300000000003</v>
      </c>
      <c r="E215" s="104">
        <v>544285.74</v>
      </c>
      <c r="F215" s="104">
        <v>547000.03</v>
      </c>
      <c r="G215" s="104">
        <v>33000.01</v>
      </c>
      <c r="H215" s="104">
        <f t="shared" si="3"/>
        <v>-2714.2900000000009</v>
      </c>
    </row>
    <row r="216" spans="3:8" x14ac:dyDescent="0.25">
      <c r="C216" t="s">
        <v>1852</v>
      </c>
      <c r="D216" s="104">
        <v>702541</v>
      </c>
      <c r="E216">
        <v>0</v>
      </c>
      <c r="F216" s="104">
        <v>702541</v>
      </c>
      <c r="G216">
        <v>0</v>
      </c>
      <c r="H216" s="104">
        <f t="shared" si="3"/>
        <v>-702541</v>
      </c>
    </row>
    <row r="217" spans="3:8" x14ac:dyDescent="0.25">
      <c r="C217" t="s">
        <v>1853</v>
      </c>
      <c r="D217">
        <v>0</v>
      </c>
      <c r="E217" s="104">
        <v>305908.44</v>
      </c>
      <c r="F217" s="104">
        <v>280416.03999999998</v>
      </c>
      <c r="G217" s="104">
        <v>25492.400000000001</v>
      </c>
      <c r="H217" s="104">
        <f t="shared" si="3"/>
        <v>25492.400000000001</v>
      </c>
    </row>
    <row r="218" spans="3:8" x14ac:dyDescent="0.25">
      <c r="C218" t="s">
        <v>1854</v>
      </c>
      <c r="D218">
        <v>0</v>
      </c>
      <c r="E218" s="104">
        <v>2227062.7200000002</v>
      </c>
      <c r="F218" s="104">
        <v>2227062.7200000002</v>
      </c>
      <c r="G218">
        <v>0</v>
      </c>
      <c r="H218" s="104">
        <f t="shared" si="3"/>
        <v>0</v>
      </c>
    </row>
    <row r="219" spans="3:8" x14ac:dyDescent="0.25">
      <c r="C219" t="s">
        <v>1786</v>
      </c>
      <c r="D219">
        <v>0</v>
      </c>
      <c r="E219" s="104">
        <v>50400</v>
      </c>
      <c r="F219" s="104">
        <v>50400</v>
      </c>
      <c r="G219">
        <v>0</v>
      </c>
      <c r="H219" s="104">
        <f t="shared" si="3"/>
        <v>0</v>
      </c>
    </row>
    <row r="220" spans="3:8" x14ac:dyDescent="0.25">
      <c r="C220" t="s">
        <v>1855</v>
      </c>
      <c r="D220">
        <v>0</v>
      </c>
      <c r="E220" s="104">
        <v>10838341.41</v>
      </c>
      <c r="F220" s="104">
        <v>10053157.300000001</v>
      </c>
      <c r="G220" s="104">
        <v>785184.11</v>
      </c>
      <c r="H220" s="104">
        <f t="shared" si="3"/>
        <v>785184.11</v>
      </c>
    </row>
    <row r="221" spans="3:8" x14ac:dyDescent="0.25">
      <c r="C221" t="s">
        <v>1856</v>
      </c>
      <c r="D221">
        <v>0</v>
      </c>
      <c r="E221" s="104">
        <v>185588.56</v>
      </c>
      <c r="F221" s="104">
        <v>185588.56</v>
      </c>
      <c r="G221">
        <v>0</v>
      </c>
      <c r="H221" s="104">
        <f t="shared" si="3"/>
        <v>0</v>
      </c>
    </row>
    <row r="222" spans="3:8" x14ac:dyDescent="0.25">
      <c r="C222" t="s">
        <v>1857</v>
      </c>
      <c r="D222" s="104">
        <v>245787.4</v>
      </c>
      <c r="E222" s="104">
        <v>222873.22</v>
      </c>
      <c r="F222" s="104">
        <v>394450.53</v>
      </c>
      <c r="G222" s="104">
        <v>74210.09</v>
      </c>
      <c r="H222" s="104">
        <f t="shared" si="3"/>
        <v>-171577.31</v>
      </c>
    </row>
    <row r="223" spans="3:8" x14ac:dyDescent="0.25">
      <c r="C223" t="s">
        <v>1858</v>
      </c>
      <c r="D223">
        <v>0</v>
      </c>
      <c r="E223">
        <v>0</v>
      </c>
      <c r="F223">
        <v>0</v>
      </c>
      <c r="G223">
        <v>0</v>
      </c>
      <c r="H223" s="104">
        <f t="shared" si="3"/>
        <v>0</v>
      </c>
    </row>
    <row r="224" spans="3:8" x14ac:dyDescent="0.25">
      <c r="C224" t="s">
        <v>1761</v>
      </c>
      <c r="D224" s="104">
        <v>2541.16</v>
      </c>
      <c r="E224" s="104">
        <v>34668</v>
      </c>
      <c r="F224" s="104">
        <v>34668</v>
      </c>
      <c r="G224" s="104">
        <v>2541.16</v>
      </c>
      <c r="H224" s="104">
        <f t="shared" si="3"/>
        <v>0</v>
      </c>
    </row>
    <row r="225" spans="3:8" x14ac:dyDescent="0.25">
      <c r="C225" t="s">
        <v>1859</v>
      </c>
      <c r="D225" s="104">
        <v>2902.68</v>
      </c>
      <c r="E225" s="104">
        <v>374797.56</v>
      </c>
      <c r="F225" s="104">
        <v>377700.25</v>
      </c>
      <c r="G225">
        <v>-0.01</v>
      </c>
      <c r="H225" s="104">
        <f t="shared" si="3"/>
        <v>-2902.69</v>
      </c>
    </row>
    <row r="226" spans="3:8" x14ac:dyDescent="0.25">
      <c r="C226" t="s">
        <v>1860</v>
      </c>
      <c r="D226">
        <v>0</v>
      </c>
      <c r="E226" s="104">
        <v>509449.66</v>
      </c>
      <c r="F226" s="104">
        <v>509449.56</v>
      </c>
      <c r="G226">
        <v>0.1</v>
      </c>
      <c r="H226" s="104">
        <f t="shared" si="3"/>
        <v>0.1</v>
      </c>
    </row>
    <row r="227" spans="3:8" x14ac:dyDescent="0.25">
      <c r="C227" t="s">
        <v>1861</v>
      </c>
      <c r="D227">
        <v>0</v>
      </c>
      <c r="E227">
        <v>0</v>
      </c>
      <c r="F227">
        <v>0</v>
      </c>
      <c r="G227">
        <v>0</v>
      </c>
      <c r="H227" s="104">
        <f t="shared" si="3"/>
        <v>0</v>
      </c>
    </row>
    <row r="228" spans="3:8" x14ac:dyDescent="0.25">
      <c r="C228" t="s">
        <v>1862</v>
      </c>
      <c r="D228">
        <v>0</v>
      </c>
      <c r="E228">
        <v>0</v>
      </c>
      <c r="F228">
        <v>0</v>
      </c>
      <c r="G228">
        <v>0</v>
      </c>
      <c r="H228" s="104">
        <f t="shared" si="3"/>
        <v>0</v>
      </c>
    </row>
    <row r="229" spans="3:8" x14ac:dyDescent="0.25">
      <c r="C229" t="s">
        <v>1863</v>
      </c>
      <c r="D229">
        <v>0</v>
      </c>
      <c r="E229">
        <v>0</v>
      </c>
      <c r="F229">
        <v>0</v>
      </c>
      <c r="G229">
        <v>0</v>
      </c>
      <c r="H229" s="104">
        <f t="shared" si="3"/>
        <v>0</v>
      </c>
    </row>
    <row r="230" spans="3:8" x14ac:dyDescent="0.25">
      <c r="C230" t="s">
        <v>1864</v>
      </c>
      <c r="D230">
        <v>0</v>
      </c>
      <c r="E230">
        <v>0</v>
      </c>
      <c r="F230">
        <v>0</v>
      </c>
      <c r="G230">
        <v>0</v>
      </c>
      <c r="H230" s="104">
        <f t="shared" si="3"/>
        <v>0</v>
      </c>
    </row>
    <row r="231" spans="3:8" x14ac:dyDescent="0.25">
      <c r="C231" t="s">
        <v>1865</v>
      </c>
      <c r="D231">
        <v>0</v>
      </c>
      <c r="E231" s="104">
        <v>87846</v>
      </c>
      <c r="F231" s="104">
        <v>80525.5</v>
      </c>
      <c r="G231" s="104">
        <v>7320.5</v>
      </c>
      <c r="H231" s="104">
        <f t="shared" si="3"/>
        <v>7320.5</v>
      </c>
    </row>
    <row r="232" spans="3:8" x14ac:dyDescent="0.25">
      <c r="C232" t="s">
        <v>1866</v>
      </c>
      <c r="D232" s="104">
        <v>65398.42</v>
      </c>
      <c r="E232" s="104">
        <v>377665.82</v>
      </c>
      <c r="F232" s="104">
        <v>442818.43</v>
      </c>
      <c r="G232">
        <v>245.81</v>
      </c>
      <c r="H232" s="104">
        <f t="shared" si="3"/>
        <v>-65152.61</v>
      </c>
    </row>
    <row r="233" spans="3:8" x14ac:dyDescent="0.25">
      <c r="C233" t="s">
        <v>1867</v>
      </c>
      <c r="D233">
        <v>0</v>
      </c>
      <c r="E233">
        <v>0</v>
      </c>
      <c r="F233">
        <v>0</v>
      </c>
      <c r="G233">
        <v>0</v>
      </c>
      <c r="H233" s="104">
        <f t="shared" si="3"/>
        <v>0</v>
      </c>
    </row>
    <row r="234" spans="3:8" x14ac:dyDescent="0.25">
      <c r="C234" t="s">
        <v>1868</v>
      </c>
      <c r="D234">
        <v>0</v>
      </c>
      <c r="E234" s="104">
        <v>630624.36</v>
      </c>
      <c r="F234" s="104">
        <v>630624.36</v>
      </c>
      <c r="G234">
        <v>0</v>
      </c>
      <c r="H234" s="104">
        <f t="shared" si="3"/>
        <v>0</v>
      </c>
    </row>
    <row r="235" spans="3:8" x14ac:dyDescent="0.25">
      <c r="C235" t="s">
        <v>1869</v>
      </c>
      <c r="D235">
        <v>0</v>
      </c>
      <c r="E235" s="104">
        <v>49924614.5</v>
      </c>
      <c r="F235" s="104">
        <v>45680011.649999999</v>
      </c>
      <c r="G235" s="104">
        <v>4244602.8499999996</v>
      </c>
      <c r="H235" s="831">
        <f t="shared" si="3"/>
        <v>4244602.8499999996</v>
      </c>
    </row>
    <row r="236" spans="3:8" x14ac:dyDescent="0.25">
      <c r="C236" t="s">
        <v>1870</v>
      </c>
      <c r="D236" s="104">
        <v>2251795.11</v>
      </c>
      <c r="E236">
        <v>0</v>
      </c>
      <c r="F236">
        <v>0</v>
      </c>
      <c r="G236" s="104">
        <v>2251795.11</v>
      </c>
      <c r="H236" s="104">
        <f t="shared" si="3"/>
        <v>0</v>
      </c>
    </row>
    <row r="237" spans="3:8" x14ac:dyDescent="0.25">
      <c r="C237" t="s">
        <v>1871</v>
      </c>
      <c r="D237">
        <v>0</v>
      </c>
      <c r="E237" s="104">
        <v>29420.34</v>
      </c>
      <c r="F237" s="104">
        <v>29420.34</v>
      </c>
      <c r="G237">
        <v>0</v>
      </c>
      <c r="H237" s="104">
        <f t="shared" si="3"/>
        <v>0</v>
      </c>
    </row>
    <row r="238" spans="3:8" x14ac:dyDescent="0.25">
      <c r="C238" t="s">
        <v>1872</v>
      </c>
      <c r="D238">
        <v>0</v>
      </c>
      <c r="E238">
        <v>0</v>
      </c>
      <c r="F238">
        <v>0</v>
      </c>
      <c r="G238">
        <v>0</v>
      </c>
      <c r="H238" s="104">
        <f t="shared" si="3"/>
        <v>0</v>
      </c>
    </row>
    <row r="239" spans="3:8" x14ac:dyDescent="0.25">
      <c r="C239" t="s">
        <v>1873</v>
      </c>
      <c r="D239">
        <v>0</v>
      </c>
      <c r="E239" s="104">
        <v>5912606.9199999999</v>
      </c>
      <c r="F239" s="104">
        <v>5912606.9199999999</v>
      </c>
      <c r="G239">
        <v>0</v>
      </c>
      <c r="H239" s="104">
        <f t="shared" si="3"/>
        <v>0</v>
      </c>
    </row>
    <row r="240" spans="3:8" x14ac:dyDescent="0.25">
      <c r="C240" t="s">
        <v>1874</v>
      </c>
      <c r="D240">
        <v>0</v>
      </c>
      <c r="E240" s="104">
        <v>3698499.75</v>
      </c>
      <c r="F240" s="104">
        <v>3698499.75</v>
      </c>
      <c r="G240">
        <v>0</v>
      </c>
      <c r="H240" s="104">
        <f t="shared" si="3"/>
        <v>0</v>
      </c>
    </row>
    <row r="241" spans="3:8" x14ac:dyDescent="0.25">
      <c r="C241" t="s">
        <v>1875</v>
      </c>
      <c r="D241">
        <v>0</v>
      </c>
      <c r="E241">
        <v>0</v>
      </c>
      <c r="F241">
        <v>0</v>
      </c>
      <c r="G241">
        <v>0</v>
      </c>
      <c r="H241" s="104">
        <f t="shared" si="3"/>
        <v>0</v>
      </c>
    </row>
    <row r="242" spans="3:8" x14ac:dyDescent="0.25">
      <c r="C242" t="s">
        <v>1876</v>
      </c>
      <c r="D242">
        <v>0</v>
      </c>
      <c r="E242" s="104">
        <v>25490</v>
      </c>
      <c r="F242" s="104">
        <v>23490</v>
      </c>
      <c r="G242" s="104">
        <v>2000</v>
      </c>
      <c r="H242" s="104">
        <f t="shared" si="3"/>
        <v>2000</v>
      </c>
    </row>
    <row r="243" spans="3:8" x14ac:dyDescent="0.25">
      <c r="C243" t="s">
        <v>1877</v>
      </c>
      <c r="D243">
        <v>0</v>
      </c>
      <c r="E243" s="104">
        <v>177321.44</v>
      </c>
      <c r="F243" s="104">
        <v>177321.44</v>
      </c>
      <c r="G243">
        <v>0</v>
      </c>
      <c r="H243" s="104">
        <f t="shared" si="3"/>
        <v>0</v>
      </c>
    </row>
    <row r="244" spans="3:8" x14ac:dyDescent="0.25">
      <c r="C244" t="s">
        <v>1878</v>
      </c>
      <c r="D244" s="104">
        <v>204910.69</v>
      </c>
      <c r="E244" s="104">
        <v>70982.16</v>
      </c>
      <c r="F244">
        <v>0</v>
      </c>
      <c r="G244" s="104">
        <v>275892.84999999998</v>
      </c>
      <c r="H244" s="104">
        <f t="shared" si="3"/>
        <v>70982.159999999974</v>
      </c>
    </row>
    <row r="245" spans="3:8" x14ac:dyDescent="0.25">
      <c r="C245" t="s">
        <v>1879</v>
      </c>
      <c r="D245" s="104">
        <v>145500.32</v>
      </c>
      <c r="E245" s="104">
        <v>1348116</v>
      </c>
      <c r="F245" s="104">
        <v>1403198.32</v>
      </c>
      <c r="G245" s="104">
        <v>90418</v>
      </c>
      <c r="H245" s="104">
        <f t="shared" si="3"/>
        <v>-55082.320000000007</v>
      </c>
    </row>
    <row r="246" spans="3:8" x14ac:dyDescent="0.25">
      <c r="C246" t="s">
        <v>1880</v>
      </c>
      <c r="D246">
        <v>0</v>
      </c>
      <c r="E246" s="104">
        <v>327025.83</v>
      </c>
      <c r="F246" s="104">
        <v>327025.83</v>
      </c>
      <c r="G246">
        <v>0</v>
      </c>
      <c r="H246" s="104">
        <f t="shared" si="3"/>
        <v>0</v>
      </c>
    </row>
    <row r="247" spans="3:8" x14ac:dyDescent="0.25">
      <c r="C247" t="s">
        <v>1881</v>
      </c>
      <c r="D247">
        <v>0</v>
      </c>
      <c r="E247" s="104">
        <v>679728.27</v>
      </c>
      <c r="F247" s="104">
        <v>679614.93</v>
      </c>
      <c r="G247">
        <v>113.34</v>
      </c>
      <c r="H247" s="104">
        <f t="shared" si="3"/>
        <v>113.34</v>
      </c>
    </row>
    <row r="248" spans="3:8" x14ac:dyDescent="0.25">
      <c r="C248" t="s">
        <v>1882</v>
      </c>
      <c r="D248" s="104">
        <v>5000</v>
      </c>
      <c r="E248" s="104">
        <v>62400</v>
      </c>
      <c r="F248" s="104">
        <v>67400</v>
      </c>
      <c r="G248">
        <v>0</v>
      </c>
      <c r="H248" s="104">
        <f t="shared" si="3"/>
        <v>-5000</v>
      </c>
    </row>
    <row r="249" spans="3:8" x14ac:dyDescent="0.25">
      <c r="C249" t="s">
        <v>1883</v>
      </c>
      <c r="D249" s="104">
        <v>250000</v>
      </c>
      <c r="E249" s="104">
        <v>3133568</v>
      </c>
      <c r="F249" s="104">
        <v>3250000</v>
      </c>
      <c r="G249" s="104">
        <v>133568</v>
      </c>
      <c r="H249" s="104">
        <f t="shared" si="3"/>
        <v>-116432</v>
      </c>
    </row>
    <row r="250" spans="3:8" x14ac:dyDescent="0.25">
      <c r="C250" t="s">
        <v>1884</v>
      </c>
      <c r="D250">
        <v>0</v>
      </c>
      <c r="E250" s="104">
        <v>1397952</v>
      </c>
      <c r="F250" s="104">
        <v>1397952</v>
      </c>
      <c r="G250">
        <v>0</v>
      </c>
      <c r="H250" s="104">
        <f t="shared" si="3"/>
        <v>0</v>
      </c>
    </row>
    <row r="251" spans="3:8" x14ac:dyDescent="0.25">
      <c r="C251" t="s">
        <v>1885</v>
      </c>
      <c r="D251" s="104">
        <v>13140</v>
      </c>
      <c r="E251" s="104">
        <v>383569.37</v>
      </c>
      <c r="F251" s="104">
        <v>396709.37</v>
      </c>
      <c r="G251">
        <v>0</v>
      </c>
      <c r="H251" s="104">
        <f t="shared" si="3"/>
        <v>-13140</v>
      </c>
    </row>
    <row r="252" spans="3:8" x14ac:dyDescent="0.25">
      <c r="C252" t="s">
        <v>1886</v>
      </c>
      <c r="D252">
        <v>0</v>
      </c>
      <c r="E252" s="104">
        <v>1065000</v>
      </c>
      <c r="F252" s="104">
        <v>1065000</v>
      </c>
      <c r="G252">
        <v>0</v>
      </c>
      <c r="H252" s="104">
        <f t="shared" si="3"/>
        <v>0</v>
      </c>
    </row>
    <row r="253" spans="3:8" x14ac:dyDescent="0.25">
      <c r="C253" t="s">
        <v>1887</v>
      </c>
      <c r="D253">
        <v>0</v>
      </c>
      <c r="E253" s="104">
        <v>1397952</v>
      </c>
      <c r="F253" s="104">
        <v>1397952</v>
      </c>
      <c r="G253">
        <v>0</v>
      </c>
      <c r="H253" s="104">
        <f t="shared" si="3"/>
        <v>0</v>
      </c>
    </row>
    <row r="254" spans="3:8" x14ac:dyDescent="0.25">
      <c r="C254" t="s">
        <v>1888</v>
      </c>
      <c r="D254">
        <v>0</v>
      </c>
      <c r="E254" s="104">
        <v>1326510</v>
      </c>
      <c r="F254" s="104">
        <v>1326510</v>
      </c>
      <c r="G254">
        <v>0</v>
      </c>
      <c r="H254" s="104">
        <f t="shared" si="3"/>
        <v>0</v>
      </c>
    </row>
    <row r="255" spans="3:8" x14ac:dyDescent="0.25">
      <c r="C255" t="s">
        <v>1889</v>
      </c>
      <c r="D255">
        <v>0</v>
      </c>
      <c r="E255" s="104">
        <v>341880</v>
      </c>
      <c r="F255" s="104">
        <v>341880</v>
      </c>
      <c r="G255">
        <v>0</v>
      </c>
      <c r="H255" s="104">
        <f t="shared" si="3"/>
        <v>0</v>
      </c>
    </row>
    <row r="256" spans="3:8" x14ac:dyDescent="0.25">
      <c r="C256" t="s">
        <v>1890</v>
      </c>
      <c r="D256">
        <v>0</v>
      </c>
      <c r="E256" s="104">
        <v>613900</v>
      </c>
      <c r="F256" s="104">
        <v>432762.62</v>
      </c>
      <c r="G256" s="104">
        <v>181137.38</v>
      </c>
      <c r="H256" s="104">
        <f t="shared" si="3"/>
        <v>181137.38</v>
      </c>
    </row>
    <row r="257" spans="2:8" x14ac:dyDescent="0.25">
      <c r="B257" t="s">
        <v>1587</v>
      </c>
      <c r="D257" s="104">
        <v>57883453.340000004</v>
      </c>
      <c r="E257" s="104">
        <v>179468630.05000001</v>
      </c>
      <c r="F257" s="104">
        <v>164803349.49000001</v>
      </c>
      <c r="G257" s="104">
        <v>72548733.900000006</v>
      </c>
      <c r="H257" s="830">
        <f>G257-D257</f>
        <v>14665280.560000002</v>
      </c>
    </row>
    <row r="259" spans="2:8" x14ac:dyDescent="0.25">
      <c r="B259" t="s">
        <v>1891</v>
      </c>
      <c r="C259" t="s">
        <v>102</v>
      </c>
    </row>
    <row r="260" spans="2:8" x14ac:dyDescent="0.25">
      <c r="C260" t="s">
        <v>1783</v>
      </c>
      <c r="D260">
        <v>0</v>
      </c>
      <c r="E260" s="104">
        <v>80000.399999999994</v>
      </c>
      <c r="F260" s="104">
        <v>80000.399999999994</v>
      </c>
      <c r="G260">
        <v>0</v>
      </c>
      <c r="H260" s="104">
        <f t="shared" ref="H260:H323" si="4">G260-D260</f>
        <v>0</v>
      </c>
    </row>
    <row r="261" spans="2:8" x14ac:dyDescent="0.25">
      <c r="C261" t="s">
        <v>1784</v>
      </c>
      <c r="D261">
        <v>0</v>
      </c>
      <c r="E261" s="104">
        <v>18000</v>
      </c>
      <c r="F261" s="104">
        <v>18000</v>
      </c>
      <c r="G261">
        <v>0</v>
      </c>
      <c r="H261" s="104">
        <f t="shared" si="4"/>
        <v>0</v>
      </c>
    </row>
    <row r="262" spans="2:8" x14ac:dyDescent="0.25">
      <c r="C262" t="s">
        <v>1785</v>
      </c>
      <c r="D262">
        <v>0</v>
      </c>
      <c r="E262" s="104">
        <v>24000</v>
      </c>
      <c r="F262" s="104">
        <v>24000</v>
      </c>
      <c r="G262">
        <v>0</v>
      </c>
      <c r="H262" s="104">
        <f t="shared" si="4"/>
        <v>0</v>
      </c>
    </row>
    <row r="263" spans="2:8" x14ac:dyDescent="0.25">
      <c r="C263" t="s">
        <v>1788</v>
      </c>
      <c r="D263">
        <v>0</v>
      </c>
      <c r="E263" s="104">
        <v>18000</v>
      </c>
      <c r="F263" s="104">
        <v>18000</v>
      </c>
      <c r="G263">
        <v>0</v>
      </c>
      <c r="H263" s="104">
        <f t="shared" si="4"/>
        <v>0</v>
      </c>
    </row>
    <row r="264" spans="2:8" x14ac:dyDescent="0.25">
      <c r="B264" t="s">
        <v>1587</v>
      </c>
      <c r="D264">
        <v>0</v>
      </c>
      <c r="E264" s="104">
        <v>140000.4</v>
      </c>
      <c r="F264" s="104">
        <v>140000.4</v>
      </c>
      <c r="G264">
        <v>0</v>
      </c>
      <c r="H264" s="832">
        <f t="shared" si="4"/>
        <v>0</v>
      </c>
    </row>
    <row r="265" spans="2:8" x14ac:dyDescent="0.25">
      <c r="H265" s="104"/>
    </row>
    <row r="266" spans="2:8" x14ac:dyDescent="0.25">
      <c r="B266" t="s">
        <v>1892</v>
      </c>
      <c r="C266" t="s">
        <v>103</v>
      </c>
      <c r="H266" s="104"/>
    </row>
    <row r="267" spans="2:8" x14ac:dyDescent="0.25">
      <c r="C267" t="s">
        <v>1893</v>
      </c>
      <c r="D267" s="104">
        <v>442668.42</v>
      </c>
      <c r="E267">
        <v>0</v>
      </c>
      <c r="F267">
        <v>0</v>
      </c>
      <c r="G267" s="104">
        <v>442668.42</v>
      </c>
      <c r="H267" s="104">
        <f t="shared" si="4"/>
        <v>0</v>
      </c>
    </row>
    <row r="268" spans="2:8" x14ac:dyDescent="0.25">
      <c r="C268" t="s">
        <v>1894</v>
      </c>
      <c r="D268" s="104">
        <v>163141483.61000001</v>
      </c>
      <c r="E268">
        <v>0</v>
      </c>
      <c r="F268">
        <v>0</v>
      </c>
      <c r="G268" s="104">
        <v>163141483.61000001</v>
      </c>
      <c r="H268" s="104">
        <f t="shared" si="4"/>
        <v>0</v>
      </c>
    </row>
    <row r="269" spans="2:8" x14ac:dyDescent="0.25">
      <c r="C269" t="s">
        <v>1895</v>
      </c>
      <c r="D269">
        <v>615.6</v>
      </c>
      <c r="E269">
        <v>0</v>
      </c>
      <c r="F269">
        <v>0</v>
      </c>
      <c r="G269">
        <v>615.6</v>
      </c>
      <c r="H269" s="104">
        <f t="shared" si="4"/>
        <v>0</v>
      </c>
    </row>
    <row r="270" spans="2:8" x14ac:dyDescent="0.25">
      <c r="C270" t="s">
        <v>1896</v>
      </c>
      <c r="D270" s="104">
        <v>30449154.300000001</v>
      </c>
      <c r="E270" s="104">
        <v>1843803.6</v>
      </c>
      <c r="F270">
        <v>0</v>
      </c>
      <c r="G270" s="104">
        <v>32292957.899999999</v>
      </c>
      <c r="H270" s="832">
        <f t="shared" si="4"/>
        <v>1843803.5999999978</v>
      </c>
    </row>
    <row r="271" spans="2:8" x14ac:dyDescent="0.25">
      <c r="C271" t="s">
        <v>1854</v>
      </c>
      <c r="D271" s="104">
        <v>17027042.640000001</v>
      </c>
      <c r="E271">
        <v>0</v>
      </c>
      <c r="F271">
        <v>0</v>
      </c>
      <c r="G271" s="104">
        <v>17027042.640000001</v>
      </c>
      <c r="H271" s="104">
        <f t="shared" si="4"/>
        <v>0</v>
      </c>
    </row>
    <row r="272" spans="2:8" x14ac:dyDescent="0.25">
      <c r="C272" t="s">
        <v>1897</v>
      </c>
      <c r="D272" s="104">
        <v>16116246.48</v>
      </c>
      <c r="E272" s="104">
        <v>4258707.5199999996</v>
      </c>
      <c r="F272">
        <v>0</v>
      </c>
      <c r="G272" s="104">
        <v>20374954</v>
      </c>
      <c r="H272" s="832">
        <f t="shared" si="4"/>
        <v>4258707.5199999996</v>
      </c>
    </row>
    <row r="273" spans="3:8" x14ac:dyDescent="0.25">
      <c r="C273" t="s">
        <v>1824</v>
      </c>
      <c r="D273" s="104">
        <v>2222.5</v>
      </c>
      <c r="E273">
        <v>370.4</v>
      </c>
      <c r="F273">
        <v>0</v>
      </c>
      <c r="G273" s="104">
        <v>2592.9</v>
      </c>
      <c r="H273" s="104">
        <f t="shared" si="4"/>
        <v>370.40000000000009</v>
      </c>
    </row>
    <row r="274" spans="3:8" x14ac:dyDescent="0.25">
      <c r="C274" t="s">
        <v>1825</v>
      </c>
      <c r="D274" s="104">
        <v>3472.63</v>
      </c>
      <c r="E274">
        <v>926</v>
      </c>
      <c r="F274">
        <v>0</v>
      </c>
      <c r="G274" s="104">
        <v>4398.63</v>
      </c>
      <c r="H274" s="104">
        <f t="shared" si="4"/>
        <v>926</v>
      </c>
    </row>
    <row r="275" spans="3:8" x14ac:dyDescent="0.25">
      <c r="C275" t="s">
        <v>1826</v>
      </c>
      <c r="D275" s="104">
        <v>279975.28000000003</v>
      </c>
      <c r="E275">
        <v>0</v>
      </c>
      <c r="F275">
        <v>0</v>
      </c>
      <c r="G275" s="104">
        <v>279975.28000000003</v>
      </c>
      <c r="H275" s="104">
        <f t="shared" si="4"/>
        <v>0</v>
      </c>
    </row>
    <row r="276" spans="3:8" x14ac:dyDescent="0.25">
      <c r="C276" t="s">
        <v>1855</v>
      </c>
      <c r="D276" s="104">
        <v>209097.98</v>
      </c>
      <c r="E276">
        <v>0</v>
      </c>
      <c r="F276">
        <v>0</v>
      </c>
      <c r="G276" s="104">
        <v>209097.98</v>
      </c>
      <c r="H276" s="104">
        <f t="shared" si="4"/>
        <v>0</v>
      </c>
    </row>
    <row r="277" spans="3:8" x14ac:dyDescent="0.25">
      <c r="C277" t="s">
        <v>1828</v>
      </c>
      <c r="D277" s="104">
        <v>389729.67</v>
      </c>
      <c r="E277" s="104">
        <v>509761.92</v>
      </c>
      <c r="F277" s="104">
        <v>382321.44</v>
      </c>
      <c r="G277" s="104">
        <v>517170.15</v>
      </c>
      <c r="H277" s="104">
        <f t="shared" si="4"/>
        <v>127440.48000000004</v>
      </c>
    </row>
    <row r="278" spans="3:8" x14ac:dyDescent="0.25">
      <c r="C278" t="s">
        <v>1857</v>
      </c>
      <c r="D278" s="104">
        <v>2754</v>
      </c>
      <c r="E278">
        <v>0</v>
      </c>
      <c r="F278">
        <v>0</v>
      </c>
      <c r="G278" s="104">
        <v>2754</v>
      </c>
      <c r="H278" s="104">
        <f t="shared" si="4"/>
        <v>0</v>
      </c>
    </row>
    <row r="279" spans="3:8" x14ac:dyDescent="0.25">
      <c r="C279" t="s">
        <v>1858</v>
      </c>
      <c r="D279" s="104">
        <v>3305.34</v>
      </c>
      <c r="E279">
        <v>0</v>
      </c>
      <c r="F279">
        <v>0</v>
      </c>
      <c r="G279" s="104">
        <v>3305.34</v>
      </c>
      <c r="H279" s="104">
        <f t="shared" si="4"/>
        <v>0</v>
      </c>
    </row>
    <row r="280" spans="3:8" x14ac:dyDescent="0.25">
      <c r="C280" t="s">
        <v>1754</v>
      </c>
      <c r="D280" s="104">
        <v>580302.68000000005</v>
      </c>
      <c r="E280" s="104">
        <v>3067124.48</v>
      </c>
      <c r="F280">
        <v>0</v>
      </c>
      <c r="G280" s="104">
        <v>3647427.16</v>
      </c>
      <c r="H280" s="832">
        <f t="shared" si="4"/>
        <v>3067124.48</v>
      </c>
    </row>
    <row r="281" spans="3:8" x14ac:dyDescent="0.25">
      <c r="C281" t="s">
        <v>1835</v>
      </c>
      <c r="D281">
        <v>-200.5</v>
      </c>
      <c r="E281">
        <v>433.36</v>
      </c>
      <c r="F281">
        <v>216.68</v>
      </c>
      <c r="G281">
        <v>16.18</v>
      </c>
      <c r="H281" s="104">
        <f t="shared" si="4"/>
        <v>216.68</v>
      </c>
    </row>
    <row r="282" spans="3:8" x14ac:dyDescent="0.25">
      <c r="C282" t="s">
        <v>1842</v>
      </c>
      <c r="D282" s="104">
        <v>40745.160000000003</v>
      </c>
      <c r="E282" s="104">
        <v>108036.28</v>
      </c>
      <c r="F282" s="104">
        <v>138903.78</v>
      </c>
      <c r="G282" s="104">
        <v>9877.66</v>
      </c>
      <c r="H282" s="104">
        <f t="shared" si="4"/>
        <v>-30867.500000000004</v>
      </c>
    </row>
    <row r="283" spans="3:8" x14ac:dyDescent="0.25">
      <c r="C283" t="s">
        <v>1846</v>
      </c>
      <c r="D283" s="104">
        <v>45745.63</v>
      </c>
      <c r="E283" s="104">
        <v>6667.36</v>
      </c>
      <c r="F283">
        <v>0</v>
      </c>
      <c r="G283" s="104">
        <v>52412.99</v>
      </c>
      <c r="H283" s="104">
        <f t="shared" si="4"/>
        <v>6667.3600000000006</v>
      </c>
    </row>
    <row r="284" spans="3:8" x14ac:dyDescent="0.25">
      <c r="C284" t="s">
        <v>1898</v>
      </c>
      <c r="D284" s="104">
        <v>189707</v>
      </c>
      <c r="E284" s="104">
        <v>15437.85</v>
      </c>
      <c r="F284" s="104">
        <v>171882</v>
      </c>
      <c r="G284" s="104">
        <v>33262.85</v>
      </c>
      <c r="H284" s="104">
        <f t="shared" si="4"/>
        <v>-156444.15</v>
      </c>
    </row>
    <row r="285" spans="3:8" x14ac:dyDescent="0.25">
      <c r="C285" t="s">
        <v>1899</v>
      </c>
      <c r="D285" s="104">
        <v>-13334.76</v>
      </c>
      <c r="E285">
        <v>0</v>
      </c>
      <c r="F285">
        <v>0</v>
      </c>
      <c r="G285" s="104">
        <v>-13334.76</v>
      </c>
      <c r="H285" s="104">
        <f t="shared" si="4"/>
        <v>0</v>
      </c>
    </row>
    <row r="286" spans="3:8" x14ac:dyDescent="0.25">
      <c r="C286" t="s">
        <v>1865</v>
      </c>
      <c r="D286" s="104">
        <v>27780.720000000001</v>
      </c>
      <c r="E286">
        <v>0</v>
      </c>
      <c r="F286">
        <v>0</v>
      </c>
      <c r="G286" s="104">
        <v>27780.720000000001</v>
      </c>
      <c r="H286" s="104">
        <f t="shared" si="4"/>
        <v>0</v>
      </c>
    </row>
    <row r="287" spans="3:8" x14ac:dyDescent="0.25">
      <c r="C287" t="s">
        <v>1900</v>
      </c>
      <c r="D287">
        <v>0</v>
      </c>
      <c r="E287">
        <v>0</v>
      </c>
      <c r="F287">
        <v>0</v>
      </c>
      <c r="G287">
        <v>0</v>
      </c>
      <c r="H287" s="104">
        <f t="shared" si="4"/>
        <v>0</v>
      </c>
    </row>
    <row r="288" spans="3:8" x14ac:dyDescent="0.25">
      <c r="C288" t="s">
        <v>1901</v>
      </c>
      <c r="D288">
        <v>0</v>
      </c>
      <c r="E288">
        <v>0</v>
      </c>
      <c r="F288">
        <v>0</v>
      </c>
      <c r="G288">
        <v>0</v>
      </c>
      <c r="H288" s="104">
        <f t="shared" si="4"/>
        <v>0</v>
      </c>
    </row>
    <row r="289" spans="2:8" x14ac:dyDescent="0.25">
      <c r="C289" t="s">
        <v>1881</v>
      </c>
      <c r="D289">
        <v>0</v>
      </c>
      <c r="E289">
        <v>0</v>
      </c>
      <c r="F289" s="104">
        <v>3713.16</v>
      </c>
      <c r="G289" s="104">
        <v>-3713.16</v>
      </c>
      <c r="H289" s="104">
        <f t="shared" si="4"/>
        <v>-3713.16</v>
      </c>
    </row>
    <row r="290" spans="2:8" x14ac:dyDescent="0.25">
      <c r="B290" t="s">
        <v>1587</v>
      </c>
      <c r="D290" s="104">
        <v>228938514.38</v>
      </c>
      <c r="E290" s="104">
        <v>9811268.7699999996</v>
      </c>
      <c r="F290" s="104">
        <v>697037.06</v>
      </c>
      <c r="G290" s="104">
        <v>238052746.09</v>
      </c>
      <c r="H290" s="104">
        <f t="shared" si="4"/>
        <v>9114231.7100000083</v>
      </c>
    </row>
    <row r="291" spans="2:8" x14ac:dyDescent="0.25">
      <c r="H291" s="104">
        <f t="shared" si="4"/>
        <v>0</v>
      </c>
    </row>
    <row r="292" spans="2:8" x14ac:dyDescent="0.25">
      <c r="B292" t="s">
        <v>1902</v>
      </c>
      <c r="C292" t="s">
        <v>109</v>
      </c>
      <c r="H292" s="104">
        <f t="shared" si="4"/>
        <v>0</v>
      </c>
    </row>
    <row r="293" spans="2:8" x14ac:dyDescent="0.25">
      <c r="C293" t="s">
        <v>1903</v>
      </c>
      <c r="D293" s="104">
        <v>5349.16</v>
      </c>
      <c r="E293">
        <v>0</v>
      </c>
      <c r="F293">
        <v>0</v>
      </c>
      <c r="G293" s="104">
        <v>5349.16</v>
      </c>
      <c r="H293" s="104">
        <f t="shared" si="4"/>
        <v>0</v>
      </c>
    </row>
    <row r="294" spans="2:8" x14ac:dyDescent="0.25">
      <c r="C294" t="s">
        <v>1904</v>
      </c>
      <c r="D294" s="104">
        <v>5685.1</v>
      </c>
      <c r="E294">
        <v>0</v>
      </c>
      <c r="F294">
        <v>0</v>
      </c>
      <c r="G294" s="104">
        <v>5685.1</v>
      </c>
      <c r="H294" s="104">
        <f t="shared" si="4"/>
        <v>0</v>
      </c>
    </row>
    <row r="295" spans="2:8" x14ac:dyDescent="0.25">
      <c r="C295" t="s">
        <v>1905</v>
      </c>
      <c r="D295" s="104">
        <v>5808.33</v>
      </c>
      <c r="E295">
        <v>0</v>
      </c>
      <c r="F295">
        <v>0</v>
      </c>
      <c r="G295" s="104">
        <v>5808.33</v>
      </c>
      <c r="H295" s="104">
        <f t="shared" si="4"/>
        <v>0</v>
      </c>
    </row>
    <row r="296" spans="2:8" x14ac:dyDescent="0.25">
      <c r="C296" t="s">
        <v>1906</v>
      </c>
      <c r="D296" s="104">
        <v>2261.63</v>
      </c>
      <c r="E296">
        <v>0</v>
      </c>
      <c r="F296">
        <v>0</v>
      </c>
      <c r="G296" s="104">
        <v>2261.63</v>
      </c>
      <c r="H296" s="104">
        <f t="shared" si="4"/>
        <v>0</v>
      </c>
    </row>
    <row r="297" spans="2:8" x14ac:dyDescent="0.25">
      <c r="C297" t="s">
        <v>1907</v>
      </c>
      <c r="D297" s="104">
        <v>2923.45</v>
      </c>
      <c r="E297">
        <v>0</v>
      </c>
      <c r="F297">
        <v>0</v>
      </c>
      <c r="G297" s="104">
        <v>2923.45</v>
      </c>
      <c r="H297" s="104">
        <f t="shared" si="4"/>
        <v>0</v>
      </c>
    </row>
    <row r="298" spans="2:8" x14ac:dyDescent="0.25">
      <c r="C298" t="s">
        <v>1908</v>
      </c>
      <c r="D298" s="104">
        <v>2448.92</v>
      </c>
      <c r="E298">
        <v>0</v>
      </c>
      <c r="F298">
        <v>0</v>
      </c>
      <c r="G298" s="104">
        <v>2448.92</v>
      </c>
      <c r="H298" s="104">
        <f t="shared" si="4"/>
        <v>0</v>
      </c>
    </row>
    <row r="299" spans="2:8" x14ac:dyDescent="0.25">
      <c r="C299" t="s">
        <v>1909</v>
      </c>
      <c r="D299">
        <v>641.41999999999996</v>
      </c>
      <c r="E299">
        <v>0</v>
      </c>
      <c r="F299">
        <v>0</v>
      </c>
      <c r="G299">
        <v>641.41999999999996</v>
      </c>
      <c r="H299" s="104">
        <f t="shared" si="4"/>
        <v>0</v>
      </c>
    </row>
    <row r="300" spans="2:8" x14ac:dyDescent="0.25">
      <c r="C300" t="s">
        <v>1910</v>
      </c>
      <c r="D300" s="104">
        <v>7179.13</v>
      </c>
      <c r="E300">
        <v>0</v>
      </c>
      <c r="F300">
        <v>0</v>
      </c>
      <c r="G300" s="104">
        <v>7179.13</v>
      </c>
      <c r="H300" s="104">
        <f t="shared" si="4"/>
        <v>0</v>
      </c>
    </row>
    <row r="301" spans="2:8" x14ac:dyDescent="0.25">
      <c r="C301" t="s">
        <v>1911</v>
      </c>
      <c r="D301" s="104">
        <v>9325.1200000000008</v>
      </c>
      <c r="E301">
        <v>0</v>
      </c>
      <c r="F301">
        <v>0</v>
      </c>
      <c r="G301" s="104">
        <v>9325.1200000000008</v>
      </c>
      <c r="H301" s="104">
        <f t="shared" si="4"/>
        <v>0</v>
      </c>
    </row>
    <row r="302" spans="2:8" x14ac:dyDescent="0.25">
      <c r="C302" t="s">
        <v>1912</v>
      </c>
      <c r="D302" s="104">
        <v>1343.48</v>
      </c>
      <c r="E302">
        <v>0</v>
      </c>
      <c r="F302">
        <v>0</v>
      </c>
      <c r="G302" s="104">
        <v>1343.48</v>
      </c>
      <c r="H302" s="104">
        <f t="shared" si="4"/>
        <v>0</v>
      </c>
    </row>
    <row r="303" spans="2:8" x14ac:dyDescent="0.25">
      <c r="C303" t="s">
        <v>1913</v>
      </c>
      <c r="D303" s="104">
        <v>3662.45</v>
      </c>
      <c r="E303">
        <v>0</v>
      </c>
      <c r="F303">
        <v>0</v>
      </c>
      <c r="G303" s="104">
        <v>3662.45</v>
      </c>
      <c r="H303" s="104">
        <f t="shared" si="4"/>
        <v>0</v>
      </c>
    </row>
    <row r="304" spans="2:8" x14ac:dyDescent="0.25">
      <c r="C304" t="s">
        <v>1914</v>
      </c>
      <c r="D304" s="104">
        <v>3351.39</v>
      </c>
      <c r="E304">
        <v>0</v>
      </c>
      <c r="F304">
        <v>0</v>
      </c>
      <c r="G304" s="104">
        <v>3351.39</v>
      </c>
      <c r="H304" s="104">
        <f t="shared" si="4"/>
        <v>0</v>
      </c>
    </row>
    <row r="305" spans="3:8" x14ac:dyDescent="0.25">
      <c r="C305" t="s">
        <v>1915</v>
      </c>
      <c r="D305" s="104">
        <v>6175.54</v>
      </c>
      <c r="E305">
        <v>0</v>
      </c>
      <c r="F305">
        <v>0</v>
      </c>
      <c r="G305" s="104">
        <v>6175.54</v>
      </c>
      <c r="H305" s="104">
        <f t="shared" si="4"/>
        <v>0</v>
      </c>
    </row>
    <row r="306" spans="3:8" x14ac:dyDescent="0.25">
      <c r="C306" t="s">
        <v>1916</v>
      </c>
      <c r="D306">
        <v>272.07</v>
      </c>
      <c r="E306">
        <v>0</v>
      </c>
      <c r="F306">
        <v>0</v>
      </c>
      <c r="G306">
        <v>272.07</v>
      </c>
      <c r="H306" s="104">
        <f t="shared" si="4"/>
        <v>0</v>
      </c>
    </row>
    <row r="307" spans="3:8" x14ac:dyDescent="0.25">
      <c r="C307" t="s">
        <v>1917</v>
      </c>
      <c r="D307" s="104">
        <v>1118.22</v>
      </c>
      <c r="E307">
        <v>0</v>
      </c>
      <c r="F307">
        <v>0</v>
      </c>
      <c r="G307" s="104">
        <v>1118.22</v>
      </c>
      <c r="H307" s="104">
        <f t="shared" si="4"/>
        <v>0</v>
      </c>
    </row>
    <row r="308" spans="3:8" x14ac:dyDescent="0.25">
      <c r="C308" t="s">
        <v>1918</v>
      </c>
      <c r="D308" s="104">
        <v>7809.99</v>
      </c>
      <c r="E308">
        <v>0</v>
      </c>
      <c r="F308">
        <v>0</v>
      </c>
      <c r="G308" s="104">
        <v>7809.99</v>
      </c>
      <c r="H308" s="104">
        <f t="shared" si="4"/>
        <v>0</v>
      </c>
    </row>
    <row r="309" spans="3:8" x14ac:dyDescent="0.25">
      <c r="C309" t="s">
        <v>1919</v>
      </c>
      <c r="D309" s="104">
        <v>3946.28</v>
      </c>
      <c r="E309">
        <v>0</v>
      </c>
      <c r="F309">
        <v>0</v>
      </c>
      <c r="G309" s="104">
        <v>3946.28</v>
      </c>
      <c r="H309" s="104">
        <f t="shared" si="4"/>
        <v>0</v>
      </c>
    </row>
    <row r="310" spans="3:8" x14ac:dyDescent="0.25">
      <c r="C310" t="s">
        <v>1920</v>
      </c>
      <c r="D310" s="104">
        <v>3551.02</v>
      </c>
      <c r="E310">
        <v>0</v>
      </c>
      <c r="F310">
        <v>0</v>
      </c>
      <c r="G310" s="104">
        <v>3551.02</v>
      </c>
      <c r="H310" s="104">
        <f t="shared" si="4"/>
        <v>0</v>
      </c>
    </row>
    <row r="311" spans="3:8" x14ac:dyDescent="0.25">
      <c r="C311" t="s">
        <v>1921</v>
      </c>
      <c r="D311" s="104">
        <v>8624.83</v>
      </c>
      <c r="E311">
        <v>0</v>
      </c>
      <c r="F311">
        <v>0</v>
      </c>
      <c r="G311" s="104">
        <v>8624.83</v>
      </c>
      <c r="H311" s="104">
        <f t="shared" si="4"/>
        <v>0</v>
      </c>
    </row>
    <row r="312" spans="3:8" x14ac:dyDescent="0.25">
      <c r="C312" t="s">
        <v>1922</v>
      </c>
      <c r="D312">
        <v>734.17</v>
      </c>
      <c r="E312">
        <v>0</v>
      </c>
      <c r="F312">
        <v>0</v>
      </c>
      <c r="G312">
        <v>734.17</v>
      </c>
      <c r="H312" s="104">
        <f t="shared" si="4"/>
        <v>0</v>
      </c>
    </row>
    <row r="313" spans="3:8" x14ac:dyDescent="0.25">
      <c r="C313" t="s">
        <v>1923</v>
      </c>
      <c r="D313">
        <v>209.07</v>
      </c>
      <c r="E313">
        <v>0</v>
      </c>
      <c r="F313">
        <v>0</v>
      </c>
      <c r="G313">
        <v>209.07</v>
      </c>
      <c r="H313" s="104">
        <f t="shared" si="4"/>
        <v>0</v>
      </c>
    </row>
    <row r="314" spans="3:8" x14ac:dyDescent="0.25">
      <c r="C314" t="s">
        <v>1924</v>
      </c>
      <c r="D314" s="104">
        <v>5190.5600000000004</v>
      </c>
      <c r="E314">
        <v>0</v>
      </c>
      <c r="F314">
        <v>0</v>
      </c>
      <c r="G314" s="104">
        <v>5190.5600000000004</v>
      </c>
      <c r="H314" s="104">
        <f t="shared" si="4"/>
        <v>0</v>
      </c>
    </row>
    <row r="315" spans="3:8" x14ac:dyDescent="0.25">
      <c r="C315" t="s">
        <v>1925</v>
      </c>
      <c r="D315" s="104">
        <v>20353.39</v>
      </c>
      <c r="E315">
        <v>0</v>
      </c>
      <c r="F315">
        <v>0</v>
      </c>
      <c r="G315" s="104">
        <v>20353.39</v>
      </c>
      <c r="H315" s="104">
        <f t="shared" si="4"/>
        <v>0</v>
      </c>
    </row>
    <row r="316" spans="3:8" x14ac:dyDescent="0.25">
      <c r="C316" t="s">
        <v>1926</v>
      </c>
      <c r="D316" s="104">
        <v>2959.49</v>
      </c>
      <c r="E316">
        <v>0</v>
      </c>
      <c r="F316">
        <v>0</v>
      </c>
      <c r="G316" s="104">
        <v>2959.49</v>
      </c>
      <c r="H316" s="104">
        <f t="shared" si="4"/>
        <v>0</v>
      </c>
    </row>
    <row r="317" spans="3:8" x14ac:dyDescent="0.25">
      <c r="C317" t="s">
        <v>1927</v>
      </c>
      <c r="D317">
        <v>821.21</v>
      </c>
      <c r="E317">
        <v>0</v>
      </c>
      <c r="F317">
        <v>0</v>
      </c>
      <c r="G317">
        <v>821.21</v>
      </c>
      <c r="H317" s="104">
        <f t="shared" si="4"/>
        <v>0</v>
      </c>
    </row>
    <row r="318" spans="3:8" x14ac:dyDescent="0.25">
      <c r="C318" t="s">
        <v>1928</v>
      </c>
      <c r="D318" s="104">
        <v>1321.98</v>
      </c>
      <c r="E318">
        <v>0</v>
      </c>
      <c r="F318">
        <v>0</v>
      </c>
      <c r="G318" s="104">
        <v>1321.98</v>
      </c>
      <c r="H318" s="104">
        <f t="shared" si="4"/>
        <v>0</v>
      </c>
    </row>
    <row r="319" spans="3:8" x14ac:dyDescent="0.25">
      <c r="C319" t="s">
        <v>1929</v>
      </c>
      <c r="D319" s="104">
        <v>2553.79</v>
      </c>
      <c r="E319">
        <v>0</v>
      </c>
      <c r="F319">
        <v>0</v>
      </c>
      <c r="G319" s="104">
        <v>2553.79</v>
      </c>
      <c r="H319" s="104">
        <f t="shared" si="4"/>
        <v>0</v>
      </c>
    </row>
    <row r="320" spans="3:8" x14ac:dyDescent="0.25">
      <c r="C320" t="s">
        <v>1930</v>
      </c>
      <c r="D320" s="104">
        <v>2228.38</v>
      </c>
      <c r="E320">
        <v>0</v>
      </c>
      <c r="F320">
        <v>0</v>
      </c>
      <c r="G320" s="104">
        <v>2228.38</v>
      </c>
      <c r="H320" s="104">
        <f t="shared" si="4"/>
        <v>0</v>
      </c>
    </row>
    <row r="321" spans="3:8" x14ac:dyDescent="0.25">
      <c r="C321" t="s">
        <v>1931</v>
      </c>
      <c r="D321">
        <v>522.19000000000005</v>
      </c>
      <c r="E321">
        <v>0</v>
      </c>
      <c r="F321">
        <v>0</v>
      </c>
      <c r="G321">
        <v>522.19000000000005</v>
      </c>
      <c r="H321" s="104">
        <f t="shared" si="4"/>
        <v>0</v>
      </c>
    </row>
    <row r="322" spans="3:8" x14ac:dyDescent="0.25">
      <c r="C322" t="s">
        <v>1932</v>
      </c>
      <c r="D322" s="104">
        <v>1668</v>
      </c>
      <c r="E322">
        <v>0</v>
      </c>
      <c r="F322">
        <v>0</v>
      </c>
      <c r="G322" s="104">
        <v>1668</v>
      </c>
      <c r="H322" s="104">
        <f t="shared" si="4"/>
        <v>0</v>
      </c>
    </row>
    <row r="323" spans="3:8" x14ac:dyDescent="0.25">
      <c r="C323" t="s">
        <v>1933</v>
      </c>
      <c r="D323">
        <v>506.89</v>
      </c>
      <c r="E323">
        <v>0</v>
      </c>
      <c r="F323">
        <v>0</v>
      </c>
      <c r="G323">
        <v>506.89</v>
      </c>
      <c r="H323" s="104">
        <f t="shared" si="4"/>
        <v>0</v>
      </c>
    </row>
    <row r="324" spans="3:8" x14ac:dyDescent="0.25">
      <c r="C324" t="s">
        <v>1934</v>
      </c>
      <c r="D324">
        <v>120</v>
      </c>
      <c r="E324">
        <v>0</v>
      </c>
      <c r="F324">
        <v>0</v>
      </c>
      <c r="G324">
        <v>120</v>
      </c>
      <c r="H324" s="104">
        <f t="shared" ref="H324:H387" si="5">G324-D324</f>
        <v>0</v>
      </c>
    </row>
    <row r="325" spans="3:8" x14ac:dyDescent="0.25">
      <c r="C325" t="s">
        <v>1935</v>
      </c>
      <c r="D325">
        <v>961.58</v>
      </c>
      <c r="E325">
        <v>0</v>
      </c>
      <c r="F325">
        <v>0</v>
      </c>
      <c r="G325">
        <v>961.58</v>
      </c>
      <c r="H325" s="104">
        <f t="shared" si="5"/>
        <v>0</v>
      </c>
    </row>
    <row r="326" spans="3:8" x14ac:dyDescent="0.25">
      <c r="C326" t="s">
        <v>1936</v>
      </c>
      <c r="D326">
        <v>105.02</v>
      </c>
      <c r="E326">
        <v>0</v>
      </c>
      <c r="F326">
        <v>0</v>
      </c>
      <c r="G326">
        <v>105.02</v>
      </c>
      <c r="H326" s="104">
        <f t="shared" si="5"/>
        <v>0</v>
      </c>
    </row>
    <row r="327" spans="3:8" x14ac:dyDescent="0.25">
      <c r="C327" t="s">
        <v>1937</v>
      </c>
      <c r="D327" s="104">
        <v>29585.98</v>
      </c>
      <c r="E327">
        <v>0</v>
      </c>
      <c r="F327">
        <v>0</v>
      </c>
      <c r="G327" s="104">
        <v>29585.98</v>
      </c>
      <c r="H327" s="104">
        <f t="shared" si="5"/>
        <v>0</v>
      </c>
    </row>
    <row r="328" spans="3:8" x14ac:dyDescent="0.25">
      <c r="C328" t="s">
        <v>1938</v>
      </c>
      <c r="D328" s="104">
        <v>92319</v>
      </c>
      <c r="E328">
        <v>0</v>
      </c>
      <c r="F328">
        <v>0</v>
      </c>
      <c r="G328" s="104">
        <v>92319</v>
      </c>
      <c r="H328" s="104">
        <f t="shared" si="5"/>
        <v>0</v>
      </c>
    </row>
    <row r="329" spans="3:8" x14ac:dyDescent="0.25">
      <c r="C329" t="s">
        <v>1939</v>
      </c>
      <c r="D329" s="104">
        <v>27218.560000000001</v>
      </c>
      <c r="E329">
        <v>0</v>
      </c>
      <c r="F329">
        <v>0</v>
      </c>
      <c r="G329" s="104">
        <v>27218.560000000001</v>
      </c>
      <c r="H329" s="104">
        <f t="shared" si="5"/>
        <v>0</v>
      </c>
    </row>
    <row r="330" spans="3:8" x14ac:dyDescent="0.25">
      <c r="C330" t="s">
        <v>1940</v>
      </c>
      <c r="D330">
        <v>0</v>
      </c>
      <c r="E330">
        <v>0</v>
      </c>
      <c r="F330">
        <v>0</v>
      </c>
      <c r="G330">
        <v>0</v>
      </c>
      <c r="H330" s="104">
        <f t="shared" si="5"/>
        <v>0</v>
      </c>
    </row>
    <row r="331" spans="3:8" x14ac:dyDescent="0.25">
      <c r="C331" t="s">
        <v>1941</v>
      </c>
      <c r="D331" s="104">
        <v>11020.21</v>
      </c>
      <c r="E331">
        <v>0</v>
      </c>
      <c r="F331">
        <v>0</v>
      </c>
      <c r="G331" s="104">
        <v>11020.21</v>
      </c>
      <c r="H331" s="104">
        <f t="shared" si="5"/>
        <v>0</v>
      </c>
    </row>
    <row r="332" spans="3:8" x14ac:dyDescent="0.25">
      <c r="C332" t="s">
        <v>1942</v>
      </c>
      <c r="D332" s="104">
        <v>2925.86</v>
      </c>
      <c r="E332">
        <v>0</v>
      </c>
      <c r="F332">
        <v>0</v>
      </c>
      <c r="G332" s="104">
        <v>2925.86</v>
      </c>
      <c r="H332" s="104">
        <f t="shared" si="5"/>
        <v>0</v>
      </c>
    </row>
    <row r="333" spans="3:8" x14ac:dyDescent="0.25">
      <c r="C333" t="s">
        <v>1943</v>
      </c>
      <c r="D333" s="104">
        <v>26619.759999999998</v>
      </c>
      <c r="E333">
        <v>0</v>
      </c>
      <c r="F333">
        <v>0</v>
      </c>
      <c r="G333" s="104">
        <v>26619.759999999998</v>
      </c>
      <c r="H333" s="104">
        <f t="shared" si="5"/>
        <v>0</v>
      </c>
    </row>
    <row r="334" spans="3:8" x14ac:dyDescent="0.25">
      <c r="C334" t="s">
        <v>1944</v>
      </c>
      <c r="D334" s="104">
        <v>14916.66</v>
      </c>
      <c r="E334">
        <v>0</v>
      </c>
      <c r="F334">
        <v>0</v>
      </c>
      <c r="G334" s="104">
        <v>14916.66</v>
      </c>
      <c r="H334" s="104">
        <f t="shared" si="5"/>
        <v>0</v>
      </c>
    </row>
    <row r="335" spans="3:8" x14ac:dyDescent="0.25">
      <c r="C335" t="s">
        <v>1945</v>
      </c>
      <c r="D335" s="104">
        <v>93668.77</v>
      </c>
      <c r="E335">
        <v>0</v>
      </c>
      <c r="F335">
        <v>0</v>
      </c>
      <c r="G335" s="104">
        <v>93668.77</v>
      </c>
      <c r="H335" s="104">
        <f t="shared" si="5"/>
        <v>0</v>
      </c>
    </row>
    <row r="336" spans="3:8" x14ac:dyDescent="0.25">
      <c r="C336" t="s">
        <v>1946</v>
      </c>
      <c r="D336" s="104">
        <v>47000</v>
      </c>
      <c r="E336">
        <v>0</v>
      </c>
      <c r="F336">
        <v>0</v>
      </c>
      <c r="G336" s="104">
        <v>47000</v>
      </c>
      <c r="H336" s="104">
        <f t="shared" si="5"/>
        <v>0</v>
      </c>
    </row>
    <row r="337" spans="3:8" x14ac:dyDescent="0.25">
      <c r="C337" t="s">
        <v>1947</v>
      </c>
      <c r="D337" s="104">
        <v>24395.56</v>
      </c>
      <c r="E337">
        <v>0</v>
      </c>
      <c r="F337">
        <v>0</v>
      </c>
      <c r="G337" s="104">
        <v>24395.56</v>
      </c>
      <c r="H337" s="104">
        <f t="shared" si="5"/>
        <v>0</v>
      </c>
    </row>
    <row r="338" spans="3:8" x14ac:dyDescent="0.25">
      <c r="C338" t="s">
        <v>1819</v>
      </c>
      <c r="D338" s="104">
        <v>1956.61</v>
      </c>
      <c r="E338">
        <v>0</v>
      </c>
      <c r="F338">
        <v>0</v>
      </c>
      <c r="G338" s="104">
        <v>1956.61</v>
      </c>
      <c r="H338" s="104">
        <f t="shared" si="5"/>
        <v>0</v>
      </c>
    </row>
    <row r="339" spans="3:8" x14ac:dyDescent="0.25">
      <c r="C339" t="s">
        <v>1948</v>
      </c>
      <c r="D339" s="104">
        <v>9000</v>
      </c>
      <c r="E339">
        <v>0</v>
      </c>
      <c r="F339">
        <v>0</v>
      </c>
      <c r="G339" s="104">
        <v>9000</v>
      </c>
      <c r="H339" s="104">
        <f t="shared" si="5"/>
        <v>0</v>
      </c>
    </row>
    <row r="340" spans="3:8" x14ac:dyDescent="0.25">
      <c r="C340" t="s">
        <v>1949</v>
      </c>
      <c r="D340" s="104">
        <v>9000</v>
      </c>
      <c r="E340">
        <v>0</v>
      </c>
      <c r="F340">
        <v>0</v>
      </c>
      <c r="G340" s="104">
        <v>9000</v>
      </c>
      <c r="H340" s="104">
        <f t="shared" si="5"/>
        <v>0</v>
      </c>
    </row>
    <row r="341" spans="3:8" x14ac:dyDescent="0.25">
      <c r="C341" t="s">
        <v>1950</v>
      </c>
      <c r="D341" s="104">
        <v>2000</v>
      </c>
      <c r="E341">
        <v>0</v>
      </c>
      <c r="F341">
        <v>0</v>
      </c>
      <c r="G341" s="104">
        <v>2000</v>
      </c>
      <c r="H341" s="104">
        <f t="shared" si="5"/>
        <v>0</v>
      </c>
    </row>
    <row r="342" spans="3:8" x14ac:dyDescent="0.25">
      <c r="C342" t="s">
        <v>1951</v>
      </c>
      <c r="D342" s="104">
        <v>20000</v>
      </c>
      <c r="E342">
        <v>0</v>
      </c>
      <c r="F342">
        <v>0</v>
      </c>
      <c r="G342" s="104">
        <v>20000</v>
      </c>
      <c r="H342" s="104">
        <f t="shared" si="5"/>
        <v>0</v>
      </c>
    </row>
    <row r="343" spans="3:8" x14ac:dyDescent="0.25">
      <c r="C343" t="s">
        <v>1952</v>
      </c>
      <c r="D343">
        <v>233.37</v>
      </c>
      <c r="E343">
        <v>0</v>
      </c>
      <c r="F343">
        <v>233.37</v>
      </c>
      <c r="G343">
        <v>0</v>
      </c>
      <c r="H343" s="104">
        <f t="shared" si="5"/>
        <v>-233.37</v>
      </c>
    </row>
    <row r="344" spans="3:8" x14ac:dyDescent="0.25">
      <c r="C344" t="s">
        <v>1953</v>
      </c>
      <c r="D344">
        <v>318.60000000000002</v>
      </c>
      <c r="E344">
        <v>0</v>
      </c>
      <c r="F344">
        <v>0</v>
      </c>
      <c r="G344">
        <v>318.60000000000002</v>
      </c>
      <c r="H344" s="104">
        <f t="shared" si="5"/>
        <v>0</v>
      </c>
    </row>
    <row r="345" spans="3:8" x14ac:dyDescent="0.25">
      <c r="C345" t="s">
        <v>1791</v>
      </c>
      <c r="D345" s="104">
        <v>170529.24</v>
      </c>
      <c r="E345">
        <v>0</v>
      </c>
      <c r="F345">
        <v>0</v>
      </c>
      <c r="G345" s="104">
        <v>170529.24</v>
      </c>
      <c r="H345" s="104">
        <f t="shared" si="5"/>
        <v>0</v>
      </c>
    </row>
    <row r="346" spans="3:8" x14ac:dyDescent="0.25">
      <c r="C346" t="s">
        <v>1854</v>
      </c>
      <c r="D346" s="104">
        <v>3545503.21</v>
      </c>
      <c r="E346">
        <v>0</v>
      </c>
      <c r="F346">
        <v>0</v>
      </c>
      <c r="G346" s="104">
        <v>3545503.21</v>
      </c>
      <c r="H346" s="104">
        <f t="shared" si="5"/>
        <v>0</v>
      </c>
    </row>
    <row r="347" spans="3:8" x14ac:dyDescent="0.25">
      <c r="C347" t="s">
        <v>1897</v>
      </c>
      <c r="D347" s="104">
        <v>19754249.800000001</v>
      </c>
      <c r="E347">
        <v>0</v>
      </c>
      <c r="F347">
        <v>0</v>
      </c>
      <c r="G347" s="104">
        <v>19754249.800000001</v>
      </c>
      <c r="H347" s="104">
        <f t="shared" si="5"/>
        <v>0</v>
      </c>
    </row>
    <row r="348" spans="3:8" x14ac:dyDescent="0.25">
      <c r="C348" t="s">
        <v>1783</v>
      </c>
      <c r="D348" s="104">
        <v>88756.77</v>
      </c>
      <c r="E348" s="104">
        <v>293327.99</v>
      </c>
      <c r="F348" s="104">
        <v>196649.01</v>
      </c>
      <c r="G348" s="104">
        <v>185435.75</v>
      </c>
      <c r="H348" s="104">
        <f t="shared" si="5"/>
        <v>96678.98</v>
      </c>
    </row>
    <row r="349" spans="3:8" x14ac:dyDescent="0.25">
      <c r="C349" t="s">
        <v>1820</v>
      </c>
      <c r="D349" s="104">
        <v>-764610.35</v>
      </c>
      <c r="E349" s="104">
        <v>1983898.8</v>
      </c>
      <c r="F349" s="104">
        <v>1487924.1</v>
      </c>
      <c r="G349" s="104">
        <v>-268635.65000000002</v>
      </c>
      <c r="H349" s="104">
        <f t="shared" si="5"/>
        <v>495974.69999999995</v>
      </c>
    </row>
    <row r="350" spans="3:8" x14ac:dyDescent="0.25">
      <c r="C350" t="s">
        <v>1954</v>
      </c>
      <c r="D350" s="104">
        <v>-1673665.91</v>
      </c>
      <c r="E350" s="104">
        <v>9788978.1999999993</v>
      </c>
      <c r="F350" s="104">
        <v>9788978.1999999993</v>
      </c>
      <c r="G350" s="104">
        <v>-1673665.91</v>
      </c>
      <c r="H350" s="104">
        <f t="shared" si="5"/>
        <v>0</v>
      </c>
    </row>
    <row r="351" spans="3:8" x14ac:dyDescent="0.25">
      <c r="C351" t="s">
        <v>1955</v>
      </c>
      <c r="D351" s="104">
        <v>34573693.369999997</v>
      </c>
      <c r="E351" s="104">
        <v>1725452.98</v>
      </c>
      <c r="F351">
        <v>0</v>
      </c>
      <c r="G351" s="104">
        <v>36299146.350000001</v>
      </c>
      <c r="H351" s="104">
        <f t="shared" si="5"/>
        <v>1725452.9800000042</v>
      </c>
    </row>
    <row r="352" spans="3:8" x14ac:dyDescent="0.25">
      <c r="C352" t="s">
        <v>1893</v>
      </c>
      <c r="D352">
        <v>961.8</v>
      </c>
      <c r="E352">
        <v>0</v>
      </c>
      <c r="F352">
        <v>0</v>
      </c>
      <c r="G352">
        <v>961.8</v>
      </c>
      <c r="H352" s="104">
        <f t="shared" si="5"/>
        <v>0</v>
      </c>
    </row>
    <row r="353" spans="3:8" x14ac:dyDescent="0.25">
      <c r="C353" t="s">
        <v>1956</v>
      </c>
      <c r="D353" s="104">
        <v>5539.65</v>
      </c>
      <c r="E353">
        <v>0</v>
      </c>
      <c r="F353">
        <v>0</v>
      </c>
      <c r="G353" s="104">
        <v>5539.65</v>
      </c>
      <c r="H353" s="104">
        <f t="shared" si="5"/>
        <v>0</v>
      </c>
    </row>
    <row r="354" spans="3:8" x14ac:dyDescent="0.25">
      <c r="C354" t="s">
        <v>1822</v>
      </c>
      <c r="D354">
        <v>678.89</v>
      </c>
      <c r="E354" s="104">
        <v>332020.47999999998</v>
      </c>
      <c r="F354" s="104">
        <v>126658.36</v>
      </c>
      <c r="G354" s="104">
        <v>206041.01</v>
      </c>
      <c r="H354" s="104">
        <f t="shared" si="5"/>
        <v>205362.12</v>
      </c>
    </row>
    <row r="355" spans="3:8" x14ac:dyDescent="0.25">
      <c r="C355" t="s">
        <v>1823</v>
      </c>
      <c r="D355" s="104">
        <v>84235.75</v>
      </c>
      <c r="E355" s="104">
        <v>648867.6</v>
      </c>
      <c r="F355" s="104">
        <v>648855.6</v>
      </c>
      <c r="G355" s="104">
        <v>84247.75</v>
      </c>
      <c r="H355" s="104">
        <f t="shared" si="5"/>
        <v>12</v>
      </c>
    </row>
    <row r="356" spans="3:8" x14ac:dyDescent="0.25">
      <c r="C356" t="s">
        <v>1741</v>
      </c>
      <c r="D356" s="104">
        <v>9580</v>
      </c>
      <c r="E356">
        <v>0</v>
      </c>
      <c r="F356">
        <v>0</v>
      </c>
      <c r="G356" s="104">
        <v>9580</v>
      </c>
      <c r="H356" s="104">
        <f t="shared" si="5"/>
        <v>0</v>
      </c>
    </row>
    <row r="357" spans="3:8" x14ac:dyDescent="0.25">
      <c r="C357" t="s">
        <v>1824</v>
      </c>
      <c r="D357" s="104">
        <v>27210.639999999999</v>
      </c>
      <c r="E357">
        <v>0</v>
      </c>
      <c r="F357">
        <v>0</v>
      </c>
      <c r="G357" s="104">
        <v>27210.639999999999</v>
      </c>
      <c r="H357" s="104">
        <f t="shared" si="5"/>
        <v>0</v>
      </c>
    </row>
    <row r="358" spans="3:8" x14ac:dyDescent="0.25">
      <c r="C358" t="s">
        <v>1784</v>
      </c>
      <c r="D358" s="104">
        <v>55452.06</v>
      </c>
      <c r="E358" s="104">
        <v>229295.48</v>
      </c>
      <c r="F358" s="104">
        <v>220129.74</v>
      </c>
      <c r="G358" s="104">
        <v>64617.8</v>
      </c>
      <c r="H358" s="104">
        <f t="shared" si="5"/>
        <v>9165.7400000000052</v>
      </c>
    </row>
    <row r="359" spans="3:8" x14ac:dyDescent="0.25">
      <c r="C359" t="s">
        <v>1825</v>
      </c>
      <c r="D359" s="104">
        <v>5093.2700000000004</v>
      </c>
      <c r="E359">
        <v>0</v>
      </c>
      <c r="F359">
        <v>0</v>
      </c>
      <c r="G359" s="104">
        <v>5093.2700000000004</v>
      </c>
      <c r="H359" s="104">
        <f t="shared" si="5"/>
        <v>0</v>
      </c>
    </row>
    <row r="360" spans="3:8" x14ac:dyDescent="0.25">
      <c r="C360" t="s">
        <v>1785</v>
      </c>
      <c r="D360" s="104">
        <v>66333.710000000006</v>
      </c>
      <c r="E360" s="104">
        <v>252824.78</v>
      </c>
      <c r="F360" s="104">
        <v>242415.48</v>
      </c>
      <c r="G360" s="104">
        <v>76743.009999999995</v>
      </c>
      <c r="H360" s="104">
        <f t="shared" si="5"/>
        <v>10409.299999999988</v>
      </c>
    </row>
    <row r="361" spans="3:8" x14ac:dyDescent="0.25">
      <c r="C361" t="s">
        <v>1957</v>
      </c>
      <c r="D361">
        <v>595.48</v>
      </c>
      <c r="E361">
        <v>0</v>
      </c>
      <c r="F361">
        <v>0</v>
      </c>
      <c r="G361">
        <v>595.48</v>
      </c>
      <c r="H361" s="104">
        <f t="shared" si="5"/>
        <v>0</v>
      </c>
    </row>
    <row r="362" spans="3:8" x14ac:dyDescent="0.25">
      <c r="C362" t="s">
        <v>1826</v>
      </c>
      <c r="D362" s="104">
        <v>43073.120000000003</v>
      </c>
      <c r="E362">
        <v>0</v>
      </c>
      <c r="F362">
        <v>0</v>
      </c>
      <c r="G362" s="104">
        <v>43073.120000000003</v>
      </c>
      <c r="H362" s="104">
        <f t="shared" si="5"/>
        <v>0</v>
      </c>
    </row>
    <row r="363" spans="3:8" x14ac:dyDescent="0.25">
      <c r="C363" t="s">
        <v>1786</v>
      </c>
      <c r="D363" s="104">
        <v>142359.32999999999</v>
      </c>
      <c r="E363" s="104">
        <v>804298.99</v>
      </c>
      <c r="F363" s="104">
        <v>659381.02</v>
      </c>
      <c r="G363" s="104">
        <v>287277.3</v>
      </c>
      <c r="H363" s="104">
        <f t="shared" si="5"/>
        <v>144917.97</v>
      </c>
    </row>
    <row r="364" spans="3:8" x14ac:dyDescent="0.25">
      <c r="C364" t="s">
        <v>1958</v>
      </c>
      <c r="D364" s="104">
        <v>50760</v>
      </c>
      <c r="E364">
        <v>0</v>
      </c>
      <c r="F364">
        <v>0</v>
      </c>
      <c r="G364" s="104">
        <v>50760</v>
      </c>
      <c r="H364" s="104">
        <f t="shared" si="5"/>
        <v>0</v>
      </c>
    </row>
    <row r="365" spans="3:8" x14ac:dyDescent="0.25">
      <c r="C365" t="s">
        <v>1765</v>
      </c>
      <c r="D365">
        <v>711.14</v>
      </c>
      <c r="E365">
        <v>0</v>
      </c>
      <c r="F365">
        <v>0</v>
      </c>
      <c r="G365">
        <v>711.14</v>
      </c>
      <c r="H365" s="104">
        <f t="shared" si="5"/>
        <v>0</v>
      </c>
    </row>
    <row r="366" spans="3:8" x14ac:dyDescent="0.25">
      <c r="C366" t="s">
        <v>1855</v>
      </c>
      <c r="D366" s="104">
        <v>12499.93</v>
      </c>
      <c r="E366">
        <v>0</v>
      </c>
      <c r="F366">
        <v>0</v>
      </c>
      <c r="G366" s="104">
        <v>12499.93</v>
      </c>
      <c r="H366" s="104">
        <f t="shared" si="5"/>
        <v>0</v>
      </c>
    </row>
    <row r="367" spans="3:8" x14ac:dyDescent="0.25">
      <c r="C367" t="s">
        <v>1828</v>
      </c>
      <c r="D367" s="104">
        <v>831171.23</v>
      </c>
      <c r="E367">
        <v>0</v>
      </c>
      <c r="F367">
        <v>0</v>
      </c>
      <c r="G367" s="104">
        <v>831171.23</v>
      </c>
      <c r="H367" s="104">
        <f t="shared" si="5"/>
        <v>0</v>
      </c>
    </row>
    <row r="368" spans="3:8" x14ac:dyDescent="0.25">
      <c r="C368" t="s">
        <v>1787</v>
      </c>
      <c r="D368" s="104">
        <v>80182.89</v>
      </c>
      <c r="E368" s="104">
        <v>633489.93000000005</v>
      </c>
      <c r="F368" s="104">
        <v>583813.54</v>
      </c>
      <c r="G368" s="104">
        <v>129859.28</v>
      </c>
      <c r="H368" s="104">
        <f t="shared" si="5"/>
        <v>49676.39</v>
      </c>
    </row>
    <row r="369" spans="3:8" x14ac:dyDescent="0.25">
      <c r="C369" t="s">
        <v>1788</v>
      </c>
      <c r="D369" s="104">
        <v>14927.32</v>
      </c>
      <c r="E369" s="104">
        <v>90564.06</v>
      </c>
      <c r="F369" s="104">
        <v>49151.14</v>
      </c>
      <c r="G369" s="104">
        <v>56340.24</v>
      </c>
      <c r="H369" s="104">
        <f t="shared" si="5"/>
        <v>41412.92</v>
      </c>
    </row>
    <row r="370" spans="3:8" x14ac:dyDescent="0.25">
      <c r="C370" t="s">
        <v>1768</v>
      </c>
      <c r="D370" s="104">
        <v>2643127.4900000002</v>
      </c>
      <c r="E370">
        <v>0</v>
      </c>
      <c r="F370">
        <v>0</v>
      </c>
      <c r="G370" s="104">
        <v>2643127.4900000002</v>
      </c>
      <c r="H370" s="104">
        <f t="shared" si="5"/>
        <v>0</v>
      </c>
    </row>
    <row r="371" spans="3:8" x14ac:dyDescent="0.25">
      <c r="C371" t="s">
        <v>1857</v>
      </c>
      <c r="D371" s="104">
        <v>1162.82</v>
      </c>
      <c r="E371">
        <v>0</v>
      </c>
      <c r="F371">
        <v>0</v>
      </c>
      <c r="G371" s="104">
        <v>1162.82</v>
      </c>
      <c r="H371" s="104">
        <f t="shared" si="5"/>
        <v>0</v>
      </c>
    </row>
    <row r="372" spans="3:8" x14ac:dyDescent="0.25">
      <c r="C372" t="s">
        <v>1858</v>
      </c>
      <c r="D372" s="104">
        <v>-3505.91</v>
      </c>
      <c r="E372">
        <v>0</v>
      </c>
      <c r="F372">
        <v>0</v>
      </c>
      <c r="G372" s="104">
        <v>-3505.91</v>
      </c>
      <c r="H372" s="104">
        <f t="shared" si="5"/>
        <v>0</v>
      </c>
    </row>
    <row r="373" spans="3:8" x14ac:dyDescent="0.25">
      <c r="C373" t="s">
        <v>1959</v>
      </c>
      <c r="D373">
        <v>100</v>
      </c>
      <c r="E373">
        <v>0</v>
      </c>
      <c r="F373">
        <v>0</v>
      </c>
      <c r="G373">
        <v>100</v>
      </c>
      <c r="H373" s="104">
        <f t="shared" si="5"/>
        <v>0</v>
      </c>
    </row>
    <row r="374" spans="3:8" x14ac:dyDescent="0.25">
      <c r="C374" t="s">
        <v>1960</v>
      </c>
      <c r="D374" s="104">
        <v>1574.25</v>
      </c>
      <c r="E374">
        <v>0</v>
      </c>
      <c r="F374">
        <v>0</v>
      </c>
      <c r="G374" s="104">
        <v>1574.25</v>
      </c>
      <c r="H374" s="104">
        <f t="shared" si="5"/>
        <v>0</v>
      </c>
    </row>
    <row r="375" spans="3:8" x14ac:dyDescent="0.25">
      <c r="C375" t="s">
        <v>1961</v>
      </c>
      <c r="D375" s="104">
        <v>15277899.199999999</v>
      </c>
      <c r="E375">
        <v>0</v>
      </c>
      <c r="F375">
        <v>0</v>
      </c>
      <c r="G375" s="104">
        <v>15277899.199999999</v>
      </c>
      <c r="H375" s="104">
        <f t="shared" si="5"/>
        <v>0</v>
      </c>
    </row>
    <row r="376" spans="3:8" x14ac:dyDescent="0.25">
      <c r="C376" t="s">
        <v>1754</v>
      </c>
      <c r="D376" s="104">
        <v>190619.85</v>
      </c>
      <c r="E376">
        <v>0</v>
      </c>
      <c r="F376">
        <v>0</v>
      </c>
      <c r="G376" s="104">
        <v>190619.85</v>
      </c>
      <c r="H376" s="104">
        <f t="shared" si="5"/>
        <v>0</v>
      </c>
    </row>
    <row r="377" spans="3:8" x14ac:dyDescent="0.25">
      <c r="C377" t="s">
        <v>1962</v>
      </c>
      <c r="D377">
        <v>392.5</v>
      </c>
      <c r="E377">
        <v>0</v>
      </c>
      <c r="F377">
        <v>0</v>
      </c>
      <c r="G377">
        <v>392.5</v>
      </c>
      <c r="H377" s="104">
        <f t="shared" si="5"/>
        <v>0</v>
      </c>
    </row>
    <row r="378" spans="3:8" x14ac:dyDescent="0.25">
      <c r="C378" t="s">
        <v>1895</v>
      </c>
      <c r="D378" s="104">
        <v>1726.04</v>
      </c>
      <c r="E378">
        <v>0</v>
      </c>
      <c r="F378">
        <v>0</v>
      </c>
      <c r="G378" s="104">
        <v>1726.04</v>
      </c>
      <c r="H378" s="104">
        <f t="shared" si="5"/>
        <v>0</v>
      </c>
    </row>
    <row r="379" spans="3:8" x14ac:dyDescent="0.25">
      <c r="C379" t="s">
        <v>1963</v>
      </c>
      <c r="D379" s="104">
        <v>20557.53</v>
      </c>
      <c r="E379">
        <v>0</v>
      </c>
      <c r="F379">
        <v>0</v>
      </c>
      <c r="G379" s="104">
        <v>20557.53</v>
      </c>
      <c r="H379" s="104">
        <f t="shared" si="5"/>
        <v>0</v>
      </c>
    </row>
    <row r="380" spans="3:8" x14ac:dyDescent="0.25">
      <c r="C380" t="s">
        <v>1964</v>
      </c>
      <c r="D380" s="104">
        <v>-11263982.060000001</v>
      </c>
      <c r="E380">
        <v>0</v>
      </c>
      <c r="F380">
        <v>0</v>
      </c>
      <c r="G380" s="104">
        <v>-11263982.060000001</v>
      </c>
      <c r="H380" s="104">
        <f t="shared" si="5"/>
        <v>0</v>
      </c>
    </row>
    <row r="381" spans="3:8" x14ac:dyDescent="0.25">
      <c r="C381" t="s">
        <v>1761</v>
      </c>
      <c r="D381" s="104">
        <v>26329.279999999999</v>
      </c>
      <c r="E381" s="104">
        <v>25359.17</v>
      </c>
      <c r="F381">
        <v>0</v>
      </c>
      <c r="G381" s="104">
        <v>51688.45</v>
      </c>
      <c r="H381" s="104">
        <f t="shared" si="5"/>
        <v>25359.17</v>
      </c>
    </row>
    <row r="382" spans="3:8" x14ac:dyDescent="0.25">
      <c r="C382" t="s">
        <v>1965</v>
      </c>
      <c r="D382">
        <v>708.16</v>
      </c>
      <c r="E382">
        <v>0</v>
      </c>
      <c r="F382">
        <v>0</v>
      </c>
      <c r="G382">
        <v>708.16</v>
      </c>
      <c r="H382" s="104">
        <f t="shared" si="5"/>
        <v>0</v>
      </c>
    </row>
    <row r="383" spans="3:8" x14ac:dyDescent="0.25">
      <c r="C383" t="s">
        <v>1793</v>
      </c>
      <c r="D383" s="104">
        <v>598838.84</v>
      </c>
      <c r="E383" s="104">
        <v>40537.839999999997</v>
      </c>
      <c r="F383">
        <v>0</v>
      </c>
      <c r="G383" s="104">
        <v>639376.68000000005</v>
      </c>
      <c r="H383" s="104">
        <f t="shared" si="5"/>
        <v>40537.840000000084</v>
      </c>
    </row>
    <row r="384" spans="3:8" x14ac:dyDescent="0.25">
      <c r="C384" t="s">
        <v>1830</v>
      </c>
      <c r="D384" s="104">
        <v>30786.22</v>
      </c>
      <c r="E384" s="104">
        <v>203557.26</v>
      </c>
      <c r="F384" s="104">
        <v>163641.54</v>
      </c>
      <c r="G384" s="104">
        <v>70701.94</v>
      </c>
      <c r="H384" s="104">
        <f t="shared" si="5"/>
        <v>39915.72</v>
      </c>
    </row>
    <row r="385" spans="3:8" x14ac:dyDescent="0.25">
      <c r="C385" t="s">
        <v>1832</v>
      </c>
      <c r="D385" s="104">
        <v>2346.06</v>
      </c>
      <c r="E385">
        <v>0</v>
      </c>
      <c r="F385">
        <v>0</v>
      </c>
      <c r="G385" s="104">
        <v>2346.06</v>
      </c>
      <c r="H385" s="104">
        <f t="shared" si="5"/>
        <v>0</v>
      </c>
    </row>
    <row r="386" spans="3:8" x14ac:dyDescent="0.25">
      <c r="C386" t="s">
        <v>1966</v>
      </c>
      <c r="D386">
        <v>143.5</v>
      </c>
      <c r="E386">
        <v>0</v>
      </c>
      <c r="F386">
        <v>0</v>
      </c>
      <c r="G386">
        <v>143.5</v>
      </c>
      <c r="H386" s="104">
        <f t="shared" si="5"/>
        <v>0</v>
      </c>
    </row>
    <row r="387" spans="3:8" x14ac:dyDescent="0.25">
      <c r="C387" t="s">
        <v>1967</v>
      </c>
      <c r="D387" s="104">
        <v>3396.7</v>
      </c>
      <c r="E387">
        <v>0</v>
      </c>
      <c r="F387">
        <v>0</v>
      </c>
      <c r="G387" s="104">
        <v>3396.7</v>
      </c>
      <c r="H387" s="104">
        <f t="shared" si="5"/>
        <v>0</v>
      </c>
    </row>
    <row r="388" spans="3:8" x14ac:dyDescent="0.25">
      <c r="C388" t="s">
        <v>1833</v>
      </c>
      <c r="D388" s="104">
        <v>114329.88</v>
      </c>
      <c r="E388">
        <v>0</v>
      </c>
      <c r="F388">
        <v>0</v>
      </c>
      <c r="G388" s="104">
        <v>114329.88</v>
      </c>
      <c r="H388" s="104">
        <f t="shared" ref="H388:H451" si="6">G388-D388</f>
        <v>0</v>
      </c>
    </row>
    <row r="389" spans="3:8" x14ac:dyDescent="0.25">
      <c r="C389" t="s">
        <v>1762</v>
      </c>
      <c r="D389" s="104">
        <v>31660.07</v>
      </c>
      <c r="E389" s="104">
        <v>31702.23</v>
      </c>
      <c r="F389" s="104">
        <v>18171</v>
      </c>
      <c r="G389" s="104">
        <v>45191.3</v>
      </c>
      <c r="H389" s="104">
        <f t="shared" si="6"/>
        <v>13531.230000000003</v>
      </c>
    </row>
    <row r="390" spans="3:8" x14ac:dyDescent="0.25">
      <c r="C390" t="s">
        <v>1755</v>
      </c>
      <c r="D390" s="104">
        <v>52206.91</v>
      </c>
      <c r="E390" s="104">
        <v>6049.38</v>
      </c>
      <c r="F390" s="104">
        <v>5202.57</v>
      </c>
      <c r="G390" s="104">
        <v>53053.72</v>
      </c>
      <c r="H390" s="104">
        <f t="shared" si="6"/>
        <v>846.80999999999767</v>
      </c>
    </row>
    <row r="391" spans="3:8" x14ac:dyDescent="0.25">
      <c r="C391" t="s">
        <v>1772</v>
      </c>
      <c r="D391" s="104">
        <v>1884.75</v>
      </c>
      <c r="E391">
        <v>0</v>
      </c>
      <c r="F391">
        <v>0</v>
      </c>
      <c r="G391" s="104">
        <v>1884.75</v>
      </c>
      <c r="H391" s="104">
        <f t="shared" si="6"/>
        <v>0</v>
      </c>
    </row>
    <row r="392" spans="3:8" x14ac:dyDescent="0.25">
      <c r="C392" t="s">
        <v>1968</v>
      </c>
      <c r="D392" s="104">
        <v>565566.81000000006</v>
      </c>
      <c r="E392">
        <v>0</v>
      </c>
      <c r="F392">
        <v>0</v>
      </c>
      <c r="G392" s="104">
        <v>565566.81000000006</v>
      </c>
      <c r="H392" s="104">
        <f t="shared" si="6"/>
        <v>0</v>
      </c>
    </row>
    <row r="393" spans="3:8" x14ac:dyDescent="0.25">
      <c r="C393" t="s">
        <v>1834</v>
      </c>
      <c r="D393" s="104">
        <v>3830639.97</v>
      </c>
      <c r="E393">
        <v>0</v>
      </c>
      <c r="F393">
        <v>0</v>
      </c>
      <c r="G393" s="104">
        <v>3830639.97</v>
      </c>
      <c r="H393" s="104">
        <f t="shared" si="6"/>
        <v>0</v>
      </c>
    </row>
    <row r="394" spans="3:8" x14ac:dyDescent="0.25">
      <c r="C394" t="s">
        <v>1773</v>
      </c>
      <c r="D394" s="104">
        <v>4494.6400000000003</v>
      </c>
      <c r="E394">
        <v>0</v>
      </c>
      <c r="F394">
        <v>0</v>
      </c>
      <c r="G394" s="104">
        <v>4494.6400000000003</v>
      </c>
      <c r="H394" s="104">
        <f t="shared" si="6"/>
        <v>0</v>
      </c>
    </row>
    <row r="395" spans="3:8" x14ac:dyDescent="0.25">
      <c r="C395" t="s">
        <v>1835</v>
      </c>
      <c r="D395">
        <v>308.83999999999997</v>
      </c>
      <c r="E395">
        <v>0</v>
      </c>
      <c r="F395">
        <v>0</v>
      </c>
      <c r="G395">
        <v>308.83999999999997</v>
      </c>
      <c r="H395" s="104">
        <f t="shared" si="6"/>
        <v>0</v>
      </c>
    </row>
    <row r="396" spans="3:8" x14ac:dyDescent="0.25">
      <c r="C396" t="s">
        <v>1969</v>
      </c>
      <c r="D396" s="104">
        <v>69127.23</v>
      </c>
      <c r="E396">
        <v>0</v>
      </c>
      <c r="F396">
        <v>0</v>
      </c>
      <c r="G396" s="104">
        <v>69127.23</v>
      </c>
      <c r="H396" s="104">
        <f t="shared" si="6"/>
        <v>0</v>
      </c>
    </row>
    <row r="397" spans="3:8" x14ac:dyDescent="0.25">
      <c r="C397" t="s">
        <v>1896</v>
      </c>
      <c r="D397" s="104">
        <v>21566484.59</v>
      </c>
      <c r="E397">
        <v>0</v>
      </c>
      <c r="F397">
        <v>0</v>
      </c>
      <c r="G397" s="104">
        <v>21566484.59</v>
      </c>
      <c r="H397" s="104">
        <f t="shared" si="6"/>
        <v>0</v>
      </c>
    </row>
    <row r="398" spans="3:8" x14ac:dyDescent="0.25">
      <c r="C398" t="s">
        <v>1970</v>
      </c>
      <c r="D398">
        <v>512.02</v>
      </c>
      <c r="E398">
        <v>0</v>
      </c>
      <c r="F398">
        <v>0</v>
      </c>
      <c r="G398">
        <v>512.02</v>
      </c>
      <c r="H398" s="104">
        <f t="shared" si="6"/>
        <v>0</v>
      </c>
    </row>
    <row r="399" spans="3:8" x14ac:dyDescent="0.25">
      <c r="C399" t="s">
        <v>1838</v>
      </c>
      <c r="D399" s="104">
        <v>25235.42</v>
      </c>
      <c r="E399">
        <v>0</v>
      </c>
      <c r="F399">
        <v>0</v>
      </c>
      <c r="G399" s="104">
        <v>25235.42</v>
      </c>
      <c r="H399" s="104">
        <f t="shared" si="6"/>
        <v>0</v>
      </c>
    </row>
    <row r="400" spans="3:8" x14ac:dyDescent="0.25">
      <c r="C400" t="s">
        <v>1839</v>
      </c>
      <c r="D400" s="104">
        <v>55808.07</v>
      </c>
      <c r="E400">
        <v>0</v>
      </c>
      <c r="F400">
        <v>0</v>
      </c>
      <c r="G400" s="104">
        <v>55808.07</v>
      </c>
      <c r="H400" s="104">
        <f t="shared" si="6"/>
        <v>0</v>
      </c>
    </row>
    <row r="401" spans="3:8" x14ac:dyDescent="0.25">
      <c r="C401" t="s">
        <v>1840</v>
      </c>
      <c r="D401" s="104">
        <v>65611.47</v>
      </c>
      <c r="E401">
        <v>0</v>
      </c>
      <c r="F401" s="104">
        <v>93967.6</v>
      </c>
      <c r="G401" s="104">
        <v>-28356.13</v>
      </c>
      <c r="H401" s="104">
        <f t="shared" si="6"/>
        <v>-93967.6</v>
      </c>
    </row>
    <row r="402" spans="3:8" x14ac:dyDescent="0.25">
      <c r="C402" t="s">
        <v>1841</v>
      </c>
      <c r="D402">
        <v>-124.29</v>
      </c>
      <c r="E402">
        <v>0</v>
      </c>
      <c r="F402">
        <v>0</v>
      </c>
      <c r="G402">
        <v>-124.29</v>
      </c>
      <c r="H402" s="104">
        <f t="shared" si="6"/>
        <v>0</v>
      </c>
    </row>
    <row r="403" spans="3:8" x14ac:dyDescent="0.25">
      <c r="C403" t="s">
        <v>1842</v>
      </c>
      <c r="D403" s="104">
        <v>5556.13</v>
      </c>
      <c r="E403">
        <v>0</v>
      </c>
      <c r="F403">
        <v>0</v>
      </c>
      <c r="G403" s="104">
        <v>5556.13</v>
      </c>
      <c r="H403" s="104">
        <f t="shared" si="6"/>
        <v>0</v>
      </c>
    </row>
    <row r="404" spans="3:8" x14ac:dyDescent="0.25">
      <c r="C404" t="s">
        <v>1971</v>
      </c>
      <c r="D404">
        <v>535.71</v>
      </c>
      <c r="E404">
        <v>0</v>
      </c>
      <c r="F404">
        <v>0</v>
      </c>
      <c r="G404">
        <v>535.71</v>
      </c>
      <c r="H404" s="104">
        <f t="shared" si="6"/>
        <v>0</v>
      </c>
    </row>
    <row r="405" spans="3:8" x14ac:dyDescent="0.25">
      <c r="C405" t="s">
        <v>1843</v>
      </c>
      <c r="D405" s="104">
        <v>133662.24</v>
      </c>
      <c r="E405">
        <v>0</v>
      </c>
      <c r="F405">
        <v>0</v>
      </c>
      <c r="G405" s="104">
        <v>133662.24</v>
      </c>
      <c r="H405" s="104">
        <f t="shared" si="6"/>
        <v>0</v>
      </c>
    </row>
    <row r="406" spans="3:8" x14ac:dyDescent="0.25">
      <c r="C406" t="s">
        <v>1844</v>
      </c>
      <c r="D406" s="104">
        <v>222336.61</v>
      </c>
      <c r="E406" s="104">
        <v>389611.57</v>
      </c>
      <c r="F406" s="104">
        <v>307007.67</v>
      </c>
      <c r="G406" s="104">
        <v>304940.51</v>
      </c>
      <c r="H406" s="104">
        <f t="shared" si="6"/>
        <v>82603.900000000023</v>
      </c>
    </row>
    <row r="407" spans="3:8" x14ac:dyDescent="0.25">
      <c r="C407" t="s">
        <v>1860</v>
      </c>
      <c r="D407" s="104">
        <v>7460.09</v>
      </c>
      <c r="E407">
        <v>0</v>
      </c>
      <c r="F407">
        <v>0</v>
      </c>
      <c r="G407" s="104">
        <v>7460.09</v>
      </c>
      <c r="H407" s="104">
        <f t="shared" si="6"/>
        <v>0</v>
      </c>
    </row>
    <row r="408" spans="3:8" x14ac:dyDescent="0.25">
      <c r="C408" t="s">
        <v>1846</v>
      </c>
      <c r="D408" s="104">
        <v>51950.05</v>
      </c>
      <c r="E408">
        <v>0</v>
      </c>
      <c r="F408" s="104">
        <v>112765.73</v>
      </c>
      <c r="G408" s="104">
        <v>-60815.68</v>
      </c>
      <c r="H408" s="104">
        <f t="shared" si="6"/>
        <v>-112765.73000000001</v>
      </c>
    </row>
    <row r="409" spans="3:8" x14ac:dyDescent="0.25">
      <c r="C409" t="s">
        <v>1847</v>
      </c>
      <c r="D409" s="104">
        <v>273177.71999999997</v>
      </c>
      <c r="E409">
        <v>0</v>
      </c>
      <c r="F409">
        <v>0</v>
      </c>
      <c r="G409" s="104">
        <v>273177.71999999997</v>
      </c>
      <c r="H409" s="104">
        <f t="shared" si="6"/>
        <v>0</v>
      </c>
    </row>
    <row r="410" spans="3:8" x14ac:dyDescent="0.25">
      <c r="C410" t="s">
        <v>1972</v>
      </c>
      <c r="D410" s="104">
        <v>80017.81</v>
      </c>
      <c r="E410">
        <v>0</v>
      </c>
      <c r="F410">
        <v>0</v>
      </c>
      <c r="G410" s="104">
        <v>80017.81</v>
      </c>
      <c r="H410" s="104">
        <f t="shared" si="6"/>
        <v>0</v>
      </c>
    </row>
    <row r="411" spans="3:8" x14ac:dyDescent="0.25">
      <c r="C411" t="s">
        <v>1852</v>
      </c>
      <c r="D411" s="104">
        <v>27595.88</v>
      </c>
      <c r="E411">
        <v>0</v>
      </c>
      <c r="F411" s="104">
        <v>55601.84</v>
      </c>
      <c r="G411" s="104">
        <v>-28005.96</v>
      </c>
      <c r="H411" s="104">
        <f t="shared" si="6"/>
        <v>-55601.84</v>
      </c>
    </row>
    <row r="412" spans="3:8" x14ac:dyDescent="0.25">
      <c r="C412" t="s">
        <v>1861</v>
      </c>
      <c r="D412" s="104">
        <v>-2164.08</v>
      </c>
      <c r="E412">
        <v>0</v>
      </c>
      <c r="F412">
        <v>0</v>
      </c>
      <c r="G412" s="104">
        <v>-2164.08</v>
      </c>
      <c r="H412" s="104">
        <f t="shared" si="6"/>
        <v>0</v>
      </c>
    </row>
    <row r="413" spans="3:8" x14ac:dyDescent="0.25">
      <c r="C413" t="s">
        <v>1899</v>
      </c>
      <c r="D413" s="104">
        <v>13334.76</v>
      </c>
      <c r="E413">
        <v>0</v>
      </c>
      <c r="F413">
        <v>0</v>
      </c>
      <c r="G413" s="104">
        <v>13334.76</v>
      </c>
      <c r="H413" s="104">
        <f t="shared" si="6"/>
        <v>0</v>
      </c>
    </row>
    <row r="414" spans="3:8" x14ac:dyDescent="0.25">
      <c r="C414" t="s">
        <v>1973</v>
      </c>
      <c r="D414" s="104">
        <v>5034.17</v>
      </c>
      <c r="E414">
        <v>0</v>
      </c>
      <c r="F414">
        <v>0</v>
      </c>
      <c r="G414" s="104">
        <v>5034.17</v>
      </c>
      <c r="H414" s="104">
        <f t="shared" si="6"/>
        <v>0</v>
      </c>
    </row>
    <row r="415" spans="3:8" x14ac:dyDescent="0.25">
      <c r="C415" t="s">
        <v>1865</v>
      </c>
      <c r="D415" s="104">
        <v>13890.36</v>
      </c>
      <c r="E415">
        <v>0</v>
      </c>
      <c r="F415">
        <v>0</v>
      </c>
      <c r="G415" s="104">
        <v>13890.36</v>
      </c>
      <c r="H415" s="104">
        <f t="shared" si="6"/>
        <v>0</v>
      </c>
    </row>
    <row r="416" spans="3:8" x14ac:dyDescent="0.25">
      <c r="C416" t="s">
        <v>1900</v>
      </c>
      <c r="D416">
        <v>0.04</v>
      </c>
      <c r="E416">
        <v>0</v>
      </c>
      <c r="F416">
        <v>0.04</v>
      </c>
      <c r="G416">
        <v>0</v>
      </c>
      <c r="H416" s="104">
        <f t="shared" si="6"/>
        <v>-0.04</v>
      </c>
    </row>
    <row r="417" spans="3:8" x14ac:dyDescent="0.25">
      <c r="C417" t="s">
        <v>1814</v>
      </c>
      <c r="D417" s="104">
        <v>95304.23</v>
      </c>
      <c r="E417">
        <v>0</v>
      </c>
      <c r="F417">
        <v>0</v>
      </c>
      <c r="G417" s="104">
        <v>95304.23</v>
      </c>
      <c r="H417" s="104">
        <f t="shared" si="6"/>
        <v>0</v>
      </c>
    </row>
    <row r="418" spans="3:8" x14ac:dyDescent="0.25">
      <c r="C418" t="s">
        <v>1974</v>
      </c>
      <c r="D418">
        <v>0</v>
      </c>
      <c r="E418">
        <v>0</v>
      </c>
      <c r="F418">
        <v>0</v>
      </c>
      <c r="G418">
        <v>0</v>
      </c>
      <c r="H418" s="104">
        <f t="shared" si="6"/>
        <v>0</v>
      </c>
    </row>
    <row r="419" spans="3:8" x14ac:dyDescent="0.25">
      <c r="C419" t="s">
        <v>1975</v>
      </c>
      <c r="D419" s="104">
        <v>2352.6799999999998</v>
      </c>
      <c r="E419">
        <v>0</v>
      </c>
      <c r="F419">
        <v>0</v>
      </c>
      <c r="G419" s="104">
        <v>2352.6799999999998</v>
      </c>
      <c r="H419" s="104">
        <f t="shared" si="6"/>
        <v>0</v>
      </c>
    </row>
    <row r="420" spans="3:8" x14ac:dyDescent="0.25">
      <c r="C420" t="s">
        <v>1976</v>
      </c>
      <c r="D420" s="104">
        <v>4099</v>
      </c>
      <c r="E420">
        <v>0</v>
      </c>
      <c r="F420">
        <v>0</v>
      </c>
      <c r="G420" s="104">
        <v>4099</v>
      </c>
      <c r="H420" s="104">
        <f t="shared" si="6"/>
        <v>0</v>
      </c>
    </row>
    <row r="421" spans="3:8" x14ac:dyDescent="0.25">
      <c r="C421" t="s">
        <v>1977</v>
      </c>
      <c r="D421" s="104">
        <v>1355.84</v>
      </c>
      <c r="E421">
        <v>0</v>
      </c>
      <c r="F421">
        <v>0</v>
      </c>
      <c r="G421" s="104">
        <v>1355.84</v>
      </c>
      <c r="H421" s="104">
        <f t="shared" si="6"/>
        <v>0</v>
      </c>
    </row>
    <row r="422" spans="3:8" x14ac:dyDescent="0.25">
      <c r="C422" t="s">
        <v>1978</v>
      </c>
      <c r="D422" s="104">
        <v>33969.839999999997</v>
      </c>
      <c r="E422">
        <v>0</v>
      </c>
      <c r="F422">
        <v>0</v>
      </c>
      <c r="G422" s="104">
        <v>33969.839999999997</v>
      </c>
      <c r="H422" s="104">
        <f t="shared" si="6"/>
        <v>0</v>
      </c>
    </row>
    <row r="423" spans="3:8" x14ac:dyDescent="0.25">
      <c r="C423" t="s">
        <v>1979</v>
      </c>
      <c r="D423">
        <v>658.15</v>
      </c>
      <c r="E423">
        <v>0</v>
      </c>
      <c r="F423">
        <v>0</v>
      </c>
      <c r="G423">
        <v>658.15</v>
      </c>
      <c r="H423" s="104">
        <f t="shared" si="6"/>
        <v>0</v>
      </c>
    </row>
    <row r="424" spans="3:8" x14ac:dyDescent="0.25">
      <c r="C424" t="s">
        <v>1980</v>
      </c>
      <c r="D424">
        <v>0</v>
      </c>
      <c r="E424" s="104">
        <v>5041.84</v>
      </c>
      <c r="F424" s="104">
        <v>11931.94</v>
      </c>
      <c r="G424" s="104">
        <v>-6890.1</v>
      </c>
      <c r="H424" s="104">
        <f t="shared" si="6"/>
        <v>-6890.1</v>
      </c>
    </row>
    <row r="425" spans="3:8" x14ac:dyDescent="0.25">
      <c r="C425" t="s">
        <v>1851</v>
      </c>
      <c r="D425">
        <v>0</v>
      </c>
      <c r="E425" s="104">
        <v>9900</v>
      </c>
      <c r="F425" s="104">
        <v>8613</v>
      </c>
      <c r="G425" s="104">
        <v>1287</v>
      </c>
      <c r="H425" s="104">
        <f t="shared" si="6"/>
        <v>1287</v>
      </c>
    </row>
    <row r="426" spans="3:8" x14ac:dyDescent="0.25">
      <c r="C426" t="s">
        <v>1981</v>
      </c>
      <c r="D426" s="104">
        <v>41732</v>
      </c>
      <c r="E426">
        <v>0</v>
      </c>
      <c r="F426" s="104">
        <v>41732</v>
      </c>
      <c r="G426">
        <v>0</v>
      </c>
      <c r="H426" s="104">
        <f t="shared" si="6"/>
        <v>-41732</v>
      </c>
    </row>
    <row r="427" spans="3:8" x14ac:dyDescent="0.25">
      <c r="C427" t="s">
        <v>1871</v>
      </c>
      <c r="D427" s="104">
        <v>57108.4</v>
      </c>
      <c r="E427" s="104">
        <v>18927.09</v>
      </c>
      <c r="F427" s="104">
        <v>26334.93</v>
      </c>
      <c r="G427" s="104">
        <v>49700.56</v>
      </c>
      <c r="H427" s="104">
        <f t="shared" si="6"/>
        <v>-7407.8400000000038</v>
      </c>
    </row>
    <row r="428" spans="3:8" x14ac:dyDescent="0.25">
      <c r="C428" t="s">
        <v>1982</v>
      </c>
      <c r="D428">
        <v>0</v>
      </c>
      <c r="E428">
        <v>639.96</v>
      </c>
      <c r="F428">
        <v>0</v>
      </c>
      <c r="G428">
        <v>639.96</v>
      </c>
      <c r="H428" s="104">
        <f t="shared" si="6"/>
        <v>639.96</v>
      </c>
    </row>
    <row r="429" spans="3:8" x14ac:dyDescent="0.25">
      <c r="C429" t="s">
        <v>1874</v>
      </c>
      <c r="D429" s="104">
        <v>33160.51</v>
      </c>
      <c r="E429" s="104">
        <v>187955</v>
      </c>
      <c r="F429" s="104">
        <v>190666.21</v>
      </c>
      <c r="G429" s="104">
        <v>30449.3</v>
      </c>
      <c r="H429" s="104">
        <f t="shared" si="6"/>
        <v>-2711.2100000000028</v>
      </c>
    </row>
    <row r="430" spans="3:8" x14ac:dyDescent="0.25">
      <c r="C430" t="s">
        <v>1983</v>
      </c>
      <c r="D430" s="104">
        <v>1813.43</v>
      </c>
      <c r="E430">
        <v>0</v>
      </c>
      <c r="F430">
        <v>0</v>
      </c>
      <c r="G430" s="104">
        <v>1813.43</v>
      </c>
      <c r="H430" s="104">
        <f t="shared" si="6"/>
        <v>0</v>
      </c>
    </row>
    <row r="431" spans="3:8" x14ac:dyDescent="0.25">
      <c r="C431" t="s">
        <v>1984</v>
      </c>
      <c r="D431" s="104">
        <v>11000</v>
      </c>
      <c r="E431">
        <v>0</v>
      </c>
      <c r="F431" s="104">
        <v>11000</v>
      </c>
      <c r="G431">
        <v>0</v>
      </c>
      <c r="H431" s="104">
        <f t="shared" si="6"/>
        <v>-11000</v>
      </c>
    </row>
    <row r="432" spans="3:8" x14ac:dyDescent="0.25">
      <c r="C432" t="s">
        <v>1985</v>
      </c>
      <c r="D432" s="104">
        <v>-26477.279999999999</v>
      </c>
      <c r="E432" s="104">
        <v>364656.21</v>
      </c>
      <c r="F432" s="104">
        <v>289962.42</v>
      </c>
      <c r="G432" s="104">
        <v>48216.51</v>
      </c>
      <c r="H432" s="104">
        <f t="shared" si="6"/>
        <v>74693.790000000008</v>
      </c>
    </row>
    <row r="433" spans="2:8" x14ac:dyDescent="0.25">
      <c r="C433" t="s">
        <v>1881</v>
      </c>
      <c r="D433">
        <v>0</v>
      </c>
      <c r="E433">
        <v>0</v>
      </c>
      <c r="F433" s="104">
        <v>3704.24</v>
      </c>
      <c r="G433" s="104">
        <v>-3704.24</v>
      </c>
      <c r="H433" s="104">
        <f t="shared" si="6"/>
        <v>-3704.24</v>
      </c>
    </row>
    <row r="434" spans="2:8" x14ac:dyDescent="0.25">
      <c r="C434" t="s">
        <v>1884</v>
      </c>
      <c r="D434">
        <v>0</v>
      </c>
      <c r="E434" s="104">
        <v>241427.16</v>
      </c>
      <c r="F434" s="104">
        <v>238275.12</v>
      </c>
      <c r="G434" s="104">
        <v>3152.04</v>
      </c>
      <c r="H434" s="104">
        <f t="shared" si="6"/>
        <v>3152.04</v>
      </c>
    </row>
    <row r="435" spans="2:8" x14ac:dyDescent="0.25">
      <c r="C435" t="s">
        <v>1885</v>
      </c>
      <c r="D435">
        <v>0</v>
      </c>
      <c r="E435" s="104">
        <v>111095.72</v>
      </c>
      <c r="F435" s="104">
        <v>67391.210000000006</v>
      </c>
      <c r="G435" s="104">
        <v>43704.51</v>
      </c>
      <c r="H435" s="104">
        <f t="shared" si="6"/>
        <v>43704.51</v>
      </c>
    </row>
    <row r="436" spans="2:8" x14ac:dyDescent="0.25">
      <c r="C436" t="s">
        <v>1886</v>
      </c>
      <c r="D436">
        <v>0</v>
      </c>
      <c r="E436" s="104">
        <v>182603.53</v>
      </c>
      <c r="F436" s="104">
        <v>47136.86</v>
      </c>
      <c r="G436" s="104">
        <v>135466.67000000001</v>
      </c>
      <c r="H436" s="104">
        <f t="shared" si="6"/>
        <v>135466.67000000001</v>
      </c>
    </row>
    <row r="437" spans="2:8" x14ac:dyDescent="0.25">
      <c r="C437" t="s">
        <v>1887</v>
      </c>
      <c r="D437">
        <v>0</v>
      </c>
      <c r="E437" s="104">
        <v>87211.72</v>
      </c>
      <c r="F437" s="104">
        <v>60869.04</v>
      </c>
      <c r="G437" s="104">
        <v>26342.68</v>
      </c>
      <c r="H437" s="104">
        <f t="shared" si="6"/>
        <v>26342.68</v>
      </c>
    </row>
    <row r="438" spans="2:8" x14ac:dyDescent="0.25">
      <c r="C438" t="s">
        <v>1888</v>
      </c>
      <c r="D438">
        <v>0</v>
      </c>
      <c r="E438" s="104">
        <v>34267.64</v>
      </c>
      <c r="F438" s="104">
        <v>28017.48</v>
      </c>
      <c r="G438" s="104">
        <v>6250.16</v>
      </c>
      <c r="H438" s="104">
        <f t="shared" si="6"/>
        <v>6250.16</v>
      </c>
    </row>
    <row r="439" spans="2:8" x14ac:dyDescent="0.25">
      <c r="B439" t="s">
        <v>1587</v>
      </c>
      <c r="D439" s="104">
        <v>92664165.670000002</v>
      </c>
      <c r="E439" s="104">
        <v>18723562.609999999</v>
      </c>
      <c r="F439" s="104">
        <v>15786182</v>
      </c>
      <c r="G439" s="104">
        <v>95601546.280000001</v>
      </c>
      <c r="H439" s="832">
        <f t="shared" si="6"/>
        <v>2937380.6099999994</v>
      </c>
    </row>
    <row r="440" spans="2:8" x14ac:dyDescent="0.25">
      <c r="H440" s="104">
        <f t="shared" si="6"/>
        <v>0</v>
      </c>
    </row>
    <row r="441" spans="2:8" x14ac:dyDescent="0.25">
      <c r="B441">
        <v>10301011</v>
      </c>
      <c r="C441" t="s">
        <v>1986</v>
      </c>
      <c r="D441" s="104">
        <v>-1257468628.3499999</v>
      </c>
      <c r="E441">
        <v>0</v>
      </c>
      <c r="F441" s="104">
        <v>2513699.61</v>
      </c>
      <c r="G441" s="104">
        <v>-1259982327.96</v>
      </c>
      <c r="H441" s="104">
        <f t="shared" si="6"/>
        <v>-2513699.6100001335</v>
      </c>
    </row>
    <row r="442" spans="2:8" x14ac:dyDescent="0.25">
      <c r="B442" t="s">
        <v>1987</v>
      </c>
      <c r="C442" t="s">
        <v>114</v>
      </c>
      <c r="H442" s="104">
        <f t="shared" si="6"/>
        <v>0</v>
      </c>
    </row>
    <row r="443" spans="2:8" x14ac:dyDescent="0.25">
      <c r="C443" t="s">
        <v>1854</v>
      </c>
      <c r="D443" s="104">
        <v>-3545503.21</v>
      </c>
      <c r="E443">
        <v>0</v>
      </c>
      <c r="F443">
        <v>0</v>
      </c>
      <c r="G443" s="104">
        <v>-3545503.21</v>
      </c>
      <c r="H443" s="104">
        <f t="shared" si="6"/>
        <v>0</v>
      </c>
    </row>
    <row r="444" spans="2:8" x14ac:dyDescent="0.25">
      <c r="C444" t="s">
        <v>1897</v>
      </c>
      <c r="D444" s="104">
        <v>-19754249.800000001</v>
      </c>
      <c r="E444">
        <v>0</v>
      </c>
      <c r="F444">
        <v>0</v>
      </c>
      <c r="G444" s="104">
        <v>-19754249.800000001</v>
      </c>
      <c r="H444" s="104">
        <f t="shared" si="6"/>
        <v>0</v>
      </c>
    </row>
    <row r="445" spans="2:8" x14ac:dyDescent="0.25">
      <c r="C445" t="s">
        <v>1893</v>
      </c>
      <c r="D445" s="104">
        <v>-443630.22</v>
      </c>
      <c r="E445">
        <v>0</v>
      </c>
      <c r="F445">
        <v>0</v>
      </c>
      <c r="G445" s="104">
        <v>-443630.22</v>
      </c>
      <c r="H445" s="104">
        <f t="shared" si="6"/>
        <v>0</v>
      </c>
    </row>
    <row r="446" spans="2:8" x14ac:dyDescent="0.25">
      <c r="C446" t="s">
        <v>1956</v>
      </c>
      <c r="D446" s="104">
        <v>-5539.65</v>
      </c>
      <c r="E446">
        <v>0</v>
      </c>
      <c r="F446">
        <v>0</v>
      </c>
      <c r="G446" s="104">
        <v>-5539.65</v>
      </c>
      <c r="H446" s="104">
        <f t="shared" si="6"/>
        <v>0</v>
      </c>
    </row>
    <row r="447" spans="2:8" x14ac:dyDescent="0.25">
      <c r="C447" t="s">
        <v>1894</v>
      </c>
      <c r="D447" s="104">
        <v>-107853976.59</v>
      </c>
      <c r="E447">
        <v>0</v>
      </c>
      <c r="F447">
        <v>0</v>
      </c>
      <c r="G447" s="104">
        <v>-107853976.59</v>
      </c>
      <c r="H447" s="104">
        <f t="shared" si="6"/>
        <v>0</v>
      </c>
    </row>
    <row r="448" spans="2:8" x14ac:dyDescent="0.25">
      <c r="C448" t="s">
        <v>1741</v>
      </c>
      <c r="D448" s="104">
        <v>-9580</v>
      </c>
      <c r="E448">
        <v>0</v>
      </c>
      <c r="F448">
        <v>0</v>
      </c>
      <c r="G448" s="104">
        <v>-9580</v>
      </c>
      <c r="H448" s="104">
        <f t="shared" si="6"/>
        <v>0</v>
      </c>
    </row>
    <row r="449" spans="3:8" x14ac:dyDescent="0.25">
      <c r="C449" t="s">
        <v>1824</v>
      </c>
      <c r="D449" s="104">
        <v>-27210.639999999999</v>
      </c>
      <c r="E449">
        <v>0</v>
      </c>
      <c r="F449">
        <v>0</v>
      </c>
      <c r="G449" s="104">
        <v>-27210.639999999999</v>
      </c>
      <c r="H449" s="104">
        <f t="shared" si="6"/>
        <v>0</v>
      </c>
    </row>
    <row r="450" spans="3:8" x14ac:dyDescent="0.25">
      <c r="C450" t="s">
        <v>1785</v>
      </c>
      <c r="D450">
        <v>0</v>
      </c>
      <c r="E450">
        <v>0</v>
      </c>
      <c r="F450">
        <v>0</v>
      </c>
      <c r="G450">
        <v>0</v>
      </c>
      <c r="H450" s="104">
        <f t="shared" si="6"/>
        <v>0</v>
      </c>
    </row>
    <row r="451" spans="3:8" x14ac:dyDescent="0.25">
      <c r="C451" t="s">
        <v>1957</v>
      </c>
      <c r="D451">
        <v>-595.48</v>
      </c>
      <c r="E451">
        <v>0</v>
      </c>
      <c r="F451">
        <v>0</v>
      </c>
      <c r="G451">
        <v>-595.48</v>
      </c>
      <c r="H451" s="104">
        <f t="shared" si="6"/>
        <v>0</v>
      </c>
    </row>
    <row r="452" spans="3:8" x14ac:dyDescent="0.25">
      <c r="C452" t="s">
        <v>1958</v>
      </c>
      <c r="D452" s="104">
        <v>-50760</v>
      </c>
      <c r="E452">
        <v>0</v>
      </c>
      <c r="F452">
        <v>0</v>
      </c>
      <c r="G452" s="104">
        <v>-50760</v>
      </c>
      <c r="H452" s="104">
        <f t="shared" ref="H452:H515" si="7">G452-D452</f>
        <v>0</v>
      </c>
    </row>
    <row r="453" spans="3:8" x14ac:dyDescent="0.25">
      <c r="C453" t="s">
        <v>1765</v>
      </c>
      <c r="D453">
        <v>-711.14</v>
      </c>
      <c r="E453">
        <v>0</v>
      </c>
      <c r="F453">
        <v>0</v>
      </c>
      <c r="G453">
        <v>-711.14</v>
      </c>
      <c r="H453" s="104">
        <f t="shared" si="7"/>
        <v>0</v>
      </c>
    </row>
    <row r="454" spans="3:8" x14ac:dyDescent="0.25">
      <c r="C454" t="s">
        <v>1855</v>
      </c>
      <c r="D454" s="104">
        <v>-12499.93</v>
      </c>
      <c r="E454">
        <v>0</v>
      </c>
      <c r="F454">
        <v>0</v>
      </c>
      <c r="G454" s="104">
        <v>-12499.93</v>
      </c>
      <c r="H454" s="104">
        <f t="shared" si="7"/>
        <v>0</v>
      </c>
    </row>
    <row r="455" spans="3:8" x14ac:dyDescent="0.25">
      <c r="C455" t="s">
        <v>1828</v>
      </c>
      <c r="D455" s="104">
        <v>-831171.23</v>
      </c>
      <c r="E455">
        <v>0</v>
      </c>
      <c r="F455">
        <v>0</v>
      </c>
      <c r="G455" s="104">
        <v>-831171.23</v>
      </c>
      <c r="H455" s="104">
        <f t="shared" si="7"/>
        <v>0</v>
      </c>
    </row>
    <row r="456" spans="3:8" x14ac:dyDescent="0.25">
      <c r="C456" t="s">
        <v>1768</v>
      </c>
      <c r="D456" s="104">
        <v>-2367438.34</v>
      </c>
      <c r="E456">
        <v>0</v>
      </c>
      <c r="F456">
        <v>0</v>
      </c>
      <c r="G456" s="104">
        <v>-2367438.34</v>
      </c>
      <c r="H456" s="104">
        <f t="shared" si="7"/>
        <v>0</v>
      </c>
    </row>
    <row r="457" spans="3:8" x14ac:dyDescent="0.25">
      <c r="C457" t="s">
        <v>1959</v>
      </c>
      <c r="D457">
        <v>-100</v>
      </c>
      <c r="E457">
        <v>0</v>
      </c>
      <c r="F457">
        <v>0</v>
      </c>
      <c r="G457">
        <v>-100</v>
      </c>
      <c r="H457" s="104">
        <f t="shared" si="7"/>
        <v>0</v>
      </c>
    </row>
    <row r="458" spans="3:8" x14ac:dyDescent="0.25">
      <c r="C458" t="s">
        <v>1961</v>
      </c>
      <c r="D458" s="104">
        <v>-15277899.199999999</v>
      </c>
      <c r="E458">
        <v>0</v>
      </c>
      <c r="F458">
        <v>0</v>
      </c>
      <c r="G458" s="104">
        <v>-15277899.199999999</v>
      </c>
      <c r="H458" s="104">
        <f t="shared" si="7"/>
        <v>0</v>
      </c>
    </row>
    <row r="459" spans="3:8" x14ac:dyDescent="0.25">
      <c r="C459" t="s">
        <v>1895</v>
      </c>
      <c r="D459" s="104">
        <v>-1726.04</v>
      </c>
      <c r="E459">
        <v>0</v>
      </c>
      <c r="F459">
        <v>615.6</v>
      </c>
      <c r="G459" s="104">
        <v>-2341.64</v>
      </c>
      <c r="H459" s="104">
        <f t="shared" si="7"/>
        <v>-615.59999999999991</v>
      </c>
    </row>
    <row r="460" spans="3:8" x14ac:dyDescent="0.25">
      <c r="C460" t="s">
        <v>1965</v>
      </c>
      <c r="D460">
        <v>-708.16</v>
      </c>
      <c r="E460">
        <v>0</v>
      </c>
      <c r="F460">
        <v>0</v>
      </c>
      <c r="G460">
        <v>-708.16</v>
      </c>
      <c r="H460" s="104">
        <f t="shared" si="7"/>
        <v>0</v>
      </c>
    </row>
    <row r="461" spans="3:8" x14ac:dyDescent="0.25">
      <c r="C461" t="s">
        <v>1832</v>
      </c>
      <c r="D461" s="104">
        <v>-2346.06</v>
      </c>
      <c r="E461">
        <v>0</v>
      </c>
      <c r="F461">
        <v>0</v>
      </c>
      <c r="G461" s="104">
        <v>-2346.06</v>
      </c>
      <c r="H461" s="104">
        <f t="shared" si="7"/>
        <v>0</v>
      </c>
    </row>
    <row r="462" spans="3:8" x14ac:dyDescent="0.25">
      <c r="C462" t="s">
        <v>1966</v>
      </c>
      <c r="D462">
        <v>-143.5</v>
      </c>
      <c r="E462">
        <v>0</v>
      </c>
      <c r="F462">
        <v>0</v>
      </c>
      <c r="G462">
        <v>-143.5</v>
      </c>
      <c r="H462" s="104">
        <f t="shared" si="7"/>
        <v>0</v>
      </c>
    </row>
    <row r="463" spans="3:8" x14ac:dyDescent="0.25">
      <c r="C463" t="s">
        <v>1967</v>
      </c>
      <c r="D463" s="104">
        <v>-3396.7</v>
      </c>
      <c r="E463">
        <v>0</v>
      </c>
      <c r="F463">
        <v>0</v>
      </c>
      <c r="G463" s="104">
        <v>-3396.7</v>
      </c>
      <c r="H463" s="104">
        <f t="shared" si="7"/>
        <v>0</v>
      </c>
    </row>
    <row r="464" spans="3:8" x14ac:dyDescent="0.25">
      <c r="C464" t="s">
        <v>1833</v>
      </c>
      <c r="D464" s="104">
        <v>-114329.88</v>
      </c>
      <c r="E464">
        <v>0</v>
      </c>
      <c r="F464">
        <v>0</v>
      </c>
      <c r="G464" s="104">
        <v>-114329.88</v>
      </c>
      <c r="H464" s="104">
        <f t="shared" si="7"/>
        <v>0</v>
      </c>
    </row>
    <row r="465" spans="3:8" x14ac:dyDescent="0.25">
      <c r="C465" t="s">
        <v>1772</v>
      </c>
      <c r="D465" s="104">
        <v>-1884.75</v>
      </c>
      <c r="E465">
        <v>0</v>
      </c>
      <c r="F465">
        <v>0</v>
      </c>
      <c r="G465" s="104">
        <v>-1884.75</v>
      </c>
      <c r="H465" s="104">
        <f t="shared" si="7"/>
        <v>0</v>
      </c>
    </row>
    <row r="466" spans="3:8" x14ac:dyDescent="0.25">
      <c r="C466" t="s">
        <v>1968</v>
      </c>
      <c r="D466" s="104">
        <v>-565566.81000000006</v>
      </c>
      <c r="E466">
        <v>0</v>
      </c>
      <c r="F466">
        <v>0</v>
      </c>
      <c r="G466" s="104">
        <v>-565566.81000000006</v>
      </c>
      <c r="H466" s="104">
        <f t="shared" si="7"/>
        <v>0</v>
      </c>
    </row>
    <row r="467" spans="3:8" x14ac:dyDescent="0.25">
      <c r="C467" t="s">
        <v>1834</v>
      </c>
      <c r="D467" s="104">
        <v>-3830639.97</v>
      </c>
      <c r="E467">
        <v>0</v>
      </c>
      <c r="F467">
        <v>0</v>
      </c>
      <c r="G467" s="104">
        <v>-3830639.97</v>
      </c>
      <c r="H467" s="104">
        <f t="shared" si="7"/>
        <v>0</v>
      </c>
    </row>
    <row r="468" spans="3:8" x14ac:dyDescent="0.25">
      <c r="C468" t="s">
        <v>1969</v>
      </c>
      <c r="D468" s="104">
        <v>-69127.23</v>
      </c>
      <c r="E468">
        <v>0</v>
      </c>
      <c r="F468">
        <v>0</v>
      </c>
      <c r="G468" s="104">
        <v>-69127.23</v>
      </c>
      <c r="H468" s="104">
        <f t="shared" si="7"/>
        <v>0</v>
      </c>
    </row>
    <row r="469" spans="3:8" x14ac:dyDescent="0.25">
      <c r="C469" t="s">
        <v>1896</v>
      </c>
      <c r="D469" s="104">
        <v>-50909356.719999999</v>
      </c>
      <c r="E469">
        <v>0</v>
      </c>
      <c r="F469">
        <v>0</v>
      </c>
      <c r="G469" s="104">
        <v>-50909356.719999999</v>
      </c>
      <c r="H469" s="104">
        <f t="shared" si="7"/>
        <v>0</v>
      </c>
    </row>
    <row r="470" spans="3:8" x14ac:dyDescent="0.25">
      <c r="C470" t="s">
        <v>1970</v>
      </c>
      <c r="D470">
        <v>-512.02</v>
      </c>
      <c r="E470">
        <v>0</v>
      </c>
      <c r="F470">
        <v>0</v>
      </c>
      <c r="G470">
        <v>-512.02</v>
      </c>
      <c r="H470" s="104">
        <f t="shared" si="7"/>
        <v>0</v>
      </c>
    </row>
    <row r="471" spans="3:8" x14ac:dyDescent="0.25">
      <c r="C471" t="s">
        <v>1838</v>
      </c>
      <c r="D471" s="104">
        <v>-25235.42</v>
      </c>
      <c r="E471">
        <v>0</v>
      </c>
      <c r="F471">
        <v>0</v>
      </c>
      <c r="G471" s="104">
        <v>-25235.42</v>
      </c>
      <c r="H471" s="104">
        <f t="shared" si="7"/>
        <v>0</v>
      </c>
    </row>
    <row r="472" spans="3:8" x14ac:dyDescent="0.25">
      <c r="C472" t="s">
        <v>1839</v>
      </c>
      <c r="D472" s="104">
        <v>-55808.07</v>
      </c>
      <c r="E472">
        <v>0</v>
      </c>
      <c r="F472">
        <v>0</v>
      </c>
      <c r="G472" s="104">
        <v>-55808.07</v>
      </c>
      <c r="H472" s="104">
        <f t="shared" si="7"/>
        <v>0</v>
      </c>
    </row>
    <row r="473" spans="3:8" x14ac:dyDescent="0.25">
      <c r="C473" t="s">
        <v>1840</v>
      </c>
      <c r="D473" s="104">
        <v>-49634.16</v>
      </c>
      <c r="E473">
        <v>0</v>
      </c>
      <c r="F473">
        <v>0</v>
      </c>
      <c r="G473" s="104">
        <v>-49634.16</v>
      </c>
      <c r="H473" s="104">
        <f t="shared" si="7"/>
        <v>0</v>
      </c>
    </row>
    <row r="474" spans="3:8" x14ac:dyDescent="0.25">
      <c r="C474" t="s">
        <v>1843</v>
      </c>
      <c r="D474" s="104">
        <v>-133662.24</v>
      </c>
      <c r="E474">
        <v>0</v>
      </c>
      <c r="F474">
        <v>0</v>
      </c>
      <c r="G474" s="104">
        <v>-133662.24</v>
      </c>
      <c r="H474" s="104">
        <f t="shared" si="7"/>
        <v>0</v>
      </c>
    </row>
    <row r="475" spans="3:8" x14ac:dyDescent="0.25">
      <c r="C475" t="s">
        <v>1814</v>
      </c>
      <c r="D475" s="104">
        <v>-95304.23</v>
      </c>
      <c r="E475">
        <v>0</v>
      </c>
      <c r="F475">
        <v>0</v>
      </c>
      <c r="G475" s="104">
        <v>-95304.23</v>
      </c>
      <c r="H475" s="104">
        <f t="shared" si="7"/>
        <v>0</v>
      </c>
    </row>
    <row r="476" spans="3:8" x14ac:dyDescent="0.25">
      <c r="C476" t="s">
        <v>1903</v>
      </c>
      <c r="D476">
        <v>0</v>
      </c>
      <c r="E476">
        <v>0</v>
      </c>
      <c r="F476" s="104">
        <v>5349.16</v>
      </c>
      <c r="G476" s="104">
        <v>-5349.16</v>
      </c>
      <c r="H476" s="104">
        <f t="shared" si="7"/>
        <v>-5349.16</v>
      </c>
    </row>
    <row r="477" spans="3:8" x14ac:dyDescent="0.25">
      <c r="C477" t="s">
        <v>1904</v>
      </c>
      <c r="D477">
        <v>0</v>
      </c>
      <c r="E477">
        <v>0</v>
      </c>
      <c r="F477" s="104">
        <v>5685.1</v>
      </c>
      <c r="G477" s="104">
        <v>-5685.1</v>
      </c>
      <c r="H477" s="104">
        <f t="shared" si="7"/>
        <v>-5685.1</v>
      </c>
    </row>
    <row r="478" spans="3:8" x14ac:dyDescent="0.25">
      <c r="C478" t="s">
        <v>1905</v>
      </c>
      <c r="D478">
        <v>0</v>
      </c>
      <c r="E478">
        <v>0</v>
      </c>
      <c r="F478" s="104">
        <v>5808.33</v>
      </c>
      <c r="G478" s="104">
        <v>-5808.33</v>
      </c>
      <c r="H478" s="104">
        <f t="shared" si="7"/>
        <v>-5808.33</v>
      </c>
    </row>
    <row r="479" spans="3:8" x14ac:dyDescent="0.25">
      <c r="C479" t="s">
        <v>1906</v>
      </c>
      <c r="D479">
        <v>0</v>
      </c>
      <c r="E479">
        <v>0</v>
      </c>
      <c r="F479" s="104">
        <v>2261.63</v>
      </c>
      <c r="G479" s="104">
        <v>-2261.63</v>
      </c>
      <c r="H479" s="104">
        <f t="shared" si="7"/>
        <v>-2261.63</v>
      </c>
    </row>
    <row r="480" spans="3:8" x14ac:dyDescent="0.25">
      <c r="C480" t="s">
        <v>1907</v>
      </c>
      <c r="D480">
        <v>0</v>
      </c>
      <c r="E480">
        <v>0</v>
      </c>
      <c r="F480" s="104">
        <v>2923.45</v>
      </c>
      <c r="G480" s="104">
        <v>-2923.45</v>
      </c>
      <c r="H480" s="104">
        <f t="shared" si="7"/>
        <v>-2923.45</v>
      </c>
    </row>
    <row r="481" spans="3:8" x14ac:dyDescent="0.25">
      <c r="C481" t="s">
        <v>1908</v>
      </c>
      <c r="D481">
        <v>0</v>
      </c>
      <c r="E481">
        <v>0</v>
      </c>
      <c r="F481" s="104">
        <v>2448.92</v>
      </c>
      <c r="G481" s="104">
        <v>-2448.92</v>
      </c>
      <c r="H481" s="104">
        <f t="shared" si="7"/>
        <v>-2448.92</v>
      </c>
    </row>
    <row r="482" spans="3:8" x14ac:dyDescent="0.25">
      <c r="C482" t="s">
        <v>1909</v>
      </c>
      <c r="D482">
        <v>0</v>
      </c>
      <c r="E482">
        <v>0</v>
      </c>
      <c r="F482">
        <v>641.41999999999996</v>
      </c>
      <c r="G482">
        <v>-641.41999999999996</v>
      </c>
      <c r="H482" s="104">
        <f t="shared" si="7"/>
        <v>-641.41999999999996</v>
      </c>
    </row>
    <row r="483" spans="3:8" x14ac:dyDescent="0.25">
      <c r="C483" t="s">
        <v>1910</v>
      </c>
      <c r="D483">
        <v>0</v>
      </c>
      <c r="E483">
        <v>0</v>
      </c>
      <c r="F483" s="104">
        <v>7179.13</v>
      </c>
      <c r="G483" s="104">
        <v>-7179.13</v>
      </c>
      <c r="H483" s="104">
        <f t="shared" si="7"/>
        <v>-7179.13</v>
      </c>
    </row>
    <row r="484" spans="3:8" x14ac:dyDescent="0.25">
      <c r="C484" t="s">
        <v>1912</v>
      </c>
      <c r="D484">
        <v>0</v>
      </c>
      <c r="E484">
        <v>0</v>
      </c>
      <c r="F484" s="104">
        <v>1343.48</v>
      </c>
      <c r="G484" s="104">
        <v>-1343.48</v>
      </c>
      <c r="H484" s="104">
        <f t="shared" si="7"/>
        <v>-1343.48</v>
      </c>
    </row>
    <row r="485" spans="3:8" x14ac:dyDescent="0.25">
      <c r="C485" t="s">
        <v>1913</v>
      </c>
      <c r="D485">
        <v>0</v>
      </c>
      <c r="E485">
        <v>0</v>
      </c>
      <c r="F485" s="104">
        <v>3662.45</v>
      </c>
      <c r="G485" s="104">
        <v>-3662.45</v>
      </c>
      <c r="H485" s="104">
        <f t="shared" si="7"/>
        <v>-3662.45</v>
      </c>
    </row>
    <row r="486" spans="3:8" x14ac:dyDescent="0.25">
      <c r="C486" t="s">
        <v>1914</v>
      </c>
      <c r="D486">
        <v>0</v>
      </c>
      <c r="E486">
        <v>0</v>
      </c>
      <c r="F486" s="104">
        <v>3351.39</v>
      </c>
      <c r="G486" s="104">
        <v>-3351.39</v>
      </c>
      <c r="H486" s="104">
        <f t="shared" si="7"/>
        <v>-3351.39</v>
      </c>
    </row>
    <row r="487" spans="3:8" x14ac:dyDescent="0.25">
      <c r="C487" t="s">
        <v>1915</v>
      </c>
      <c r="D487">
        <v>0</v>
      </c>
      <c r="E487">
        <v>0</v>
      </c>
      <c r="F487" s="104">
        <v>6175.54</v>
      </c>
      <c r="G487" s="104">
        <v>-6175.54</v>
      </c>
      <c r="H487" s="104">
        <f t="shared" si="7"/>
        <v>-6175.54</v>
      </c>
    </row>
    <row r="488" spans="3:8" x14ac:dyDescent="0.25">
      <c r="C488" t="s">
        <v>1916</v>
      </c>
      <c r="D488">
        <v>0</v>
      </c>
      <c r="E488">
        <v>0</v>
      </c>
      <c r="F488">
        <v>272.07</v>
      </c>
      <c r="G488">
        <v>-272.07</v>
      </c>
      <c r="H488" s="104">
        <f t="shared" si="7"/>
        <v>-272.07</v>
      </c>
    </row>
    <row r="489" spans="3:8" x14ac:dyDescent="0.25">
      <c r="C489" t="s">
        <v>1918</v>
      </c>
      <c r="D489">
        <v>0</v>
      </c>
      <c r="E489">
        <v>0</v>
      </c>
      <c r="F489" s="104">
        <v>7809.99</v>
      </c>
      <c r="G489" s="104">
        <v>-7809.99</v>
      </c>
      <c r="H489" s="104">
        <f t="shared" si="7"/>
        <v>-7809.99</v>
      </c>
    </row>
    <row r="490" spans="3:8" x14ac:dyDescent="0.25">
      <c r="C490" t="s">
        <v>1919</v>
      </c>
      <c r="D490">
        <v>0</v>
      </c>
      <c r="E490">
        <v>0</v>
      </c>
      <c r="F490" s="104">
        <v>3946.28</v>
      </c>
      <c r="G490" s="104">
        <v>-3946.28</v>
      </c>
      <c r="H490" s="104">
        <f t="shared" si="7"/>
        <v>-3946.28</v>
      </c>
    </row>
    <row r="491" spans="3:8" x14ac:dyDescent="0.25">
      <c r="C491" t="s">
        <v>1920</v>
      </c>
      <c r="D491">
        <v>0</v>
      </c>
      <c r="E491">
        <v>0</v>
      </c>
      <c r="F491" s="104">
        <v>3551.02</v>
      </c>
      <c r="G491" s="104">
        <v>-3551.02</v>
      </c>
      <c r="H491" s="104">
        <f t="shared" si="7"/>
        <v>-3551.02</v>
      </c>
    </row>
    <row r="492" spans="3:8" x14ac:dyDescent="0.25">
      <c r="C492" t="s">
        <v>1921</v>
      </c>
      <c r="D492">
        <v>0</v>
      </c>
      <c r="E492">
        <v>0</v>
      </c>
      <c r="F492" s="104">
        <v>8624.83</v>
      </c>
      <c r="G492" s="104">
        <v>-8624.83</v>
      </c>
      <c r="H492" s="104">
        <f t="shared" si="7"/>
        <v>-8624.83</v>
      </c>
    </row>
    <row r="493" spans="3:8" x14ac:dyDescent="0.25">
      <c r="C493" t="s">
        <v>1922</v>
      </c>
      <c r="D493">
        <v>0</v>
      </c>
      <c r="E493">
        <v>0</v>
      </c>
      <c r="F493">
        <v>734.17</v>
      </c>
      <c r="G493">
        <v>-734.17</v>
      </c>
      <c r="H493" s="104">
        <f t="shared" si="7"/>
        <v>-734.17</v>
      </c>
    </row>
    <row r="494" spans="3:8" x14ac:dyDescent="0.25">
      <c r="C494" t="s">
        <v>1923</v>
      </c>
      <c r="D494">
        <v>0</v>
      </c>
      <c r="E494">
        <v>0</v>
      </c>
      <c r="F494">
        <v>209.07</v>
      </c>
      <c r="G494">
        <v>-209.07</v>
      </c>
      <c r="H494" s="104">
        <f t="shared" si="7"/>
        <v>-209.07</v>
      </c>
    </row>
    <row r="495" spans="3:8" x14ac:dyDescent="0.25">
      <c r="C495" t="s">
        <v>1924</v>
      </c>
      <c r="D495">
        <v>0</v>
      </c>
      <c r="E495">
        <v>0</v>
      </c>
      <c r="F495" s="104">
        <v>5190.5600000000004</v>
      </c>
      <c r="G495" s="104">
        <v>-5190.5600000000004</v>
      </c>
      <c r="H495" s="104">
        <f t="shared" si="7"/>
        <v>-5190.5600000000004</v>
      </c>
    </row>
    <row r="496" spans="3:8" x14ac:dyDescent="0.25">
      <c r="C496" t="s">
        <v>1925</v>
      </c>
      <c r="D496">
        <v>0</v>
      </c>
      <c r="E496">
        <v>0</v>
      </c>
      <c r="F496" s="104">
        <v>20353.39</v>
      </c>
      <c r="G496" s="104">
        <v>-20353.39</v>
      </c>
      <c r="H496" s="104">
        <f t="shared" si="7"/>
        <v>-20353.39</v>
      </c>
    </row>
    <row r="497" spans="3:8" x14ac:dyDescent="0.25">
      <c r="C497" t="s">
        <v>1926</v>
      </c>
      <c r="D497">
        <v>0</v>
      </c>
      <c r="E497">
        <v>0</v>
      </c>
      <c r="F497" s="104">
        <v>2959.49</v>
      </c>
      <c r="G497" s="104">
        <v>-2959.49</v>
      </c>
      <c r="H497" s="104">
        <f t="shared" si="7"/>
        <v>-2959.49</v>
      </c>
    </row>
    <row r="498" spans="3:8" x14ac:dyDescent="0.25">
      <c r="C498" t="s">
        <v>1927</v>
      </c>
      <c r="D498">
        <v>0</v>
      </c>
      <c r="E498">
        <v>0</v>
      </c>
      <c r="F498">
        <v>821.21</v>
      </c>
      <c r="G498">
        <v>-821.21</v>
      </c>
      <c r="H498" s="104">
        <f t="shared" si="7"/>
        <v>-821.21</v>
      </c>
    </row>
    <row r="499" spans="3:8" x14ac:dyDescent="0.25">
      <c r="C499" t="s">
        <v>1928</v>
      </c>
      <c r="D499">
        <v>0</v>
      </c>
      <c r="E499">
        <v>0</v>
      </c>
      <c r="F499" s="104">
        <v>1321.98</v>
      </c>
      <c r="G499" s="104">
        <v>-1321.98</v>
      </c>
      <c r="H499" s="104">
        <f t="shared" si="7"/>
        <v>-1321.98</v>
      </c>
    </row>
    <row r="500" spans="3:8" x14ac:dyDescent="0.25">
      <c r="C500" t="s">
        <v>1929</v>
      </c>
      <c r="D500">
        <v>0</v>
      </c>
      <c r="E500">
        <v>0</v>
      </c>
      <c r="F500" s="104">
        <v>2553.79</v>
      </c>
      <c r="G500" s="104">
        <v>-2553.79</v>
      </c>
      <c r="H500" s="104">
        <f t="shared" si="7"/>
        <v>-2553.79</v>
      </c>
    </row>
    <row r="501" spans="3:8" x14ac:dyDescent="0.25">
      <c r="C501" t="s">
        <v>1930</v>
      </c>
      <c r="D501">
        <v>0</v>
      </c>
      <c r="E501">
        <v>0</v>
      </c>
      <c r="F501" s="104">
        <v>2228.38</v>
      </c>
      <c r="G501" s="104">
        <v>-2228.38</v>
      </c>
      <c r="H501" s="104">
        <f t="shared" si="7"/>
        <v>-2228.38</v>
      </c>
    </row>
    <row r="502" spans="3:8" x14ac:dyDescent="0.25">
      <c r="C502" t="s">
        <v>1931</v>
      </c>
      <c r="D502">
        <v>0</v>
      </c>
      <c r="E502">
        <v>0</v>
      </c>
      <c r="F502">
        <v>522.19000000000005</v>
      </c>
      <c r="G502">
        <v>-522.19000000000005</v>
      </c>
      <c r="H502" s="104">
        <f t="shared" si="7"/>
        <v>-522.19000000000005</v>
      </c>
    </row>
    <row r="503" spans="3:8" x14ac:dyDescent="0.25">
      <c r="C503" t="s">
        <v>1933</v>
      </c>
      <c r="D503">
        <v>0</v>
      </c>
      <c r="E503">
        <v>0</v>
      </c>
      <c r="F503">
        <v>506.89</v>
      </c>
      <c r="G503">
        <v>-506.89</v>
      </c>
      <c r="H503" s="104">
        <f t="shared" si="7"/>
        <v>-506.89</v>
      </c>
    </row>
    <row r="504" spans="3:8" x14ac:dyDescent="0.25">
      <c r="C504" t="s">
        <v>1934</v>
      </c>
      <c r="D504">
        <v>0</v>
      </c>
      <c r="E504">
        <v>0</v>
      </c>
      <c r="F504">
        <v>120</v>
      </c>
      <c r="G504">
        <v>-120</v>
      </c>
      <c r="H504" s="104">
        <f t="shared" si="7"/>
        <v>-120</v>
      </c>
    </row>
    <row r="505" spans="3:8" x14ac:dyDescent="0.25">
      <c r="C505" t="s">
        <v>1935</v>
      </c>
      <c r="D505">
        <v>0</v>
      </c>
      <c r="E505">
        <v>0</v>
      </c>
      <c r="F505">
        <v>961.58</v>
      </c>
      <c r="G505">
        <v>-961.58</v>
      </c>
      <c r="H505" s="104">
        <f t="shared" si="7"/>
        <v>-961.58</v>
      </c>
    </row>
    <row r="506" spans="3:8" x14ac:dyDescent="0.25">
      <c r="C506" t="s">
        <v>1936</v>
      </c>
      <c r="D506">
        <v>0</v>
      </c>
      <c r="E506">
        <v>0</v>
      </c>
      <c r="F506">
        <v>105.02</v>
      </c>
      <c r="G506">
        <v>-105.02</v>
      </c>
      <c r="H506" s="104">
        <f t="shared" si="7"/>
        <v>-105.02</v>
      </c>
    </row>
    <row r="507" spans="3:8" x14ac:dyDescent="0.25">
      <c r="C507" t="s">
        <v>1937</v>
      </c>
      <c r="D507">
        <v>0</v>
      </c>
      <c r="E507">
        <v>0</v>
      </c>
      <c r="F507" s="104">
        <v>29585.98</v>
      </c>
      <c r="G507" s="104">
        <v>-29585.98</v>
      </c>
      <c r="H507" s="104">
        <f t="shared" si="7"/>
        <v>-29585.98</v>
      </c>
    </row>
    <row r="508" spans="3:8" x14ac:dyDescent="0.25">
      <c r="C508" t="s">
        <v>1938</v>
      </c>
      <c r="D508">
        <v>0</v>
      </c>
      <c r="E508">
        <v>0</v>
      </c>
      <c r="F508" s="104">
        <v>92319</v>
      </c>
      <c r="G508" s="104">
        <v>-92319</v>
      </c>
      <c r="H508" s="104">
        <f t="shared" si="7"/>
        <v>-92319</v>
      </c>
    </row>
    <row r="509" spans="3:8" x14ac:dyDescent="0.25">
      <c r="C509" t="s">
        <v>1939</v>
      </c>
      <c r="D509">
        <v>0</v>
      </c>
      <c r="E509">
        <v>0</v>
      </c>
      <c r="F509" s="104">
        <v>27218.560000000001</v>
      </c>
      <c r="G509" s="104">
        <v>-27218.560000000001</v>
      </c>
      <c r="H509" s="104">
        <f t="shared" si="7"/>
        <v>-27218.560000000001</v>
      </c>
    </row>
    <row r="510" spans="3:8" x14ac:dyDescent="0.25">
      <c r="C510" t="s">
        <v>1941</v>
      </c>
      <c r="D510">
        <v>0</v>
      </c>
      <c r="E510">
        <v>0</v>
      </c>
      <c r="F510" s="104">
        <v>11020.21</v>
      </c>
      <c r="G510" s="104">
        <v>-11020.21</v>
      </c>
      <c r="H510" s="104">
        <f t="shared" si="7"/>
        <v>-11020.21</v>
      </c>
    </row>
    <row r="511" spans="3:8" x14ac:dyDescent="0.25">
      <c r="C511" t="s">
        <v>1942</v>
      </c>
      <c r="D511">
        <v>0</v>
      </c>
      <c r="E511">
        <v>0</v>
      </c>
      <c r="F511" s="104">
        <v>2925.86</v>
      </c>
      <c r="G511" s="104">
        <v>-2925.86</v>
      </c>
      <c r="H511" s="104">
        <f t="shared" si="7"/>
        <v>-2925.86</v>
      </c>
    </row>
    <row r="512" spans="3:8" x14ac:dyDescent="0.25">
      <c r="C512" t="s">
        <v>1943</v>
      </c>
      <c r="D512">
        <v>0</v>
      </c>
      <c r="E512">
        <v>0</v>
      </c>
      <c r="F512" s="104">
        <v>26619.759999999998</v>
      </c>
      <c r="G512" s="104">
        <v>-26619.759999999998</v>
      </c>
      <c r="H512" s="104">
        <f t="shared" si="7"/>
        <v>-26619.759999999998</v>
      </c>
    </row>
    <row r="513" spans="2:8" x14ac:dyDescent="0.25">
      <c r="C513" t="s">
        <v>1944</v>
      </c>
      <c r="D513">
        <v>0</v>
      </c>
      <c r="E513">
        <v>0</v>
      </c>
      <c r="F513" s="104">
        <v>14916.66</v>
      </c>
      <c r="G513" s="104">
        <v>-14916.66</v>
      </c>
      <c r="H513" s="104">
        <f t="shared" si="7"/>
        <v>-14916.66</v>
      </c>
    </row>
    <row r="514" spans="2:8" x14ac:dyDescent="0.25">
      <c r="C514" t="s">
        <v>1948</v>
      </c>
      <c r="D514">
        <v>0</v>
      </c>
      <c r="E514">
        <v>0</v>
      </c>
      <c r="F514" s="104">
        <v>9000</v>
      </c>
      <c r="G514" s="104">
        <v>-9000</v>
      </c>
      <c r="H514" s="104">
        <f t="shared" si="7"/>
        <v>-9000</v>
      </c>
    </row>
    <row r="515" spans="2:8" x14ac:dyDescent="0.25">
      <c r="C515" t="s">
        <v>1949</v>
      </c>
      <c r="D515">
        <v>0</v>
      </c>
      <c r="E515">
        <v>0</v>
      </c>
      <c r="F515" s="104">
        <v>9000</v>
      </c>
      <c r="G515" s="104">
        <v>-9000</v>
      </c>
      <c r="H515" s="104">
        <f t="shared" si="7"/>
        <v>-9000</v>
      </c>
    </row>
    <row r="516" spans="2:8" x14ac:dyDescent="0.25">
      <c r="C516" t="s">
        <v>1950</v>
      </c>
      <c r="D516">
        <v>0</v>
      </c>
      <c r="E516">
        <v>0</v>
      </c>
      <c r="F516" s="104">
        <v>2000</v>
      </c>
      <c r="G516" s="104">
        <v>-2000</v>
      </c>
      <c r="H516" s="104">
        <f t="shared" ref="H516:H579" si="8">G516-D516</f>
        <v>-2000</v>
      </c>
    </row>
    <row r="517" spans="2:8" x14ac:dyDescent="0.25">
      <c r="C517" t="s">
        <v>1951</v>
      </c>
      <c r="D517">
        <v>0</v>
      </c>
      <c r="E517">
        <v>0</v>
      </c>
      <c r="F517" s="104">
        <v>20000</v>
      </c>
      <c r="G517" s="104">
        <v>-20000</v>
      </c>
      <c r="H517" s="104">
        <f t="shared" si="8"/>
        <v>-20000</v>
      </c>
    </row>
    <row r="518" spans="2:8" x14ac:dyDescent="0.25">
      <c r="C518" t="s">
        <v>1953</v>
      </c>
      <c r="D518">
        <v>0</v>
      </c>
      <c r="E518">
        <v>0</v>
      </c>
      <c r="F518">
        <v>318.60000000000002</v>
      </c>
      <c r="G518">
        <v>-318.60000000000002</v>
      </c>
      <c r="H518" s="104">
        <f t="shared" si="8"/>
        <v>-318.60000000000002</v>
      </c>
    </row>
    <row r="519" spans="2:8" x14ac:dyDescent="0.25">
      <c r="C519" t="s">
        <v>1962</v>
      </c>
      <c r="D519">
        <v>0</v>
      </c>
      <c r="E519">
        <v>0</v>
      </c>
      <c r="F519">
        <v>392.5</v>
      </c>
      <c r="G519">
        <v>-392.5</v>
      </c>
      <c r="H519" s="104">
        <f t="shared" si="8"/>
        <v>-392.5</v>
      </c>
    </row>
    <row r="520" spans="2:8" x14ac:dyDescent="0.25">
      <c r="C520" t="s">
        <v>1773</v>
      </c>
      <c r="D520">
        <v>0</v>
      </c>
      <c r="E520">
        <v>0</v>
      </c>
      <c r="F520" s="104">
        <v>4494.6400000000003</v>
      </c>
      <c r="G520" s="104">
        <v>-4494.6400000000003</v>
      </c>
      <c r="H520" s="104">
        <f t="shared" si="8"/>
        <v>-4494.6400000000003</v>
      </c>
    </row>
    <row r="521" spans="2:8" x14ac:dyDescent="0.25">
      <c r="C521" t="s">
        <v>1971</v>
      </c>
      <c r="D521">
        <v>0</v>
      </c>
      <c r="E521">
        <v>0</v>
      </c>
      <c r="F521">
        <v>535.71</v>
      </c>
      <c r="G521">
        <v>-535.71</v>
      </c>
      <c r="H521" s="104">
        <f t="shared" si="8"/>
        <v>-535.71</v>
      </c>
    </row>
    <row r="522" spans="2:8" x14ac:dyDescent="0.25">
      <c r="C522" t="s">
        <v>1847</v>
      </c>
      <c r="D522" s="104">
        <v>-273177.71999999997</v>
      </c>
      <c r="E522">
        <v>0</v>
      </c>
      <c r="F522">
        <v>0</v>
      </c>
      <c r="G522" s="104">
        <v>-273177.71999999997</v>
      </c>
      <c r="H522" s="104">
        <f t="shared" si="8"/>
        <v>0</v>
      </c>
    </row>
    <row r="523" spans="2:8" x14ac:dyDescent="0.25">
      <c r="C523" t="s">
        <v>1973</v>
      </c>
      <c r="D523">
        <v>0</v>
      </c>
      <c r="E523">
        <v>0</v>
      </c>
      <c r="F523" s="104">
        <v>5034.17</v>
      </c>
      <c r="G523" s="104">
        <v>-5034.17</v>
      </c>
      <c r="H523" s="104">
        <f t="shared" si="8"/>
        <v>-5034.17</v>
      </c>
    </row>
    <row r="524" spans="2:8" x14ac:dyDescent="0.25">
      <c r="B524" t="s">
        <v>1587</v>
      </c>
      <c r="D524" s="104">
        <v>-206313425.11000001</v>
      </c>
      <c r="E524">
        <v>0</v>
      </c>
      <c r="F524" s="104">
        <v>365619.16</v>
      </c>
      <c r="G524" s="104">
        <v>-206679044.27000001</v>
      </c>
      <c r="H524" s="832">
        <f t="shared" si="8"/>
        <v>-365619.15999999642</v>
      </c>
    </row>
    <row r="525" spans="2:8" x14ac:dyDescent="0.25">
      <c r="H525" s="104">
        <f t="shared" si="8"/>
        <v>0</v>
      </c>
    </row>
    <row r="526" spans="2:8" x14ac:dyDescent="0.25">
      <c r="B526" t="s">
        <v>1988</v>
      </c>
      <c r="C526" t="s">
        <v>152</v>
      </c>
      <c r="H526" s="104">
        <f t="shared" si="8"/>
        <v>0</v>
      </c>
    </row>
    <row r="527" spans="2:8" x14ac:dyDescent="0.25">
      <c r="C527" t="s">
        <v>1759</v>
      </c>
      <c r="D527" s="104">
        <v>-145400120.56</v>
      </c>
      <c r="E527">
        <v>0</v>
      </c>
      <c r="F527">
        <v>0</v>
      </c>
      <c r="G527" s="104">
        <v>-145400120.56</v>
      </c>
      <c r="H527" s="104">
        <f t="shared" si="8"/>
        <v>0</v>
      </c>
    </row>
    <row r="528" spans="2:8" x14ac:dyDescent="0.25">
      <c r="C528" t="s">
        <v>1989</v>
      </c>
      <c r="D528" s="104">
        <v>-7520000</v>
      </c>
      <c r="E528">
        <v>0</v>
      </c>
      <c r="F528">
        <v>0</v>
      </c>
      <c r="G528" s="104">
        <v>-7520000</v>
      </c>
      <c r="H528" s="104">
        <f t="shared" si="8"/>
        <v>0</v>
      </c>
    </row>
    <row r="529" spans="2:8" x14ac:dyDescent="0.25">
      <c r="C529" t="s">
        <v>1760</v>
      </c>
      <c r="D529" s="104">
        <v>-159222120.63999999</v>
      </c>
      <c r="E529">
        <v>0</v>
      </c>
      <c r="F529">
        <v>0</v>
      </c>
      <c r="G529" s="104">
        <v>-159222120.63999999</v>
      </c>
      <c r="H529" s="104">
        <f t="shared" si="8"/>
        <v>0</v>
      </c>
    </row>
    <row r="530" spans="2:8" x14ac:dyDescent="0.25">
      <c r="C530" t="s">
        <v>1990</v>
      </c>
      <c r="D530" s="104">
        <v>-113602007.5</v>
      </c>
      <c r="E530">
        <v>0</v>
      </c>
      <c r="F530">
        <v>0</v>
      </c>
      <c r="G530" s="104">
        <v>-113602007.5</v>
      </c>
      <c r="H530" s="104">
        <f t="shared" si="8"/>
        <v>0</v>
      </c>
    </row>
    <row r="531" spans="2:8" x14ac:dyDescent="0.25">
      <c r="C531" t="s">
        <v>1776</v>
      </c>
      <c r="D531" s="104">
        <v>-8550175.2799999993</v>
      </c>
      <c r="E531">
        <v>0</v>
      </c>
      <c r="F531">
        <v>0</v>
      </c>
      <c r="G531" s="104">
        <v>-8550175.2799999993</v>
      </c>
      <c r="H531" s="104">
        <f t="shared" si="8"/>
        <v>0</v>
      </c>
    </row>
    <row r="532" spans="2:8" x14ac:dyDescent="0.25">
      <c r="C532" t="s">
        <v>1991</v>
      </c>
      <c r="D532" s="104">
        <v>-13239.84</v>
      </c>
      <c r="E532">
        <v>0</v>
      </c>
      <c r="F532">
        <v>0</v>
      </c>
      <c r="G532" s="104">
        <v>-13239.84</v>
      </c>
      <c r="H532" s="104">
        <f t="shared" si="8"/>
        <v>0</v>
      </c>
    </row>
    <row r="533" spans="2:8" x14ac:dyDescent="0.25">
      <c r="C533" t="s">
        <v>1992</v>
      </c>
      <c r="D533" s="104">
        <v>-85259269.159999996</v>
      </c>
      <c r="E533">
        <v>0</v>
      </c>
      <c r="F533">
        <v>0</v>
      </c>
      <c r="G533" s="104">
        <v>-85259269.159999996</v>
      </c>
      <c r="H533" s="104">
        <f t="shared" si="8"/>
        <v>0</v>
      </c>
    </row>
    <row r="534" spans="2:8" x14ac:dyDescent="0.25">
      <c r="C534" t="s">
        <v>1766</v>
      </c>
      <c r="D534" s="104">
        <v>-2538432.14</v>
      </c>
      <c r="E534">
        <v>0</v>
      </c>
      <c r="F534">
        <v>0</v>
      </c>
      <c r="G534" s="104">
        <v>-2538432.14</v>
      </c>
      <c r="H534" s="104">
        <f t="shared" si="8"/>
        <v>0</v>
      </c>
    </row>
    <row r="535" spans="2:8" x14ac:dyDescent="0.25">
      <c r="C535" t="s">
        <v>1993</v>
      </c>
      <c r="D535" s="104">
        <v>-492571857.00999999</v>
      </c>
      <c r="E535">
        <v>0</v>
      </c>
      <c r="F535">
        <v>0</v>
      </c>
      <c r="G535" s="104">
        <v>-492571857.00999999</v>
      </c>
      <c r="H535" s="104">
        <f t="shared" si="8"/>
        <v>0</v>
      </c>
    </row>
    <row r="536" spans="2:8" x14ac:dyDescent="0.25">
      <c r="C536" t="s">
        <v>1994</v>
      </c>
      <c r="D536" s="104">
        <v>-2942181.33</v>
      </c>
      <c r="E536">
        <v>0</v>
      </c>
      <c r="F536">
        <v>0</v>
      </c>
      <c r="G536" s="104">
        <v>-2942181.33</v>
      </c>
      <c r="H536" s="104">
        <f t="shared" si="8"/>
        <v>0</v>
      </c>
    </row>
    <row r="537" spans="2:8" x14ac:dyDescent="0.25">
      <c r="C537" t="s">
        <v>1995</v>
      </c>
      <c r="D537" s="104">
        <v>-380508.57</v>
      </c>
      <c r="E537">
        <v>0</v>
      </c>
      <c r="F537">
        <v>0</v>
      </c>
      <c r="G537" s="104">
        <v>-380508.57</v>
      </c>
      <c r="H537" s="104">
        <f t="shared" si="8"/>
        <v>0</v>
      </c>
    </row>
    <row r="538" spans="2:8" x14ac:dyDescent="0.25">
      <c r="C538" t="s">
        <v>1996</v>
      </c>
      <c r="D538" s="104">
        <v>-1188834.25</v>
      </c>
      <c r="E538">
        <v>0</v>
      </c>
      <c r="F538">
        <v>0</v>
      </c>
      <c r="G538" s="104">
        <v>-1188834.25</v>
      </c>
      <c r="H538" s="104">
        <f t="shared" si="8"/>
        <v>0</v>
      </c>
    </row>
    <row r="539" spans="2:8" x14ac:dyDescent="0.25">
      <c r="C539" t="s">
        <v>1997</v>
      </c>
      <c r="D539" s="104">
        <v>-1155932.3400000001</v>
      </c>
      <c r="E539">
        <v>0</v>
      </c>
      <c r="F539">
        <v>0</v>
      </c>
      <c r="G539" s="104">
        <v>-1155932.3400000001</v>
      </c>
      <c r="H539" s="104">
        <f t="shared" si="8"/>
        <v>0</v>
      </c>
    </row>
    <row r="540" spans="2:8" x14ac:dyDescent="0.25">
      <c r="C540" t="s">
        <v>1998</v>
      </c>
      <c r="D540" s="104">
        <v>13239.84</v>
      </c>
      <c r="E540">
        <v>0</v>
      </c>
      <c r="F540">
        <v>0</v>
      </c>
      <c r="G540" s="104">
        <v>13239.84</v>
      </c>
      <c r="H540" s="104">
        <f t="shared" si="8"/>
        <v>0</v>
      </c>
    </row>
    <row r="541" spans="2:8" x14ac:dyDescent="0.25">
      <c r="B541" t="s">
        <v>1587</v>
      </c>
      <c r="D541" s="104">
        <v>-1020331438.78</v>
      </c>
      <c r="E541">
        <v>0</v>
      </c>
      <c r="F541">
        <v>0</v>
      </c>
      <c r="G541" s="104">
        <v>-1020331438.78</v>
      </c>
      <c r="H541" s="104">
        <f t="shared" si="8"/>
        <v>0</v>
      </c>
    </row>
    <row r="542" spans="2:8" x14ac:dyDescent="0.25">
      <c r="H542" s="104"/>
    </row>
    <row r="543" spans="2:8" x14ac:dyDescent="0.25">
      <c r="B543" t="s">
        <v>1999</v>
      </c>
      <c r="C543" t="s">
        <v>2000</v>
      </c>
      <c r="H543" s="104"/>
    </row>
    <row r="544" spans="2:8" x14ac:dyDescent="0.25">
      <c r="B544" t="s">
        <v>2001</v>
      </c>
      <c r="C544" t="s">
        <v>80</v>
      </c>
      <c r="H544" s="104"/>
    </row>
    <row r="545" spans="3:8" x14ac:dyDescent="0.25">
      <c r="C545" t="s">
        <v>1827</v>
      </c>
      <c r="D545" s="104">
        <v>-520000</v>
      </c>
      <c r="E545">
        <v>0</v>
      </c>
      <c r="F545">
        <v>0</v>
      </c>
      <c r="G545" s="104">
        <v>-520000</v>
      </c>
      <c r="H545" s="104">
        <f t="shared" si="8"/>
        <v>0</v>
      </c>
    </row>
    <row r="546" spans="3:8" x14ac:dyDescent="0.25">
      <c r="C546" t="s">
        <v>1828</v>
      </c>
      <c r="D546">
        <v>0</v>
      </c>
      <c r="E546">
        <v>0</v>
      </c>
      <c r="F546">
        <v>0</v>
      </c>
      <c r="G546">
        <v>0</v>
      </c>
      <c r="H546" s="104">
        <f t="shared" si="8"/>
        <v>0</v>
      </c>
    </row>
    <row r="547" spans="3:8" x14ac:dyDescent="0.25">
      <c r="C547" t="s">
        <v>1768</v>
      </c>
      <c r="D547" s="104">
        <v>-9203757.6999999993</v>
      </c>
      <c r="E547">
        <v>0</v>
      </c>
      <c r="F547">
        <v>0</v>
      </c>
      <c r="G547" s="104">
        <v>-9203757.6999999993</v>
      </c>
      <c r="H547" s="104">
        <f t="shared" si="8"/>
        <v>0</v>
      </c>
    </row>
    <row r="548" spans="3:8" x14ac:dyDescent="0.25">
      <c r="C548" t="s">
        <v>1829</v>
      </c>
      <c r="D548" s="104">
        <v>-2693035.71</v>
      </c>
      <c r="E548">
        <v>0</v>
      </c>
      <c r="F548">
        <v>0</v>
      </c>
      <c r="G548" s="104">
        <v>-2693035.71</v>
      </c>
      <c r="H548" s="104">
        <f t="shared" si="8"/>
        <v>0</v>
      </c>
    </row>
    <row r="549" spans="3:8" x14ac:dyDescent="0.25">
      <c r="C549" t="s">
        <v>1831</v>
      </c>
      <c r="D549" s="104">
        <v>-120167.61</v>
      </c>
      <c r="E549">
        <v>0</v>
      </c>
      <c r="F549">
        <v>0</v>
      </c>
      <c r="G549" s="104">
        <v>-120167.61</v>
      </c>
      <c r="H549" s="104">
        <f t="shared" si="8"/>
        <v>0</v>
      </c>
    </row>
    <row r="550" spans="3:8" x14ac:dyDescent="0.25">
      <c r="C550" t="s">
        <v>1832</v>
      </c>
      <c r="D550" s="104">
        <v>-12838.97</v>
      </c>
      <c r="E550">
        <v>0</v>
      </c>
      <c r="F550">
        <v>0</v>
      </c>
      <c r="G550" s="104">
        <v>-12838.97</v>
      </c>
      <c r="H550" s="104">
        <f t="shared" si="8"/>
        <v>0</v>
      </c>
    </row>
    <row r="551" spans="3:8" x14ac:dyDescent="0.25">
      <c r="C551" t="s">
        <v>1833</v>
      </c>
      <c r="D551" s="104">
        <v>-106531.38</v>
      </c>
      <c r="E551">
        <v>0</v>
      </c>
      <c r="F551">
        <v>0</v>
      </c>
      <c r="G551" s="104">
        <v>-106531.38</v>
      </c>
      <c r="H551" s="104">
        <f t="shared" si="8"/>
        <v>0</v>
      </c>
    </row>
    <row r="552" spans="3:8" x14ac:dyDescent="0.25">
      <c r="C552" t="s">
        <v>1762</v>
      </c>
      <c r="D552">
        <v>0.04</v>
      </c>
      <c r="E552">
        <v>0</v>
      </c>
      <c r="F552">
        <v>0</v>
      </c>
      <c r="G552">
        <v>0.04</v>
      </c>
      <c r="H552" s="104">
        <f t="shared" si="8"/>
        <v>0</v>
      </c>
    </row>
    <row r="553" spans="3:8" x14ac:dyDescent="0.25">
      <c r="C553" t="s">
        <v>1834</v>
      </c>
      <c r="D553" s="104">
        <v>-5078316</v>
      </c>
      <c r="E553">
        <v>0</v>
      </c>
      <c r="F553">
        <v>0</v>
      </c>
      <c r="G553" s="104">
        <v>-5078316</v>
      </c>
      <c r="H553" s="104">
        <f t="shared" si="8"/>
        <v>0</v>
      </c>
    </row>
    <row r="554" spans="3:8" x14ac:dyDescent="0.25">
      <c r="C554" t="s">
        <v>1836</v>
      </c>
      <c r="D554" s="104">
        <v>-94344.35</v>
      </c>
      <c r="E554">
        <v>0</v>
      </c>
      <c r="F554">
        <v>0</v>
      </c>
      <c r="G554" s="104">
        <v>-94344.35</v>
      </c>
      <c r="H554" s="104">
        <f t="shared" si="8"/>
        <v>0</v>
      </c>
    </row>
    <row r="555" spans="3:8" x14ac:dyDescent="0.25">
      <c r="C555" t="s">
        <v>1837</v>
      </c>
      <c r="D555" s="104">
        <v>-124181.81</v>
      </c>
      <c r="E555">
        <v>0</v>
      </c>
      <c r="F555">
        <v>0</v>
      </c>
      <c r="G555" s="104">
        <v>-124181.81</v>
      </c>
      <c r="H555" s="104">
        <f t="shared" si="8"/>
        <v>0</v>
      </c>
    </row>
    <row r="556" spans="3:8" x14ac:dyDescent="0.25">
      <c r="C556" t="s">
        <v>1838</v>
      </c>
      <c r="D556" s="104">
        <v>-186346</v>
      </c>
      <c r="E556">
        <v>0</v>
      </c>
      <c r="F556">
        <v>0</v>
      </c>
      <c r="G556" s="104">
        <v>-186346</v>
      </c>
      <c r="H556" s="104">
        <f t="shared" si="8"/>
        <v>0</v>
      </c>
    </row>
    <row r="557" spans="3:8" x14ac:dyDescent="0.25">
      <c r="C557" t="s">
        <v>1839</v>
      </c>
      <c r="D557" s="104">
        <v>-56036.17</v>
      </c>
      <c r="E557">
        <v>0</v>
      </c>
      <c r="F557">
        <v>0</v>
      </c>
      <c r="G557" s="104">
        <v>-56036.17</v>
      </c>
      <c r="H557" s="104">
        <f t="shared" si="8"/>
        <v>0</v>
      </c>
    </row>
    <row r="558" spans="3:8" x14ac:dyDescent="0.25">
      <c r="C558" t="s">
        <v>1843</v>
      </c>
      <c r="D558" s="104">
        <v>-157565.21</v>
      </c>
      <c r="E558">
        <v>0</v>
      </c>
      <c r="F558">
        <v>0</v>
      </c>
      <c r="G558" s="104">
        <v>-157565.21</v>
      </c>
      <c r="H558" s="104">
        <f t="shared" si="8"/>
        <v>0</v>
      </c>
    </row>
    <row r="559" spans="3:8" x14ac:dyDescent="0.25">
      <c r="C559" t="s">
        <v>1847</v>
      </c>
      <c r="D559" s="104">
        <v>-2930135.96</v>
      </c>
      <c r="E559">
        <v>0</v>
      </c>
      <c r="F559">
        <v>0</v>
      </c>
      <c r="G559" s="104">
        <v>-2930135.96</v>
      </c>
      <c r="H559" s="104">
        <f t="shared" si="8"/>
        <v>0</v>
      </c>
    </row>
    <row r="560" spans="3:8" x14ac:dyDescent="0.25">
      <c r="C560" t="s">
        <v>1821</v>
      </c>
      <c r="D560" s="104">
        <v>-2782</v>
      </c>
      <c r="E560">
        <v>0</v>
      </c>
      <c r="F560">
        <v>0</v>
      </c>
      <c r="G560" s="104">
        <v>-2782</v>
      </c>
      <c r="H560" s="104">
        <f t="shared" si="8"/>
        <v>0</v>
      </c>
    </row>
    <row r="561" spans="2:8" x14ac:dyDescent="0.25">
      <c r="C561" t="s">
        <v>1824</v>
      </c>
      <c r="D561" s="104">
        <v>-818261.58</v>
      </c>
      <c r="E561">
        <v>0</v>
      </c>
      <c r="F561" s="104">
        <v>241002.21</v>
      </c>
      <c r="G561" s="104">
        <v>-1059263.79</v>
      </c>
      <c r="H561" s="104">
        <f t="shared" si="8"/>
        <v>-241002.21000000008</v>
      </c>
    </row>
    <row r="562" spans="2:8" x14ac:dyDescent="0.25">
      <c r="C562" t="s">
        <v>1826</v>
      </c>
      <c r="D562" s="104">
        <v>-3850787.45</v>
      </c>
      <c r="E562">
        <v>0</v>
      </c>
      <c r="F562" s="104">
        <v>171564.74</v>
      </c>
      <c r="G562" s="104">
        <v>-4022352.19</v>
      </c>
      <c r="H562" s="104">
        <f t="shared" si="8"/>
        <v>-171564.73999999976</v>
      </c>
    </row>
    <row r="563" spans="2:8" x14ac:dyDescent="0.25">
      <c r="C563" t="s">
        <v>1857</v>
      </c>
      <c r="D563" s="104">
        <v>-35529.64</v>
      </c>
      <c r="E563">
        <v>0</v>
      </c>
      <c r="F563">
        <v>0</v>
      </c>
      <c r="G563" s="104">
        <v>-35529.64</v>
      </c>
      <c r="H563" s="104">
        <f t="shared" si="8"/>
        <v>0</v>
      </c>
    </row>
    <row r="564" spans="2:8" x14ac:dyDescent="0.25">
      <c r="C564" t="s">
        <v>1840</v>
      </c>
      <c r="D564" s="104">
        <v>-272203.59999999998</v>
      </c>
      <c r="E564">
        <v>0</v>
      </c>
      <c r="F564">
        <v>0</v>
      </c>
      <c r="G564" s="104">
        <v>-272203.59999999998</v>
      </c>
      <c r="H564" s="104">
        <f t="shared" si="8"/>
        <v>0</v>
      </c>
    </row>
    <row r="565" spans="2:8" x14ac:dyDescent="0.25">
      <c r="C565" t="s">
        <v>1841</v>
      </c>
      <c r="D565" s="104">
        <v>-18733.47</v>
      </c>
      <c r="E565">
        <v>0</v>
      </c>
      <c r="F565">
        <v>0</v>
      </c>
      <c r="G565" s="104">
        <v>-18733.47</v>
      </c>
      <c r="H565" s="104">
        <f t="shared" si="8"/>
        <v>0</v>
      </c>
    </row>
    <row r="566" spans="2:8" x14ac:dyDescent="0.25">
      <c r="C566" t="s">
        <v>1846</v>
      </c>
      <c r="D566">
        <v>0</v>
      </c>
      <c r="E566">
        <v>0</v>
      </c>
      <c r="F566" s="104">
        <v>26532.23</v>
      </c>
      <c r="G566" s="104">
        <v>-26532.23</v>
      </c>
      <c r="H566" s="104">
        <f t="shared" si="8"/>
        <v>-26532.23</v>
      </c>
    </row>
    <row r="567" spans="2:8" x14ac:dyDescent="0.25">
      <c r="C567" t="s">
        <v>1849</v>
      </c>
      <c r="D567" s="104">
        <v>-2377889.16</v>
      </c>
      <c r="E567">
        <v>0</v>
      </c>
      <c r="F567" s="104">
        <v>1050522.49</v>
      </c>
      <c r="G567" s="104">
        <v>-3428411.65</v>
      </c>
      <c r="H567" s="104">
        <f t="shared" si="8"/>
        <v>-1050522.4899999998</v>
      </c>
    </row>
    <row r="568" spans="2:8" x14ac:dyDescent="0.25">
      <c r="C568" t="s">
        <v>1852</v>
      </c>
      <c r="D568" s="104">
        <v>-570984.4</v>
      </c>
      <c r="E568">
        <v>0</v>
      </c>
      <c r="F568">
        <v>0</v>
      </c>
      <c r="G568" s="104">
        <v>-570984.4</v>
      </c>
      <c r="H568" s="104">
        <f t="shared" si="8"/>
        <v>0</v>
      </c>
    </row>
    <row r="569" spans="2:8" x14ac:dyDescent="0.25">
      <c r="C569" t="s">
        <v>1870</v>
      </c>
      <c r="D569" s="104">
        <v>-1593336.33</v>
      </c>
      <c r="E569">
        <v>0</v>
      </c>
      <c r="F569" s="104">
        <v>658458.78</v>
      </c>
      <c r="G569" s="104">
        <v>-2251795.11</v>
      </c>
      <c r="H569" s="104">
        <f t="shared" si="8"/>
        <v>-658458.7799999998</v>
      </c>
    </row>
    <row r="570" spans="2:8" x14ac:dyDescent="0.25">
      <c r="B570" t="s">
        <v>1587</v>
      </c>
      <c r="D570" s="104">
        <v>-30823764.460000001</v>
      </c>
      <c r="E570">
        <v>0</v>
      </c>
      <c r="F570" s="104">
        <v>2148080.4500000002</v>
      </c>
      <c r="G570" s="104">
        <v>-32971844.91</v>
      </c>
      <c r="H570" s="832">
        <f t="shared" si="8"/>
        <v>-2148080.4499999993</v>
      </c>
    </row>
    <row r="571" spans="2:8" x14ac:dyDescent="0.25">
      <c r="H571" s="104"/>
    </row>
    <row r="572" spans="2:8" x14ac:dyDescent="0.25">
      <c r="B572">
        <v>10301050</v>
      </c>
      <c r="C572" t="s">
        <v>2002</v>
      </c>
      <c r="D572" s="104">
        <v>81372204.769999996</v>
      </c>
      <c r="E572" s="104">
        <v>108228352.18000001</v>
      </c>
      <c r="F572" s="104">
        <v>98397400.939999998</v>
      </c>
      <c r="G572" s="104">
        <v>91203156.010000005</v>
      </c>
      <c r="H572" s="104">
        <f t="shared" si="8"/>
        <v>9830951.2400000095</v>
      </c>
    </row>
    <row r="573" spans="2:8" x14ac:dyDescent="0.25">
      <c r="B573" t="s">
        <v>2003</v>
      </c>
      <c r="C573" t="s">
        <v>89</v>
      </c>
      <c r="H573" s="104">
        <f t="shared" si="8"/>
        <v>0</v>
      </c>
    </row>
    <row r="574" spans="2:8" x14ac:dyDescent="0.25">
      <c r="C574" t="s">
        <v>2004</v>
      </c>
      <c r="D574" s="104">
        <v>4902503.9000000004</v>
      </c>
      <c r="E574" s="104">
        <v>75632622.739999995</v>
      </c>
      <c r="F574" s="104">
        <v>1764.69</v>
      </c>
      <c r="G574" s="104">
        <v>80533361.950000003</v>
      </c>
      <c r="H574" s="104">
        <f t="shared" si="8"/>
        <v>75630858.049999997</v>
      </c>
    </row>
    <row r="575" spans="2:8" x14ac:dyDescent="0.25">
      <c r="C575" t="s">
        <v>1796</v>
      </c>
      <c r="D575" s="104">
        <v>19977859.199999999</v>
      </c>
      <c r="E575" s="104">
        <v>4611148.33</v>
      </c>
      <c r="F575" s="104">
        <v>5404374.1600000001</v>
      </c>
      <c r="G575" s="104">
        <v>19184633.370000001</v>
      </c>
      <c r="H575" s="104">
        <f t="shared" si="8"/>
        <v>-793225.82999999821</v>
      </c>
    </row>
    <row r="576" spans="2:8" x14ac:dyDescent="0.25">
      <c r="C576" t="s">
        <v>1797</v>
      </c>
      <c r="D576" s="104">
        <v>38095896.640000001</v>
      </c>
      <c r="E576" s="104">
        <v>5512686.96</v>
      </c>
      <c r="F576" s="104">
        <v>6460914.5199999996</v>
      </c>
      <c r="G576" s="104">
        <v>37147669.079999998</v>
      </c>
      <c r="H576" s="104">
        <f t="shared" si="8"/>
        <v>-948227.56000000238</v>
      </c>
    </row>
    <row r="577" spans="2:8" x14ac:dyDescent="0.25">
      <c r="C577" t="s">
        <v>1798</v>
      </c>
      <c r="D577" s="104">
        <v>94548.58</v>
      </c>
      <c r="E577" s="104">
        <v>16938.990000000002</v>
      </c>
      <c r="F577" s="104">
        <v>19851.32</v>
      </c>
      <c r="G577" s="104">
        <v>91636.25</v>
      </c>
      <c r="H577" s="104">
        <f t="shared" si="8"/>
        <v>-2912.3300000000017</v>
      </c>
    </row>
    <row r="578" spans="2:8" x14ac:dyDescent="0.25">
      <c r="C578" t="s">
        <v>2005</v>
      </c>
      <c r="D578">
        <v>0</v>
      </c>
      <c r="E578" s="104">
        <v>55514.400000000001</v>
      </c>
      <c r="F578" s="104">
        <v>55514.400000000001</v>
      </c>
      <c r="G578">
        <v>0</v>
      </c>
      <c r="H578" s="104">
        <f t="shared" si="8"/>
        <v>0</v>
      </c>
    </row>
    <row r="579" spans="2:8" x14ac:dyDescent="0.25">
      <c r="C579" t="s">
        <v>1745</v>
      </c>
      <c r="D579" s="104">
        <v>1335317.8</v>
      </c>
      <c r="E579">
        <v>0</v>
      </c>
      <c r="F579" s="104">
        <v>30560.2</v>
      </c>
      <c r="G579" s="104">
        <v>1304757.6000000001</v>
      </c>
      <c r="H579" s="104">
        <f t="shared" si="8"/>
        <v>-30560.199999999953</v>
      </c>
    </row>
    <row r="580" spans="2:8" x14ac:dyDescent="0.25">
      <c r="C580" t="s">
        <v>1742</v>
      </c>
      <c r="D580">
        <v>0</v>
      </c>
      <c r="E580">
        <v>0</v>
      </c>
      <c r="F580">
        <v>0</v>
      </c>
      <c r="G580">
        <v>0</v>
      </c>
      <c r="H580" s="104">
        <f t="shared" ref="H580:H643" si="9">G580-D580</f>
        <v>0</v>
      </c>
    </row>
    <row r="581" spans="2:8" x14ac:dyDescent="0.25">
      <c r="C581" t="s">
        <v>1724</v>
      </c>
      <c r="D581" s="104">
        <v>-14700215.560000001</v>
      </c>
      <c r="E581">
        <v>0</v>
      </c>
      <c r="F581" s="104">
        <v>28888942.649999999</v>
      </c>
      <c r="G581" s="104">
        <v>-43589158.210000001</v>
      </c>
      <c r="H581" s="104">
        <f t="shared" si="9"/>
        <v>-28888942.649999999</v>
      </c>
    </row>
    <row r="582" spans="2:8" x14ac:dyDescent="0.25">
      <c r="C582" t="s">
        <v>1735</v>
      </c>
      <c r="D582">
        <v>0</v>
      </c>
      <c r="E582">
        <v>0</v>
      </c>
      <c r="F582" s="104">
        <v>541022.87</v>
      </c>
      <c r="G582" s="104">
        <v>-541022.87</v>
      </c>
      <c r="H582" s="104">
        <f t="shared" si="9"/>
        <v>-541022.87</v>
      </c>
    </row>
    <row r="583" spans="2:8" x14ac:dyDescent="0.25">
      <c r="C583" t="s">
        <v>1736</v>
      </c>
      <c r="D583" s="104">
        <v>-6773915.7800000003</v>
      </c>
      <c r="E583" s="104">
        <v>15672.84</v>
      </c>
      <c r="F583" s="104">
        <v>34413600.060000002</v>
      </c>
      <c r="G583" s="104">
        <v>-41171843</v>
      </c>
      <c r="H583" s="104">
        <f t="shared" si="9"/>
        <v>-34397927.219999999</v>
      </c>
    </row>
    <row r="584" spans="2:8" x14ac:dyDescent="0.25">
      <c r="C584" t="s">
        <v>1740</v>
      </c>
      <c r="D584" s="104">
        <v>-513537.59</v>
      </c>
      <c r="E584">
        <v>0</v>
      </c>
      <c r="F584" s="104">
        <v>3081126.06</v>
      </c>
      <c r="G584" s="104">
        <v>-3594663.65</v>
      </c>
      <c r="H584" s="104">
        <f t="shared" si="9"/>
        <v>-3081126.06</v>
      </c>
    </row>
    <row r="585" spans="2:8" x14ac:dyDescent="0.25">
      <c r="C585" t="s">
        <v>1743</v>
      </c>
      <c r="D585" s="104">
        <v>638183.22</v>
      </c>
      <c r="E585" s="104">
        <v>649313.89</v>
      </c>
      <c r="F585" s="104">
        <v>578966.16</v>
      </c>
      <c r="G585" s="104">
        <v>708530.95</v>
      </c>
      <c r="H585" s="104">
        <f t="shared" si="9"/>
        <v>70347.729999999981</v>
      </c>
    </row>
    <row r="586" spans="2:8" x14ac:dyDescent="0.25">
      <c r="C586" t="s">
        <v>2006</v>
      </c>
      <c r="D586">
        <v>0</v>
      </c>
      <c r="E586">
        <v>0</v>
      </c>
      <c r="F586" s="104">
        <v>217639.27</v>
      </c>
      <c r="G586" s="104">
        <v>-217639.27</v>
      </c>
      <c r="H586" s="104">
        <f t="shared" si="9"/>
        <v>-217639.27</v>
      </c>
    </row>
    <row r="587" spans="2:8" x14ac:dyDescent="0.25">
      <c r="C587" t="s">
        <v>1738</v>
      </c>
      <c r="D587" s="104">
        <v>2004579.66</v>
      </c>
      <c r="E587" s="104">
        <v>20985535.460000001</v>
      </c>
      <c r="F587" s="104">
        <v>16657813.01</v>
      </c>
      <c r="G587" s="104">
        <v>6332302.1100000003</v>
      </c>
      <c r="H587" s="104">
        <f t="shared" si="9"/>
        <v>4327722.45</v>
      </c>
    </row>
    <row r="588" spans="2:8" x14ac:dyDescent="0.25">
      <c r="C588" t="s">
        <v>1726</v>
      </c>
      <c r="D588">
        <v>0</v>
      </c>
      <c r="E588">
        <v>0</v>
      </c>
      <c r="F588" s="104">
        <v>1757588.53</v>
      </c>
      <c r="G588" s="104">
        <v>-1757588.53</v>
      </c>
      <c r="H588" s="104">
        <f t="shared" si="9"/>
        <v>-1757588.53</v>
      </c>
    </row>
    <row r="589" spans="2:8" x14ac:dyDescent="0.25">
      <c r="C589" t="s">
        <v>1744</v>
      </c>
      <c r="D589">
        <v>0</v>
      </c>
      <c r="E589" s="104">
        <v>137643.1</v>
      </c>
      <c r="F589" s="104">
        <v>287723.03999999998</v>
      </c>
      <c r="G589" s="104">
        <v>-150079.94</v>
      </c>
      <c r="H589" s="104">
        <f t="shared" si="9"/>
        <v>-150079.94</v>
      </c>
    </row>
    <row r="590" spans="2:8" x14ac:dyDescent="0.25">
      <c r="B590" t="s">
        <v>1587</v>
      </c>
      <c r="D590" s="104">
        <v>45061220.07</v>
      </c>
      <c r="E590" s="104">
        <v>107617076.70999999</v>
      </c>
      <c r="F590" s="104">
        <v>98397400.939999998</v>
      </c>
      <c r="G590" s="104">
        <v>54280895.840000004</v>
      </c>
      <c r="H590" s="832">
        <f t="shared" si="9"/>
        <v>9219675.7700000033</v>
      </c>
    </row>
    <row r="591" spans="2:8" x14ac:dyDescent="0.25">
      <c r="H591" s="104">
        <f t="shared" si="9"/>
        <v>0</v>
      </c>
    </row>
    <row r="592" spans="2:8" x14ac:dyDescent="0.25">
      <c r="B592" t="s">
        <v>2007</v>
      </c>
      <c r="C592" t="s">
        <v>92</v>
      </c>
      <c r="H592" s="104">
        <f t="shared" si="9"/>
        <v>0</v>
      </c>
    </row>
    <row r="593" spans="2:8" x14ac:dyDescent="0.25">
      <c r="C593" t="s">
        <v>1765</v>
      </c>
      <c r="D593" s="104">
        <v>642159.91</v>
      </c>
      <c r="E593">
        <v>0</v>
      </c>
      <c r="F593">
        <v>0</v>
      </c>
      <c r="G593" s="104">
        <v>642159.91</v>
      </c>
      <c r="H593" s="104">
        <f t="shared" si="9"/>
        <v>0</v>
      </c>
    </row>
    <row r="594" spans="2:8" x14ac:dyDescent="0.25">
      <c r="C594" t="s">
        <v>1768</v>
      </c>
      <c r="D594" s="104">
        <v>11380295.960000001</v>
      </c>
      <c r="E594">
        <v>0</v>
      </c>
      <c r="F594">
        <v>0</v>
      </c>
      <c r="G594" s="104">
        <v>11380295.960000001</v>
      </c>
      <c r="H594" s="104">
        <f t="shared" si="9"/>
        <v>0</v>
      </c>
    </row>
    <row r="595" spans="2:8" x14ac:dyDescent="0.25">
      <c r="C595" t="s">
        <v>1769</v>
      </c>
      <c r="D595" s="104">
        <v>4077263.28</v>
      </c>
      <c r="E595">
        <v>0</v>
      </c>
      <c r="F595">
        <v>0</v>
      </c>
      <c r="G595" s="104">
        <v>4077263.28</v>
      </c>
      <c r="H595" s="104">
        <f t="shared" si="9"/>
        <v>0</v>
      </c>
    </row>
    <row r="596" spans="2:8" x14ac:dyDescent="0.25">
      <c r="C596" t="s">
        <v>1959</v>
      </c>
      <c r="D596" s="104">
        <v>1789912.16</v>
      </c>
      <c r="E596">
        <v>0</v>
      </c>
      <c r="F596">
        <v>0</v>
      </c>
      <c r="G596" s="104">
        <v>1789912.16</v>
      </c>
      <c r="H596" s="104">
        <f t="shared" si="9"/>
        <v>0</v>
      </c>
    </row>
    <row r="597" spans="2:8" x14ac:dyDescent="0.25">
      <c r="C597" t="s">
        <v>1772</v>
      </c>
      <c r="D597" s="104">
        <v>2219182.54</v>
      </c>
      <c r="E597">
        <v>0</v>
      </c>
      <c r="F597">
        <v>0</v>
      </c>
      <c r="G597" s="104">
        <v>2219182.54</v>
      </c>
      <c r="H597" s="104">
        <f t="shared" si="9"/>
        <v>0</v>
      </c>
    </row>
    <row r="598" spans="2:8" x14ac:dyDescent="0.25">
      <c r="C598" t="s">
        <v>1784</v>
      </c>
      <c r="D598" s="104">
        <v>209745</v>
      </c>
      <c r="E598" s="104">
        <v>324393.75</v>
      </c>
      <c r="F598">
        <v>0</v>
      </c>
      <c r="G598" s="104">
        <v>534138.75</v>
      </c>
      <c r="H598" s="104">
        <f t="shared" si="9"/>
        <v>324393.75</v>
      </c>
    </row>
    <row r="599" spans="2:8" x14ac:dyDescent="0.25">
      <c r="C599" t="s">
        <v>1756</v>
      </c>
      <c r="D599" s="104">
        <v>15992425.85</v>
      </c>
      <c r="E599" s="104">
        <v>286881.71999999997</v>
      </c>
      <c r="F599">
        <v>0</v>
      </c>
      <c r="G599" s="104">
        <v>16279307.57</v>
      </c>
      <c r="H599" s="104">
        <f t="shared" si="9"/>
        <v>286881.72000000067</v>
      </c>
    </row>
    <row r="600" spans="2:8" x14ac:dyDescent="0.25">
      <c r="B600" t="s">
        <v>1587</v>
      </c>
      <c r="D600" s="104">
        <v>36310984.700000003</v>
      </c>
      <c r="E600" s="104">
        <v>611275.47</v>
      </c>
      <c r="F600">
        <v>0</v>
      </c>
      <c r="G600" s="104">
        <v>36922260.170000002</v>
      </c>
      <c r="H600" s="832">
        <f t="shared" si="9"/>
        <v>611275.46999999881</v>
      </c>
    </row>
    <row r="601" spans="2:8" x14ac:dyDescent="0.25">
      <c r="H601" s="104"/>
    </row>
    <row r="602" spans="2:8" x14ac:dyDescent="0.25">
      <c r="B602" t="s">
        <v>2008</v>
      </c>
      <c r="C602" t="s">
        <v>2009</v>
      </c>
      <c r="H602" s="104"/>
    </row>
    <row r="603" spans="2:8" x14ac:dyDescent="0.25">
      <c r="B603">
        <v>10301051</v>
      </c>
      <c r="C603" t="s">
        <v>94</v>
      </c>
      <c r="H603" s="104"/>
    </row>
    <row r="604" spans="2:8" x14ac:dyDescent="0.25">
      <c r="C604" t="s">
        <v>1765</v>
      </c>
      <c r="D604" s="104">
        <v>-642159.91</v>
      </c>
      <c r="E604">
        <v>0</v>
      </c>
      <c r="F604">
        <v>0</v>
      </c>
      <c r="G604" s="104">
        <v>-642159.91</v>
      </c>
      <c r="H604" s="104">
        <f t="shared" si="9"/>
        <v>0</v>
      </c>
    </row>
    <row r="605" spans="2:8" x14ac:dyDescent="0.25">
      <c r="C605" t="s">
        <v>1768</v>
      </c>
      <c r="D605" s="104">
        <v>-11380295.960000001</v>
      </c>
      <c r="E605">
        <v>0</v>
      </c>
      <c r="F605">
        <v>0</v>
      </c>
      <c r="G605" s="104">
        <v>-11380295.960000001</v>
      </c>
      <c r="H605" s="104">
        <f t="shared" si="9"/>
        <v>0</v>
      </c>
    </row>
    <row r="606" spans="2:8" x14ac:dyDescent="0.25">
      <c r="C606" t="s">
        <v>1769</v>
      </c>
      <c r="D606" s="104">
        <v>-4077263.28</v>
      </c>
      <c r="E606">
        <v>0</v>
      </c>
      <c r="F606">
        <v>0</v>
      </c>
      <c r="G606" s="104">
        <v>-4077263.28</v>
      </c>
      <c r="H606" s="104">
        <f t="shared" si="9"/>
        <v>0</v>
      </c>
    </row>
    <row r="607" spans="2:8" x14ac:dyDescent="0.25">
      <c r="C607" t="s">
        <v>1959</v>
      </c>
      <c r="D607" s="104">
        <v>-1789912.16</v>
      </c>
      <c r="E607">
        <v>0</v>
      </c>
      <c r="F607">
        <v>0</v>
      </c>
      <c r="G607" s="104">
        <v>-1789912.16</v>
      </c>
      <c r="H607" s="104">
        <f t="shared" si="9"/>
        <v>0</v>
      </c>
    </row>
    <row r="608" spans="2:8" x14ac:dyDescent="0.25">
      <c r="C608" t="s">
        <v>1772</v>
      </c>
      <c r="D608" s="104">
        <v>-2219182.54</v>
      </c>
      <c r="E608">
        <v>0</v>
      </c>
      <c r="F608">
        <v>0</v>
      </c>
      <c r="G608" s="104">
        <v>-2219182.54</v>
      </c>
      <c r="H608" s="104">
        <f t="shared" si="9"/>
        <v>0</v>
      </c>
    </row>
    <row r="609" spans="2:8" x14ac:dyDescent="0.25">
      <c r="B609" t="s">
        <v>1587</v>
      </c>
      <c r="D609" s="104">
        <v>-20108813.850000001</v>
      </c>
      <c r="E609">
        <v>0</v>
      </c>
      <c r="F609">
        <v>0</v>
      </c>
      <c r="G609" s="104">
        <v>-20108813.850000001</v>
      </c>
      <c r="H609" s="832">
        <f t="shared" si="9"/>
        <v>0</v>
      </c>
    </row>
    <row r="610" spans="2:8" x14ac:dyDescent="0.25">
      <c r="H610" s="104"/>
    </row>
    <row r="611" spans="2:8" x14ac:dyDescent="0.25">
      <c r="B611">
        <v>10301070</v>
      </c>
      <c r="C611" t="s">
        <v>2010</v>
      </c>
      <c r="D611" s="104">
        <v>1115088321.3199999</v>
      </c>
      <c r="E611">
        <v>0</v>
      </c>
      <c r="F611">
        <v>0</v>
      </c>
      <c r="G611" s="104">
        <v>1115088321.3199999</v>
      </c>
      <c r="H611" s="832">
        <f t="shared" si="9"/>
        <v>0</v>
      </c>
    </row>
    <row r="612" spans="2:8" x14ac:dyDescent="0.25">
      <c r="B612" t="s">
        <v>2011</v>
      </c>
      <c r="C612" t="s">
        <v>74</v>
      </c>
      <c r="H612" s="104"/>
    </row>
    <row r="613" spans="2:8" x14ac:dyDescent="0.25">
      <c r="C613" t="s">
        <v>1784</v>
      </c>
      <c r="D613" s="104">
        <v>13500000</v>
      </c>
      <c r="E613">
        <v>0</v>
      </c>
      <c r="F613">
        <v>0</v>
      </c>
      <c r="G613" s="104">
        <v>13500000</v>
      </c>
      <c r="H613" s="104">
        <f t="shared" si="9"/>
        <v>0</v>
      </c>
    </row>
    <row r="614" spans="2:8" x14ac:dyDescent="0.25">
      <c r="B614" t="s">
        <v>1587</v>
      </c>
      <c r="D614" s="104">
        <v>13500000</v>
      </c>
      <c r="E614">
        <v>0</v>
      </c>
      <c r="F614">
        <v>0</v>
      </c>
      <c r="G614" s="104">
        <v>13500000</v>
      </c>
      <c r="H614" s="832">
        <f t="shared" si="9"/>
        <v>0</v>
      </c>
    </row>
    <row r="615" spans="2:8" x14ac:dyDescent="0.25">
      <c r="H615" s="104"/>
    </row>
    <row r="616" spans="2:8" x14ac:dyDescent="0.25">
      <c r="B616" t="s">
        <v>2012</v>
      </c>
      <c r="C616" t="s">
        <v>84</v>
      </c>
      <c r="H616" s="104"/>
    </row>
    <row r="617" spans="2:8" x14ac:dyDescent="0.25">
      <c r="C617" t="s">
        <v>1759</v>
      </c>
      <c r="D617" s="104">
        <v>478648109.88999999</v>
      </c>
      <c r="E617">
        <v>0</v>
      </c>
      <c r="F617">
        <v>0</v>
      </c>
      <c r="G617" s="104">
        <v>478648109.88999999</v>
      </c>
      <c r="H617" s="104">
        <f t="shared" si="9"/>
        <v>0</v>
      </c>
    </row>
    <row r="618" spans="2:8" x14ac:dyDescent="0.25">
      <c r="C618" t="s">
        <v>1760</v>
      </c>
      <c r="D618" s="104">
        <v>158478869.00999999</v>
      </c>
      <c r="E618">
        <v>0</v>
      </c>
      <c r="F618">
        <v>0</v>
      </c>
      <c r="G618" s="104">
        <v>158478869.00999999</v>
      </c>
      <c r="H618" s="104">
        <f t="shared" si="9"/>
        <v>0</v>
      </c>
    </row>
    <row r="619" spans="2:8" x14ac:dyDescent="0.25">
      <c r="C619" t="s">
        <v>1765</v>
      </c>
      <c r="D619" s="104">
        <v>825060</v>
      </c>
      <c r="E619">
        <v>0</v>
      </c>
      <c r="F619">
        <v>0</v>
      </c>
      <c r="G619" s="104">
        <v>825060</v>
      </c>
      <c r="H619" s="104">
        <f t="shared" si="9"/>
        <v>0</v>
      </c>
    </row>
    <row r="620" spans="2:8" x14ac:dyDescent="0.25">
      <c r="C620" t="s">
        <v>1766</v>
      </c>
      <c r="D620" s="104">
        <v>10192000.02</v>
      </c>
      <c r="E620">
        <v>0</v>
      </c>
      <c r="F620">
        <v>0</v>
      </c>
      <c r="G620" s="104">
        <v>10192000.02</v>
      </c>
      <c r="H620" s="104">
        <f t="shared" si="9"/>
        <v>0</v>
      </c>
    </row>
    <row r="621" spans="2:8" x14ac:dyDescent="0.25">
      <c r="C621" t="s">
        <v>1993</v>
      </c>
      <c r="D621" s="104">
        <v>44212316</v>
      </c>
      <c r="E621">
        <v>0</v>
      </c>
      <c r="F621">
        <v>0</v>
      </c>
      <c r="G621" s="104">
        <v>44212316</v>
      </c>
      <c r="H621" s="104">
        <f t="shared" si="9"/>
        <v>0</v>
      </c>
    </row>
    <row r="622" spans="2:8" x14ac:dyDescent="0.25">
      <c r="C622" t="s">
        <v>1768</v>
      </c>
      <c r="D622" s="104">
        <v>291795254.39999998</v>
      </c>
      <c r="E622">
        <v>0</v>
      </c>
      <c r="F622">
        <v>0</v>
      </c>
      <c r="G622" s="104">
        <v>291795254.39999998</v>
      </c>
      <c r="H622" s="104">
        <f t="shared" si="9"/>
        <v>0</v>
      </c>
    </row>
    <row r="623" spans="2:8" x14ac:dyDescent="0.25">
      <c r="C623" t="s">
        <v>1772</v>
      </c>
      <c r="D623" s="104">
        <v>13000000</v>
      </c>
      <c r="E623">
        <v>0</v>
      </c>
      <c r="F623">
        <v>0</v>
      </c>
      <c r="G623" s="104">
        <v>13000000</v>
      </c>
      <c r="H623" s="104">
        <f t="shared" si="9"/>
        <v>0</v>
      </c>
    </row>
    <row r="624" spans="2:8" x14ac:dyDescent="0.25">
      <c r="C624" t="s">
        <v>1756</v>
      </c>
      <c r="D624" s="104">
        <v>56660401</v>
      </c>
      <c r="E624">
        <v>0</v>
      </c>
      <c r="F624">
        <v>0</v>
      </c>
      <c r="G624" s="104">
        <v>56660401</v>
      </c>
      <c r="H624" s="104">
        <f t="shared" si="9"/>
        <v>0</v>
      </c>
    </row>
    <row r="625" spans="2:8" x14ac:dyDescent="0.25">
      <c r="C625" t="s">
        <v>1769</v>
      </c>
      <c r="D625" s="104">
        <v>32763071.16</v>
      </c>
      <c r="E625">
        <v>0</v>
      </c>
      <c r="F625">
        <v>0</v>
      </c>
      <c r="G625" s="104">
        <v>32763071.16</v>
      </c>
      <c r="H625" s="104">
        <f t="shared" si="9"/>
        <v>0</v>
      </c>
    </row>
    <row r="626" spans="2:8" x14ac:dyDescent="0.25">
      <c r="C626" t="s">
        <v>1959</v>
      </c>
      <c r="D626" s="104">
        <v>15000000</v>
      </c>
      <c r="E626">
        <v>0</v>
      </c>
      <c r="F626">
        <v>0</v>
      </c>
      <c r="G626" s="104">
        <v>15000000</v>
      </c>
      <c r="H626" s="104">
        <f t="shared" si="9"/>
        <v>0</v>
      </c>
    </row>
    <row r="627" spans="2:8" x14ac:dyDescent="0.25">
      <c r="C627" t="s">
        <v>1998</v>
      </c>
      <c r="D627" s="104">
        <v>13239.84</v>
      </c>
      <c r="E627">
        <v>0</v>
      </c>
      <c r="F627">
        <v>0</v>
      </c>
      <c r="G627" s="104">
        <v>13239.84</v>
      </c>
      <c r="H627" s="104">
        <f t="shared" si="9"/>
        <v>0</v>
      </c>
    </row>
    <row r="628" spans="2:8" x14ac:dyDescent="0.25">
      <c r="B628" t="s">
        <v>1587</v>
      </c>
      <c r="D628" s="104">
        <v>1101588321.3199999</v>
      </c>
      <c r="E628">
        <v>0</v>
      </c>
      <c r="F628">
        <v>0</v>
      </c>
      <c r="G628" s="104">
        <v>1101588321.3199999</v>
      </c>
      <c r="H628" s="832">
        <f t="shared" si="9"/>
        <v>0</v>
      </c>
    </row>
    <row r="629" spans="2:8" x14ac:dyDescent="0.25">
      <c r="H629" s="104"/>
    </row>
    <row r="630" spans="2:8" x14ac:dyDescent="0.25">
      <c r="B630" t="s">
        <v>2013</v>
      </c>
      <c r="C630" t="s">
        <v>2014</v>
      </c>
      <c r="H630" s="104"/>
    </row>
    <row r="631" spans="2:8" x14ac:dyDescent="0.25">
      <c r="B631">
        <v>10301071</v>
      </c>
      <c r="C631" t="s">
        <v>2015</v>
      </c>
      <c r="D631" s="104">
        <v>-1044927920.3200001</v>
      </c>
      <c r="E631">
        <v>0</v>
      </c>
      <c r="F631">
        <v>0</v>
      </c>
      <c r="G631" s="104">
        <v>-1044927920.3200001</v>
      </c>
      <c r="H631" s="104">
        <f t="shared" si="9"/>
        <v>0</v>
      </c>
    </row>
    <row r="632" spans="2:8" x14ac:dyDescent="0.25">
      <c r="B632" t="s">
        <v>2016</v>
      </c>
      <c r="C632" t="s">
        <v>76</v>
      </c>
      <c r="H632" s="104">
        <f t="shared" si="9"/>
        <v>0</v>
      </c>
    </row>
    <row r="633" spans="2:8" x14ac:dyDescent="0.25">
      <c r="B633" t="s">
        <v>2017</v>
      </c>
      <c r="C633" t="s">
        <v>2018</v>
      </c>
      <c r="H633" s="104">
        <f t="shared" si="9"/>
        <v>0</v>
      </c>
    </row>
    <row r="634" spans="2:8" x14ac:dyDescent="0.25">
      <c r="C634" t="s">
        <v>1759</v>
      </c>
      <c r="D634" s="104">
        <v>-478648109.88999999</v>
      </c>
      <c r="E634">
        <v>0</v>
      </c>
      <c r="F634">
        <v>0</v>
      </c>
      <c r="G634" s="104">
        <v>-478648109.88999999</v>
      </c>
      <c r="H634" s="104">
        <f t="shared" si="9"/>
        <v>0</v>
      </c>
    </row>
    <row r="635" spans="2:8" x14ac:dyDescent="0.25">
      <c r="C635" t="s">
        <v>1760</v>
      </c>
      <c r="D635" s="104">
        <v>-158478869.00999999</v>
      </c>
      <c r="E635">
        <v>0</v>
      </c>
      <c r="F635">
        <v>0</v>
      </c>
      <c r="G635" s="104">
        <v>-158478869.00999999</v>
      </c>
      <c r="H635" s="104">
        <f t="shared" si="9"/>
        <v>0</v>
      </c>
    </row>
    <row r="636" spans="2:8" x14ac:dyDescent="0.25">
      <c r="C636" t="s">
        <v>1765</v>
      </c>
      <c r="D636" s="104">
        <v>-825060</v>
      </c>
      <c r="E636">
        <v>0</v>
      </c>
      <c r="F636">
        <v>0</v>
      </c>
      <c r="G636" s="104">
        <v>-825060</v>
      </c>
      <c r="H636" s="104">
        <f t="shared" si="9"/>
        <v>0</v>
      </c>
    </row>
    <row r="637" spans="2:8" x14ac:dyDescent="0.25">
      <c r="C637" t="s">
        <v>1766</v>
      </c>
      <c r="D637" s="104">
        <v>-10192000.02</v>
      </c>
      <c r="E637">
        <v>0</v>
      </c>
      <c r="F637">
        <v>0</v>
      </c>
      <c r="G637" s="104">
        <v>-10192000.02</v>
      </c>
      <c r="H637" s="104">
        <f t="shared" si="9"/>
        <v>0</v>
      </c>
    </row>
    <row r="638" spans="2:8" x14ac:dyDescent="0.25">
      <c r="C638" t="s">
        <v>1993</v>
      </c>
      <c r="D638" s="104">
        <v>-44212316</v>
      </c>
      <c r="E638">
        <v>0</v>
      </c>
      <c r="F638">
        <v>0</v>
      </c>
      <c r="G638" s="104">
        <v>-44212316</v>
      </c>
      <c r="H638" s="104">
        <f t="shared" si="9"/>
        <v>0</v>
      </c>
    </row>
    <row r="639" spans="2:8" x14ac:dyDescent="0.25">
      <c r="C639" t="s">
        <v>1768</v>
      </c>
      <c r="D639" s="104">
        <v>-291795254.39999998</v>
      </c>
      <c r="E639">
        <v>0</v>
      </c>
      <c r="F639">
        <v>0</v>
      </c>
      <c r="G639" s="104">
        <v>-291795254.39999998</v>
      </c>
      <c r="H639" s="104">
        <f t="shared" si="9"/>
        <v>0</v>
      </c>
    </row>
    <row r="640" spans="2:8" x14ac:dyDescent="0.25">
      <c r="C640" t="s">
        <v>1769</v>
      </c>
      <c r="D640" s="104">
        <v>-32763071.16</v>
      </c>
      <c r="E640">
        <v>0</v>
      </c>
      <c r="F640">
        <v>0</v>
      </c>
      <c r="G640" s="104">
        <v>-32763071.16</v>
      </c>
      <c r="H640" s="104">
        <f t="shared" si="9"/>
        <v>0</v>
      </c>
    </row>
    <row r="641" spans="2:8" x14ac:dyDescent="0.25">
      <c r="C641" t="s">
        <v>1959</v>
      </c>
      <c r="D641" s="104">
        <v>-15000000</v>
      </c>
      <c r="E641">
        <v>0</v>
      </c>
      <c r="F641">
        <v>0</v>
      </c>
      <c r="G641" s="104">
        <v>-15000000</v>
      </c>
      <c r="H641" s="104">
        <f t="shared" si="9"/>
        <v>0</v>
      </c>
    </row>
    <row r="642" spans="2:8" x14ac:dyDescent="0.25">
      <c r="C642" t="s">
        <v>1772</v>
      </c>
      <c r="D642" s="104">
        <v>-13000000</v>
      </c>
      <c r="E642">
        <v>0</v>
      </c>
      <c r="F642">
        <v>0</v>
      </c>
      <c r="G642" s="104">
        <v>-13000000</v>
      </c>
      <c r="H642" s="104">
        <f t="shared" si="9"/>
        <v>0</v>
      </c>
    </row>
    <row r="643" spans="2:8" x14ac:dyDescent="0.25">
      <c r="C643" t="s">
        <v>1998</v>
      </c>
      <c r="D643" s="104">
        <v>-13239.84</v>
      </c>
      <c r="E643">
        <v>0</v>
      </c>
      <c r="F643">
        <v>0</v>
      </c>
      <c r="G643" s="104">
        <v>-13239.84</v>
      </c>
      <c r="H643" s="104">
        <f t="shared" si="9"/>
        <v>0</v>
      </c>
    </row>
    <row r="644" spans="2:8" x14ac:dyDescent="0.25">
      <c r="B644" t="s">
        <v>1587</v>
      </c>
      <c r="D644" s="104">
        <v>-1044927920.3200001</v>
      </c>
      <c r="E644">
        <v>0</v>
      </c>
      <c r="F644">
        <v>0</v>
      </c>
      <c r="G644" s="104">
        <v>-1044927920.3200001</v>
      </c>
      <c r="H644" s="832">
        <f t="shared" ref="H644:H707" si="10">G644-D644</f>
        <v>0</v>
      </c>
    </row>
    <row r="645" spans="2:8" x14ac:dyDescent="0.25">
      <c r="H645" s="104"/>
    </row>
    <row r="646" spans="2:8" x14ac:dyDescent="0.25">
      <c r="B646">
        <v>10301990</v>
      </c>
      <c r="C646" t="s">
        <v>2019</v>
      </c>
      <c r="D646" s="104">
        <v>8604158.0999999996</v>
      </c>
      <c r="E646" s="104">
        <v>262400.11</v>
      </c>
      <c r="F646" s="104">
        <v>508944.89</v>
      </c>
      <c r="G646" s="104">
        <v>8357613.3200000003</v>
      </c>
      <c r="H646" s="104">
        <f t="shared" si="10"/>
        <v>-246544.77999999933</v>
      </c>
    </row>
    <row r="647" spans="2:8" x14ac:dyDescent="0.25">
      <c r="B647" t="s">
        <v>2020</v>
      </c>
      <c r="C647" t="s">
        <v>2021</v>
      </c>
      <c r="H647" s="104">
        <f t="shared" si="10"/>
        <v>0</v>
      </c>
    </row>
    <row r="648" spans="2:8" x14ac:dyDescent="0.25">
      <c r="C648" t="s">
        <v>1975</v>
      </c>
      <c r="D648">
        <v>0</v>
      </c>
      <c r="E648">
        <v>0</v>
      </c>
      <c r="F648">
        <v>0</v>
      </c>
      <c r="G648">
        <v>0</v>
      </c>
      <c r="H648" s="104">
        <f t="shared" si="10"/>
        <v>0</v>
      </c>
    </row>
    <row r="649" spans="2:8" x14ac:dyDescent="0.25">
      <c r="C649" t="s">
        <v>2022</v>
      </c>
      <c r="D649">
        <v>0</v>
      </c>
      <c r="E649">
        <v>0</v>
      </c>
      <c r="F649">
        <v>0</v>
      </c>
      <c r="G649">
        <v>0</v>
      </c>
      <c r="H649" s="104">
        <f t="shared" si="10"/>
        <v>0</v>
      </c>
    </row>
    <row r="650" spans="2:8" x14ac:dyDescent="0.25">
      <c r="C650" t="s">
        <v>1723</v>
      </c>
      <c r="D650">
        <v>0</v>
      </c>
      <c r="E650">
        <v>0</v>
      </c>
      <c r="F650">
        <v>0</v>
      </c>
      <c r="G650">
        <v>0</v>
      </c>
      <c r="H650" s="104">
        <f t="shared" si="10"/>
        <v>0</v>
      </c>
    </row>
    <row r="651" spans="2:8" x14ac:dyDescent="0.25">
      <c r="C651" t="s">
        <v>2023</v>
      </c>
      <c r="D651">
        <v>-0.01</v>
      </c>
      <c r="E651">
        <v>0.01</v>
      </c>
      <c r="F651">
        <v>0</v>
      </c>
      <c r="G651">
        <v>0</v>
      </c>
      <c r="H651" s="104">
        <f t="shared" si="10"/>
        <v>0.01</v>
      </c>
    </row>
    <row r="652" spans="2:8" x14ac:dyDescent="0.25">
      <c r="C652" t="s">
        <v>2024</v>
      </c>
      <c r="D652">
        <v>-0.01</v>
      </c>
      <c r="E652">
        <v>0.01</v>
      </c>
      <c r="F652">
        <v>0</v>
      </c>
      <c r="G652">
        <v>0</v>
      </c>
      <c r="H652" s="104">
        <f t="shared" si="10"/>
        <v>0.01</v>
      </c>
    </row>
    <row r="653" spans="2:8" x14ac:dyDescent="0.25">
      <c r="C653" t="s">
        <v>2025</v>
      </c>
      <c r="D653">
        <v>0</v>
      </c>
      <c r="E653">
        <v>0</v>
      </c>
      <c r="F653">
        <v>0</v>
      </c>
      <c r="G653">
        <v>0</v>
      </c>
      <c r="H653" s="104">
        <f t="shared" si="10"/>
        <v>0</v>
      </c>
    </row>
    <row r="654" spans="2:8" x14ac:dyDescent="0.25">
      <c r="C654" t="s">
        <v>2026</v>
      </c>
      <c r="D654">
        <v>0</v>
      </c>
      <c r="E654">
        <v>0</v>
      </c>
      <c r="F654">
        <v>0</v>
      </c>
      <c r="G654">
        <v>0</v>
      </c>
      <c r="H654" s="104">
        <f t="shared" si="10"/>
        <v>0</v>
      </c>
    </row>
    <row r="655" spans="2:8" x14ac:dyDescent="0.25">
      <c r="C655" t="s">
        <v>2027</v>
      </c>
      <c r="D655">
        <v>0</v>
      </c>
      <c r="E655">
        <v>0</v>
      </c>
      <c r="F655">
        <v>0</v>
      </c>
      <c r="G655">
        <v>0</v>
      </c>
      <c r="H655" s="104">
        <f t="shared" si="10"/>
        <v>0</v>
      </c>
    </row>
    <row r="656" spans="2:8" x14ac:dyDescent="0.25">
      <c r="C656" t="s">
        <v>1945</v>
      </c>
      <c r="D656" s="104">
        <v>14863.02</v>
      </c>
      <c r="E656">
        <v>0</v>
      </c>
      <c r="F656">
        <v>0</v>
      </c>
      <c r="G656" s="104">
        <v>14863.02</v>
      </c>
      <c r="H656" s="104">
        <f t="shared" si="10"/>
        <v>0</v>
      </c>
    </row>
    <row r="657" spans="2:8" x14ac:dyDescent="0.25">
      <c r="C657" t="s">
        <v>2028</v>
      </c>
      <c r="D657">
        <v>0</v>
      </c>
      <c r="E657">
        <v>0</v>
      </c>
      <c r="F657">
        <v>0</v>
      </c>
      <c r="G657">
        <v>0</v>
      </c>
      <c r="H657" s="104">
        <f t="shared" si="10"/>
        <v>0</v>
      </c>
    </row>
    <row r="658" spans="2:8" x14ac:dyDescent="0.25">
      <c r="C658" t="s">
        <v>1977</v>
      </c>
      <c r="D658">
        <v>0</v>
      </c>
      <c r="E658">
        <v>0</v>
      </c>
      <c r="F658">
        <v>0</v>
      </c>
      <c r="G658">
        <v>0</v>
      </c>
      <c r="H658" s="104">
        <f t="shared" si="10"/>
        <v>0</v>
      </c>
    </row>
    <row r="659" spans="2:8" x14ac:dyDescent="0.25">
      <c r="C659" t="s">
        <v>2029</v>
      </c>
      <c r="D659">
        <v>0</v>
      </c>
      <c r="E659">
        <v>0</v>
      </c>
      <c r="F659">
        <v>0</v>
      </c>
      <c r="G659">
        <v>0</v>
      </c>
      <c r="H659" s="104">
        <f t="shared" si="10"/>
        <v>0</v>
      </c>
    </row>
    <row r="660" spans="2:8" x14ac:dyDescent="0.25">
      <c r="C660" t="s">
        <v>2030</v>
      </c>
      <c r="D660">
        <v>0</v>
      </c>
      <c r="E660">
        <v>0</v>
      </c>
      <c r="F660">
        <v>0</v>
      </c>
      <c r="G660">
        <v>0</v>
      </c>
      <c r="H660" s="104">
        <f t="shared" si="10"/>
        <v>0</v>
      </c>
    </row>
    <row r="661" spans="2:8" x14ac:dyDescent="0.25">
      <c r="C661" t="s">
        <v>2031</v>
      </c>
      <c r="D661">
        <v>0</v>
      </c>
      <c r="E661">
        <v>0</v>
      </c>
      <c r="F661">
        <v>0</v>
      </c>
      <c r="G661">
        <v>0</v>
      </c>
      <c r="H661" s="104">
        <f t="shared" si="10"/>
        <v>0</v>
      </c>
    </row>
    <row r="662" spans="2:8" x14ac:dyDescent="0.25">
      <c r="C662" t="s">
        <v>2032</v>
      </c>
      <c r="D662">
        <v>0</v>
      </c>
      <c r="E662">
        <v>0</v>
      </c>
      <c r="F662">
        <v>0</v>
      </c>
      <c r="G662">
        <v>0</v>
      </c>
      <c r="H662" s="104">
        <f t="shared" si="10"/>
        <v>0</v>
      </c>
    </row>
    <row r="663" spans="2:8" x14ac:dyDescent="0.25">
      <c r="C663" t="s">
        <v>2033</v>
      </c>
      <c r="D663">
        <v>0</v>
      </c>
      <c r="E663">
        <v>0</v>
      </c>
      <c r="F663">
        <v>0</v>
      </c>
      <c r="G663">
        <v>0</v>
      </c>
      <c r="H663" s="104">
        <f t="shared" si="10"/>
        <v>0</v>
      </c>
    </row>
    <row r="664" spans="2:8" x14ac:dyDescent="0.25">
      <c r="B664" t="s">
        <v>1587</v>
      </c>
      <c r="D664" s="104">
        <v>14863</v>
      </c>
      <c r="E664">
        <v>0.02</v>
      </c>
      <c r="F664">
        <v>0</v>
      </c>
      <c r="G664" s="104">
        <v>14863.02</v>
      </c>
      <c r="H664" s="832">
        <f t="shared" si="10"/>
        <v>2.0000000000436557E-2</v>
      </c>
    </row>
    <row r="665" spans="2:8" x14ac:dyDescent="0.25">
      <c r="H665" s="104"/>
    </row>
    <row r="666" spans="2:8" x14ac:dyDescent="0.25">
      <c r="B666" t="s">
        <v>2034</v>
      </c>
      <c r="C666" t="s">
        <v>123</v>
      </c>
      <c r="H666" s="104"/>
    </row>
    <row r="667" spans="2:8" x14ac:dyDescent="0.25">
      <c r="C667" t="s">
        <v>2035</v>
      </c>
      <c r="D667">
        <v>0</v>
      </c>
      <c r="E667">
        <v>0</v>
      </c>
      <c r="F667">
        <v>0</v>
      </c>
      <c r="G667">
        <v>0</v>
      </c>
      <c r="H667" s="104">
        <f t="shared" si="10"/>
        <v>0</v>
      </c>
    </row>
    <row r="668" spans="2:8" x14ac:dyDescent="0.25">
      <c r="C668" t="s">
        <v>2030</v>
      </c>
      <c r="D668" s="104">
        <v>146339.28</v>
      </c>
      <c r="E668" s="104">
        <v>146339.28</v>
      </c>
      <c r="F668" s="104">
        <v>146339.28</v>
      </c>
      <c r="G668" s="104">
        <v>146339.28</v>
      </c>
      <c r="H668" s="104">
        <f t="shared" si="10"/>
        <v>0</v>
      </c>
    </row>
    <row r="669" spans="2:8" x14ac:dyDescent="0.25">
      <c r="C669" t="s">
        <v>1952</v>
      </c>
      <c r="D669" s="104">
        <v>27869.62</v>
      </c>
      <c r="E669" s="104">
        <v>7795.35</v>
      </c>
      <c r="F669" s="104">
        <v>35664.97</v>
      </c>
      <c r="G669">
        <v>0</v>
      </c>
      <c r="H669" s="104">
        <f t="shared" si="10"/>
        <v>-27869.62</v>
      </c>
    </row>
    <row r="670" spans="2:8" x14ac:dyDescent="0.25">
      <c r="B670" t="s">
        <v>1587</v>
      </c>
      <c r="D670" s="104">
        <v>174208.9</v>
      </c>
      <c r="E670" s="104">
        <v>154134.63</v>
      </c>
      <c r="F670" s="104">
        <v>182004.25</v>
      </c>
      <c r="G670" s="104">
        <v>146339.28</v>
      </c>
      <c r="H670" s="832">
        <f t="shared" si="10"/>
        <v>-27869.619999999995</v>
      </c>
    </row>
    <row r="671" spans="2:8" x14ac:dyDescent="0.25">
      <c r="H671" s="104"/>
    </row>
    <row r="672" spans="2:8" x14ac:dyDescent="0.25">
      <c r="B672" t="s">
        <v>2036</v>
      </c>
      <c r="C672" t="s">
        <v>119</v>
      </c>
      <c r="H672" s="104"/>
    </row>
    <row r="673" spans="3:8" x14ac:dyDescent="0.25">
      <c r="C673" t="s">
        <v>1903</v>
      </c>
      <c r="D673">
        <v>0</v>
      </c>
      <c r="E673">
        <v>0</v>
      </c>
      <c r="F673">
        <v>0</v>
      </c>
      <c r="G673">
        <v>0</v>
      </c>
      <c r="H673" s="104">
        <f t="shared" si="10"/>
        <v>0</v>
      </c>
    </row>
    <row r="674" spans="3:8" x14ac:dyDescent="0.25">
      <c r="C674" t="s">
        <v>1904</v>
      </c>
      <c r="D674">
        <v>0</v>
      </c>
      <c r="E674">
        <v>0</v>
      </c>
      <c r="F674">
        <v>0</v>
      </c>
      <c r="G674">
        <v>0</v>
      </c>
      <c r="H674" s="104">
        <f t="shared" si="10"/>
        <v>0</v>
      </c>
    </row>
    <row r="675" spans="3:8" x14ac:dyDescent="0.25">
      <c r="C675" t="s">
        <v>1915</v>
      </c>
      <c r="D675">
        <v>0</v>
      </c>
      <c r="E675">
        <v>0</v>
      </c>
      <c r="F675">
        <v>0</v>
      </c>
      <c r="G675">
        <v>0</v>
      </c>
      <c r="H675" s="104">
        <f t="shared" si="10"/>
        <v>0</v>
      </c>
    </row>
    <row r="676" spans="3:8" x14ac:dyDescent="0.25">
      <c r="C676" t="s">
        <v>1917</v>
      </c>
      <c r="D676" s="104">
        <v>37737.43</v>
      </c>
      <c r="E676" s="104">
        <v>35882.959999999999</v>
      </c>
      <c r="F676" s="104">
        <v>37740.51</v>
      </c>
      <c r="G676" s="104">
        <v>35879.879999999997</v>
      </c>
      <c r="H676" s="104">
        <f t="shared" si="10"/>
        <v>-1857.5500000000029</v>
      </c>
    </row>
    <row r="677" spans="3:8" x14ac:dyDescent="0.25">
      <c r="C677" t="s">
        <v>1918</v>
      </c>
      <c r="D677" s="104">
        <v>617282.92000000004</v>
      </c>
      <c r="E677">
        <v>0</v>
      </c>
      <c r="F677">
        <v>0</v>
      </c>
      <c r="G677" s="104">
        <v>617282.92000000004</v>
      </c>
      <c r="H677" s="104">
        <f t="shared" si="10"/>
        <v>0</v>
      </c>
    </row>
    <row r="678" spans="3:8" x14ac:dyDescent="0.25">
      <c r="C678" t="s">
        <v>1921</v>
      </c>
      <c r="D678">
        <v>0</v>
      </c>
      <c r="E678">
        <v>0</v>
      </c>
      <c r="F678">
        <v>0</v>
      </c>
      <c r="G678">
        <v>0</v>
      </c>
      <c r="H678" s="104">
        <f t="shared" si="10"/>
        <v>0</v>
      </c>
    </row>
    <row r="679" spans="3:8" x14ac:dyDescent="0.25">
      <c r="C679" t="s">
        <v>2037</v>
      </c>
      <c r="D679">
        <v>0</v>
      </c>
      <c r="E679">
        <v>0</v>
      </c>
      <c r="F679">
        <v>0</v>
      </c>
      <c r="G679">
        <v>0</v>
      </c>
      <c r="H679" s="104">
        <f t="shared" si="10"/>
        <v>0</v>
      </c>
    </row>
    <row r="680" spans="3:8" x14ac:dyDescent="0.25">
      <c r="C680" t="s">
        <v>2038</v>
      </c>
      <c r="D680">
        <v>0</v>
      </c>
      <c r="E680">
        <v>0</v>
      </c>
      <c r="F680">
        <v>0</v>
      </c>
      <c r="G680">
        <v>0</v>
      </c>
      <c r="H680" s="104">
        <f t="shared" si="10"/>
        <v>0</v>
      </c>
    </row>
    <row r="681" spans="3:8" x14ac:dyDescent="0.25">
      <c r="C681" t="s">
        <v>2039</v>
      </c>
      <c r="D681">
        <v>0</v>
      </c>
      <c r="E681">
        <v>0</v>
      </c>
      <c r="F681">
        <v>0</v>
      </c>
      <c r="G681">
        <v>0</v>
      </c>
      <c r="H681" s="104">
        <f t="shared" si="10"/>
        <v>0</v>
      </c>
    </row>
    <row r="682" spans="3:8" x14ac:dyDescent="0.25">
      <c r="C682" t="s">
        <v>2040</v>
      </c>
      <c r="D682">
        <v>0</v>
      </c>
      <c r="E682">
        <v>0</v>
      </c>
      <c r="F682">
        <v>0</v>
      </c>
      <c r="G682">
        <v>0</v>
      </c>
      <c r="H682" s="104">
        <f t="shared" si="10"/>
        <v>0</v>
      </c>
    </row>
    <row r="683" spans="3:8" x14ac:dyDescent="0.25">
      <c r="C683" t="s">
        <v>1928</v>
      </c>
      <c r="D683">
        <v>0</v>
      </c>
      <c r="E683">
        <v>0</v>
      </c>
      <c r="F683">
        <v>0</v>
      </c>
      <c r="G683">
        <v>0</v>
      </c>
      <c r="H683" s="104">
        <f t="shared" si="10"/>
        <v>0</v>
      </c>
    </row>
    <row r="684" spans="3:8" x14ac:dyDescent="0.25">
      <c r="C684" t="s">
        <v>1929</v>
      </c>
      <c r="D684">
        <v>0</v>
      </c>
      <c r="E684">
        <v>0</v>
      </c>
      <c r="F684">
        <v>0</v>
      </c>
      <c r="G684">
        <v>0</v>
      </c>
      <c r="H684" s="104">
        <f t="shared" si="10"/>
        <v>0</v>
      </c>
    </row>
    <row r="685" spans="3:8" x14ac:dyDescent="0.25">
      <c r="C685" t="s">
        <v>1932</v>
      </c>
      <c r="D685">
        <v>0</v>
      </c>
      <c r="E685" s="104">
        <v>38690.61</v>
      </c>
      <c r="F685" s="104">
        <v>8612.15</v>
      </c>
      <c r="G685" s="104">
        <v>30078.46</v>
      </c>
      <c r="H685" s="104">
        <f t="shared" si="10"/>
        <v>30078.46</v>
      </c>
    </row>
    <row r="686" spans="3:8" x14ac:dyDescent="0.25">
      <c r="C686" t="s">
        <v>1933</v>
      </c>
      <c r="D686">
        <v>395.34</v>
      </c>
      <c r="E686">
        <v>0</v>
      </c>
      <c r="F686">
        <v>0</v>
      </c>
      <c r="G686">
        <v>395.34</v>
      </c>
      <c r="H686" s="104">
        <f t="shared" si="10"/>
        <v>0</v>
      </c>
    </row>
    <row r="687" spans="3:8" x14ac:dyDescent="0.25">
      <c r="C687" t="s">
        <v>1936</v>
      </c>
      <c r="D687">
        <v>0</v>
      </c>
      <c r="E687">
        <v>0</v>
      </c>
      <c r="F687">
        <v>0</v>
      </c>
      <c r="G687">
        <v>0</v>
      </c>
      <c r="H687" s="104">
        <f t="shared" si="10"/>
        <v>0</v>
      </c>
    </row>
    <row r="688" spans="3:8" x14ac:dyDescent="0.25">
      <c r="C688" t="s">
        <v>1940</v>
      </c>
      <c r="D688">
        <v>0</v>
      </c>
      <c r="E688">
        <v>0</v>
      </c>
      <c r="F688">
        <v>0</v>
      </c>
      <c r="G688">
        <v>0</v>
      </c>
      <c r="H688" s="104">
        <f t="shared" si="10"/>
        <v>0</v>
      </c>
    </row>
    <row r="689" spans="2:8" x14ac:dyDescent="0.25">
      <c r="C689" t="s">
        <v>1977</v>
      </c>
      <c r="D689" s="104">
        <v>25785.91</v>
      </c>
      <c r="E689" s="104">
        <v>30483.94</v>
      </c>
      <c r="F689" s="104">
        <v>25983.24</v>
      </c>
      <c r="G689" s="104">
        <v>30286.61</v>
      </c>
      <c r="H689" s="104">
        <f t="shared" si="10"/>
        <v>4500.7000000000007</v>
      </c>
    </row>
    <row r="690" spans="2:8" x14ac:dyDescent="0.25">
      <c r="C690" t="s">
        <v>2032</v>
      </c>
      <c r="D690">
        <v>0</v>
      </c>
      <c r="E690">
        <v>0</v>
      </c>
      <c r="F690">
        <v>0</v>
      </c>
      <c r="G690">
        <v>0</v>
      </c>
      <c r="H690" s="104">
        <f t="shared" si="10"/>
        <v>0</v>
      </c>
    </row>
    <row r="691" spans="2:8" x14ac:dyDescent="0.25">
      <c r="C691" t="s">
        <v>2041</v>
      </c>
      <c r="D691">
        <v>696.38</v>
      </c>
      <c r="E691">
        <v>0</v>
      </c>
      <c r="F691">
        <v>0</v>
      </c>
      <c r="G691">
        <v>696.38</v>
      </c>
      <c r="H691" s="104">
        <f t="shared" si="10"/>
        <v>0</v>
      </c>
    </row>
    <row r="692" spans="2:8" x14ac:dyDescent="0.25">
      <c r="C692" t="s">
        <v>2042</v>
      </c>
      <c r="D692">
        <v>0</v>
      </c>
      <c r="E692" s="104">
        <v>3207.95</v>
      </c>
      <c r="F692" s="104">
        <v>3207.95</v>
      </c>
      <c r="G692">
        <v>0</v>
      </c>
      <c r="H692" s="104">
        <f t="shared" si="10"/>
        <v>0</v>
      </c>
    </row>
    <row r="693" spans="2:8" x14ac:dyDescent="0.25">
      <c r="B693" t="s">
        <v>1587</v>
      </c>
      <c r="D693" s="104">
        <v>681897.98</v>
      </c>
      <c r="E693" s="104">
        <v>108265.46</v>
      </c>
      <c r="F693" s="104">
        <v>75543.850000000006</v>
      </c>
      <c r="G693" s="104">
        <v>714619.59</v>
      </c>
      <c r="H693" s="832">
        <f t="shared" si="10"/>
        <v>32721.609999999986</v>
      </c>
    </row>
    <row r="694" spans="2:8" x14ac:dyDescent="0.25">
      <c r="H694" s="104"/>
    </row>
    <row r="695" spans="2:8" x14ac:dyDescent="0.25">
      <c r="B695" t="s">
        <v>2043</v>
      </c>
      <c r="C695" t="s">
        <v>137</v>
      </c>
      <c r="H695" s="104"/>
    </row>
    <row r="696" spans="2:8" x14ac:dyDescent="0.25">
      <c r="C696" t="s">
        <v>1977</v>
      </c>
      <c r="D696">
        <v>0</v>
      </c>
      <c r="E696">
        <v>0</v>
      </c>
      <c r="F696">
        <v>0</v>
      </c>
      <c r="G696">
        <v>0</v>
      </c>
      <c r="H696" s="104">
        <f t="shared" si="10"/>
        <v>0</v>
      </c>
    </row>
    <row r="697" spans="2:8" x14ac:dyDescent="0.25">
      <c r="C697" t="s">
        <v>2030</v>
      </c>
      <c r="D697">
        <v>0</v>
      </c>
      <c r="E697">
        <v>0</v>
      </c>
      <c r="F697">
        <v>0</v>
      </c>
      <c r="G697">
        <v>0</v>
      </c>
      <c r="H697" s="104">
        <f t="shared" si="10"/>
        <v>0</v>
      </c>
    </row>
    <row r="698" spans="2:8" x14ac:dyDescent="0.25">
      <c r="C698" t="s">
        <v>2031</v>
      </c>
      <c r="D698">
        <v>0</v>
      </c>
      <c r="E698">
        <v>0</v>
      </c>
      <c r="F698">
        <v>0</v>
      </c>
      <c r="G698">
        <v>0</v>
      </c>
      <c r="H698" s="104">
        <f t="shared" si="10"/>
        <v>0</v>
      </c>
    </row>
    <row r="699" spans="2:8" x14ac:dyDescent="0.25">
      <c r="B699" t="s">
        <v>1587</v>
      </c>
      <c r="D699">
        <v>0</v>
      </c>
      <c r="E699">
        <v>0</v>
      </c>
      <c r="F699">
        <v>0</v>
      </c>
      <c r="G699">
        <v>0</v>
      </c>
      <c r="H699" s="832">
        <f t="shared" si="10"/>
        <v>0</v>
      </c>
    </row>
    <row r="700" spans="2:8" x14ac:dyDescent="0.25">
      <c r="H700" s="104"/>
    </row>
    <row r="701" spans="2:8" x14ac:dyDescent="0.25">
      <c r="B701" t="s">
        <v>2044</v>
      </c>
      <c r="C701" t="s">
        <v>129</v>
      </c>
      <c r="H701" s="104"/>
    </row>
    <row r="702" spans="2:8" x14ac:dyDescent="0.25">
      <c r="C702" t="s">
        <v>1903</v>
      </c>
      <c r="D702" s="104">
        <v>322779.65999999997</v>
      </c>
      <c r="E702">
        <v>0</v>
      </c>
      <c r="F702">
        <v>0</v>
      </c>
      <c r="G702" s="104">
        <v>322779.65999999997</v>
      </c>
      <c r="H702" s="104">
        <f t="shared" si="10"/>
        <v>0</v>
      </c>
    </row>
    <row r="703" spans="2:8" x14ac:dyDescent="0.25">
      <c r="C703" t="s">
        <v>1904</v>
      </c>
      <c r="D703" s="104">
        <v>302847.77</v>
      </c>
      <c r="E703">
        <v>0</v>
      </c>
      <c r="F703">
        <v>0</v>
      </c>
      <c r="G703" s="104">
        <v>302847.77</v>
      </c>
      <c r="H703" s="104">
        <f t="shared" si="10"/>
        <v>0</v>
      </c>
    </row>
    <row r="704" spans="2:8" x14ac:dyDescent="0.25">
      <c r="C704" t="s">
        <v>1907</v>
      </c>
      <c r="D704" s="104">
        <v>264276.81</v>
      </c>
      <c r="E704">
        <v>0</v>
      </c>
      <c r="F704">
        <v>0</v>
      </c>
      <c r="G704" s="104">
        <v>264276.81</v>
      </c>
      <c r="H704" s="104">
        <f t="shared" si="10"/>
        <v>0</v>
      </c>
    </row>
    <row r="705" spans="3:8" x14ac:dyDescent="0.25">
      <c r="C705" t="s">
        <v>2045</v>
      </c>
      <c r="D705">
        <v>0</v>
      </c>
      <c r="E705">
        <v>0</v>
      </c>
      <c r="F705">
        <v>0</v>
      </c>
      <c r="G705">
        <v>0</v>
      </c>
      <c r="H705" s="104">
        <f t="shared" si="10"/>
        <v>0</v>
      </c>
    </row>
    <row r="706" spans="3:8" x14ac:dyDescent="0.25">
      <c r="C706" t="s">
        <v>1909</v>
      </c>
      <c r="D706" s="104">
        <v>142749.14000000001</v>
      </c>
      <c r="E706">
        <v>0</v>
      </c>
      <c r="F706">
        <v>0</v>
      </c>
      <c r="G706" s="104">
        <v>142749.14000000001</v>
      </c>
      <c r="H706" s="104">
        <f t="shared" si="10"/>
        <v>0</v>
      </c>
    </row>
    <row r="707" spans="3:8" x14ac:dyDescent="0.25">
      <c r="C707" t="s">
        <v>1910</v>
      </c>
      <c r="D707" s="104">
        <v>372201.03</v>
      </c>
      <c r="E707">
        <v>0</v>
      </c>
      <c r="F707">
        <v>0</v>
      </c>
      <c r="G707" s="104">
        <v>372201.03</v>
      </c>
      <c r="H707" s="104">
        <f t="shared" si="10"/>
        <v>0</v>
      </c>
    </row>
    <row r="708" spans="3:8" x14ac:dyDescent="0.25">
      <c r="C708" t="s">
        <v>1913</v>
      </c>
      <c r="D708" s="104">
        <v>265190.01</v>
      </c>
      <c r="E708">
        <v>0</v>
      </c>
      <c r="F708">
        <v>0</v>
      </c>
      <c r="G708" s="104">
        <v>265190.01</v>
      </c>
      <c r="H708" s="104">
        <f t="shared" ref="H708:H771" si="11">G708-D708</f>
        <v>0</v>
      </c>
    </row>
    <row r="709" spans="3:8" x14ac:dyDescent="0.25">
      <c r="C709" t="s">
        <v>1915</v>
      </c>
      <c r="D709" s="104">
        <v>378597.42</v>
      </c>
      <c r="E709">
        <v>0</v>
      </c>
      <c r="F709">
        <v>0</v>
      </c>
      <c r="G709" s="104">
        <v>378597.42</v>
      </c>
      <c r="H709" s="104">
        <f t="shared" si="11"/>
        <v>0</v>
      </c>
    </row>
    <row r="710" spans="3:8" x14ac:dyDescent="0.25">
      <c r="C710" t="s">
        <v>1917</v>
      </c>
      <c r="D710" s="104">
        <v>37093.96</v>
      </c>
      <c r="E710">
        <v>0</v>
      </c>
      <c r="F710" s="104">
        <v>35882.959999999999</v>
      </c>
      <c r="G710" s="104">
        <v>1211</v>
      </c>
      <c r="H710" s="104">
        <f t="shared" si="11"/>
        <v>-35882.959999999999</v>
      </c>
    </row>
    <row r="711" spans="3:8" x14ac:dyDescent="0.25">
      <c r="C711" t="s">
        <v>1918</v>
      </c>
      <c r="D711" s="104">
        <v>164526.79999999999</v>
      </c>
      <c r="E711">
        <v>0</v>
      </c>
      <c r="F711">
        <v>0</v>
      </c>
      <c r="G711" s="104">
        <v>164526.79999999999</v>
      </c>
      <c r="H711" s="104">
        <f t="shared" si="11"/>
        <v>0</v>
      </c>
    </row>
    <row r="712" spans="3:8" x14ac:dyDescent="0.25">
      <c r="C712" t="s">
        <v>1919</v>
      </c>
      <c r="D712" s="104">
        <v>199302.51</v>
      </c>
      <c r="E712">
        <v>0</v>
      </c>
      <c r="F712">
        <v>0</v>
      </c>
      <c r="G712" s="104">
        <v>199302.51</v>
      </c>
      <c r="H712" s="104">
        <f t="shared" si="11"/>
        <v>0</v>
      </c>
    </row>
    <row r="713" spans="3:8" x14ac:dyDescent="0.25">
      <c r="C713" t="s">
        <v>1920</v>
      </c>
      <c r="D713" s="104">
        <v>287613.33</v>
      </c>
      <c r="E713">
        <v>0</v>
      </c>
      <c r="F713">
        <v>0</v>
      </c>
      <c r="G713" s="104">
        <v>287613.33</v>
      </c>
      <c r="H713" s="104">
        <f t="shared" si="11"/>
        <v>0</v>
      </c>
    </row>
    <row r="714" spans="3:8" x14ac:dyDescent="0.25">
      <c r="C714" t="s">
        <v>1921</v>
      </c>
      <c r="D714" s="104">
        <v>450260.1</v>
      </c>
      <c r="E714">
        <v>0</v>
      </c>
      <c r="F714">
        <v>0</v>
      </c>
      <c r="G714" s="104">
        <v>450260.1</v>
      </c>
      <c r="H714" s="104">
        <f t="shared" si="11"/>
        <v>0</v>
      </c>
    </row>
    <row r="715" spans="3:8" x14ac:dyDescent="0.25">
      <c r="C715" t="s">
        <v>1927</v>
      </c>
      <c r="D715" s="104">
        <v>120738.28</v>
      </c>
      <c r="E715">
        <v>0</v>
      </c>
      <c r="F715">
        <v>0</v>
      </c>
      <c r="G715" s="104">
        <v>120738.28</v>
      </c>
      <c r="H715" s="104">
        <f t="shared" si="11"/>
        <v>0</v>
      </c>
    </row>
    <row r="716" spans="3:8" x14ac:dyDescent="0.25">
      <c r="C716" t="s">
        <v>1928</v>
      </c>
      <c r="D716" s="104">
        <v>18797.990000000002</v>
      </c>
      <c r="E716">
        <v>0</v>
      </c>
      <c r="F716">
        <v>0</v>
      </c>
      <c r="G716" s="104">
        <v>18797.990000000002</v>
      </c>
      <c r="H716" s="104">
        <f t="shared" si="11"/>
        <v>0</v>
      </c>
    </row>
    <row r="717" spans="3:8" x14ac:dyDescent="0.25">
      <c r="C717" t="s">
        <v>1929</v>
      </c>
      <c r="D717" s="104">
        <v>179263.93</v>
      </c>
      <c r="E717">
        <v>0</v>
      </c>
      <c r="F717">
        <v>0</v>
      </c>
      <c r="G717" s="104">
        <v>179263.93</v>
      </c>
      <c r="H717" s="104">
        <f t="shared" si="11"/>
        <v>0</v>
      </c>
    </row>
    <row r="718" spans="3:8" x14ac:dyDescent="0.25">
      <c r="C718" t="s">
        <v>1932</v>
      </c>
      <c r="D718" s="104">
        <v>177446.95</v>
      </c>
      <c r="E718">
        <v>0</v>
      </c>
      <c r="F718" s="104">
        <v>38690.61</v>
      </c>
      <c r="G718" s="104">
        <v>138756.34</v>
      </c>
      <c r="H718" s="104">
        <f t="shared" si="11"/>
        <v>-38690.610000000015</v>
      </c>
    </row>
    <row r="719" spans="3:8" x14ac:dyDescent="0.25">
      <c r="C719" t="s">
        <v>1939</v>
      </c>
      <c r="D719" s="104">
        <v>1440576.22</v>
      </c>
      <c r="E719">
        <v>0</v>
      </c>
      <c r="F719">
        <v>0</v>
      </c>
      <c r="G719" s="104">
        <v>1440576.22</v>
      </c>
      <c r="H719" s="104">
        <f t="shared" si="11"/>
        <v>0</v>
      </c>
    </row>
    <row r="720" spans="3:8" x14ac:dyDescent="0.25">
      <c r="C720" t="s">
        <v>1977</v>
      </c>
      <c r="D720" s="104">
        <v>487026.89</v>
      </c>
      <c r="E720">
        <v>0</v>
      </c>
      <c r="F720" s="104">
        <v>30483.94</v>
      </c>
      <c r="G720" s="104">
        <v>456542.95</v>
      </c>
      <c r="H720" s="104">
        <f t="shared" si="11"/>
        <v>-30483.940000000002</v>
      </c>
    </row>
    <row r="721" spans="2:8" x14ac:dyDescent="0.25">
      <c r="C721" t="s">
        <v>1905</v>
      </c>
      <c r="D721" s="104">
        <v>298519.15000000002</v>
      </c>
      <c r="E721">
        <v>0</v>
      </c>
      <c r="F721">
        <v>0</v>
      </c>
      <c r="G721" s="104">
        <v>298519.15000000002</v>
      </c>
      <c r="H721" s="104">
        <f t="shared" si="11"/>
        <v>0</v>
      </c>
    </row>
    <row r="722" spans="2:8" x14ac:dyDescent="0.25">
      <c r="C722" t="s">
        <v>1908</v>
      </c>
      <c r="D722" s="104">
        <v>167767.29</v>
      </c>
      <c r="E722">
        <v>0</v>
      </c>
      <c r="F722">
        <v>0</v>
      </c>
      <c r="G722" s="104">
        <v>167767.29</v>
      </c>
      <c r="H722" s="104">
        <f t="shared" si="11"/>
        <v>0</v>
      </c>
    </row>
    <row r="723" spans="2:8" x14ac:dyDescent="0.25">
      <c r="C723" t="s">
        <v>1924</v>
      </c>
      <c r="D723" s="104">
        <v>406539.24</v>
      </c>
      <c r="E723">
        <v>0</v>
      </c>
      <c r="F723">
        <v>0</v>
      </c>
      <c r="G723" s="104">
        <v>406539.24</v>
      </c>
      <c r="H723" s="104">
        <f t="shared" si="11"/>
        <v>0</v>
      </c>
    </row>
    <row r="724" spans="2:8" x14ac:dyDescent="0.25">
      <c r="C724" t="s">
        <v>1930</v>
      </c>
      <c r="D724" s="104">
        <v>134069.76000000001</v>
      </c>
      <c r="E724">
        <v>0</v>
      </c>
      <c r="F724">
        <v>0</v>
      </c>
      <c r="G724" s="104">
        <v>134069.76000000001</v>
      </c>
      <c r="H724" s="104">
        <f t="shared" si="11"/>
        <v>0</v>
      </c>
    </row>
    <row r="725" spans="2:8" x14ac:dyDescent="0.25">
      <c r="B725" t="s">
        <v>1587</v>
      </c>
      <c r="D725" s="104">
        <v>6618184.2400000002</v>
      </c>
      <c r="E725">
        <v>0</v>
      </c>
      <c r="F725" s="104">
        <v>105057.51</v>
      </c>
      <c r="G725" s="104">
        <v>6513126.7300000004</v>
      </c>
      <c r="H725" s="832">
        <f t="shared" si="11"/>
        <v>-105057.50999999978</v>
      </c>
    </row>
    <row r="726" spans="2:8" x14ac:dyDescent="0.25">
      <c r="H726" s="104"/>
    </row>
    <row r="727" spans="2:8" x14ac:dyDescent="0.25">
      <c r="B727" t="s">
        <v>2046</v>
      </c>
      <c r="C727" t="s">
        <v>133</v>
      </c>
      <c r="H727" s="104"/>
    </row>
    <row r="728" spans="2:8" x14ac:dyDescent="0.25">
      <c r="C728" t="s">
        <v>2030</v>
      </c>
      <c r="D728" s="104">
        <v>292678.62</v>
      </c>
      <c r="E728">
        <v>0</v>
      </c>
      <c r="F728" s="104">
        <v>146339.28</v>
      </c>
      <c r="G728" s="104">
        <v>146339.34</v>
      </c>
      <c r="H728" s="104">
        <f t="shared" si="11"/>
        <v>-146339.28</v>
      </c>
    </row>
    <row r="729" spans="2:8" x14ac:dyDescent="0.25">
      <c r="C729" t="s">
        <v>1925</v>
      </c>
      <c r="D729" s="104">
        <v>378000</v>
      </c>
      <c r="E729">
        <v>0</v>
      </c>
      <c r="F729">
        <v>0</v>
      </c>
      <c r="G729" s="104">
        <v>378000</v>
      </c>
      <c r="H729" s="104">
        <f t="shared" si="11"/>
        <v>0</v>
      </c>
    </row>
    <row r="730" spans="2:8" x14ac:dyDescent="0.25">
      <c r="C730" t="s">
        <v>1926</v>
      </c>
      <c r="D730" s="104">
        <v>171212.2</v>
      </c>
      <c r="E730">
        <v>0</v>
      </c>
      <c r="F730">
        <v>0</v>
      </c>
      <c r="G730" s="104">
        <v>171212.2</v>
      </c>
      <c r="H730" s="104">
        <f t="shared" si="11"/>
        <v>0</v>
      </c>
    </row>
    <row r="731" spans="2:8" x14ac:dyDescent="0.25">
      <c r="C731" t="s">
        <v>1943</v>
      </c>
      <c r="D731" s="104">
        <v>273113.15999999997</v>
      </c>
      <c r="E731">
        <v>0</v>
      </c>
      <c r="F731">
        <v>0</v>
      </c>
      <c r="G731" s="104">
        <v>273113.15999999997</v>
      </c>
      <c r="H731" s="104">
        <f t="shared" si="11"/>
        <v>0</v>
      </c>
    </row>
    <row r="732" spans="2:8" x14ac:dyDescent="0.25">
      <c r="B732" t="s">
        <v>1587</v>
      </c>
      <c r="D732" s="104">
        <v>1115003.98</v>
      </c>
      <c r="E732">
        <v>0</v>
      </c>
      <c r="F732" s="104">
        <v>146339.28</v>
      </c>
      <c r="G732" s="104">
        <v>968664.7</v>
      </c>
      <c r="H732" s="832">
        <f t="shared" si="11"/>
        <v>-146339.28000000003</v>
      </c>
    </row>
    <row r="733" spans="2:8" x14ac:dyDescent="0.25">
      <c r="H733" s="104"/>
    </row>
    <row r="734" spans="2:8" x14ac:dyDescent="0.25">
      <c r="B734">
        <v>10303010</v>
      </c>
      <c r="C734" t="s">
        <v>150</v>
      </c>
      <c r="H734" s="104"/>
    </row>
    <row r="735" spans="2:8" x14ac:dyDescent="0.25">
      <c r="B735">
        <v>10303010</v>
      </c>
      <c r="C735" t="s">
        <v>150</v>
      </c>
      <c r="D735">
        <v>0</v>
      </c>
      <c r="E735">
        <v>0</v>
      </c>
      <c r="F735">
        <v>0</v>
      </c>
      <c r="G735">
        <v>0</v>
      </c>
      <c r="H735" s="104">
        <f t="shared" si="11"/>
        <v>0</v>
      </c>
    </row>
    <row r="736" spans="2:8" x14ac:dyDescent="0.25">
      <c r="B736" t="s">
        <v>2047</v>
      </c>
      <c r="C736" t="s">
        <v>150</v>
      </c>
      <c r="H736" s="104">
        <f t="shared" si="11"/>
        <v>0</v>
      </c>
    </row>
    <row r="737" spans="2:8" x14ac:dyDescent="0.25">
      <c r="C737" t="s">
        <v>2048</v>
      </c>
      <c r="D737" s="104">
        <v>2750005.33</v>
      </c>
      <c r="E737">
        <v>0</v>
      </c>
      <c r="F737">
        <v>0</v>
      </c>
      <c r="G737" s="104">
        <v>2750005.33</v>
      </c>
      <c r="H737" s="104">
        <f t="shared" si="11"/>
        <v>0</v>
      </c>
    </row>
    <row r="738" spans="2:8" x14ac:dyDescent="0.25">
      <c r="C738" t="s">
        <v>2049</v>
      </c>
      <c r="D738" s="104">
        <v>500699.3</v>
      </c>
      <c r="E738">
        <v>0</v>
      </c>
      <c r="F738">
        <v>0</v>
      </c>
      <c r="G738" s="104">
        <v>500699.3</v>
      </c>
      <c r="H738" s="104">
        <f t="shared" si="11"/>
        <v>0</v>
      </c>
    </row>
    <row r="739" spans="2:8" x14ac:dyDescent="0.25">
      <c r="C739" t="s">
        <v>2050</v>
      </c>
      <c r="D739" s="104">
        <v>2172.75</v>
      </c>
      <c r="E739">
        <v>0</v>
      </c>
      <c r="F739">
        <v>0</v>
      </c>
      <c r="G739" s="104">
        <v>2172.75</v>
      </c>
      <c r="H739" s="104">
        <f t="shared" si="11"/>
        <v>0</v>
      </c>
    </row>
    <row r="740" spans="2:8" x14ac:dyDescent="0.25">
      <c r="B740" t="s">
        <v>1587</v>
      </c>
      <c r="D740" s="104">
        <v>3252877.38</v>
      </c>
      <c r="E740">
        <v>0</v>
      </c>
      <c r="F740">
        <v>0</v>
      </c>
      <c r="G740" s="104">
        <v>3252877.38</v>
      </c>
      <c r="H740" s="832">
        <f t="shared" si="11"/>
        <v>0</v>
      </c>
    </row>
    <row r="741" spans="2:8" x14ac:dyDescent="0.25">
      <c r="H741" s="104"/>
    </row>
    <row r="742" spans="2:8" x14ac:dyDescent="0.25">
      <c r="B742" t="s">
        <v>2051</v>
      </c>
      <c r="C742" t="s">
        <v>2052</v>
      </c>
      <c r="H742" s="104"/>
    </row>
    <row r="743" spans="2:8" x14ac:dyDescent="0.25">
      <c r="C743" t="s">
        <v>2048</v>
      </c>
      <c r="D743" s="104">
        <v>-2750005.33</v>
      </c>
      <c r="E743">
        <v>0</v>
      </c>
      <c r="F743">
        <v>0</v>
      </c>
      <c r="G743" s="104">
        <v>-2750005.33</v>
      </c>
      <c r="H743" s="104">
        <f t="shared" si="11"/>
        <v>0</v>
      </c>
    </row>
    <row r="744" spans="2:8" x14ac:dyDescent="0.25">
      <c r="C744" t="s">
        <v>2049</v>
      </c>
      <c r="D744" s="104">
        <v>-500699.3</v>
      </c>
      <c r="E744">
        <v>0</v>
      </c>
      <c r="F744">
        <v>0</v>
      </c>
      <c r="G744" s="104">
        <v>-500699.3</v>
      </c>
      <c r="H744" s="104">
        <f t="shared" si="11"/>
        <v>0</v>
      </c>
    </row>
    <row r="745" spans="2:8" x14ac:dyDescent="0.25">
      <c r="C745" t="s">
        <v>2050</v>
      </c>
      <c r="D745" s="104">
        <v>-2172.75</v>
      </c>
      <c r="E745">
        <v>0</v>
      </c>
      <c r="F745">
        <v>0</v>
      </c>
      <c r="G745" s="104">
        <v>-2172.75</v>
      </c>
      <c r="H745" s="104">
        <f t="shared" si="11"/>
        <v>0</v>
      </c>
    </row>
    <row r="746" spans="2:8" x14ac:dyDescent="0.25">
      <c r="B746" t="s">
        <v>1587</v>
      </c>
      <c r="D746" s="104">
        <v>-3252877.38</v>
      </c>
      <c r="E746">
        <v>0</v>
      </c>
      <c r="F746">
        <v>0</v>
      </c>
      <c r="G746" s="104">
        <v>-3252877.38</v>
      </c>
      <c r="H746" s="832">
        <f t="shared" si="11"/>
        <v>0</v>
      </c>
    </row>
    <row r="747" spans="2:8" x14ac:dyDescent="0.25">
      <c r="H747" s="104"/>
    </row>
    <row r="748" spans="2:8" x14ac:dyDescent="0.25">
      <c r="B748">
        <v>10303060</v>
      </c>
      <c r="C748" t="s">
        <v>2053</v>
      </c>
      <c r="D748" s="104">
        <v>1014524695.76</v>
      </c>
      <c r="E748">
        <v>0</v>
      </c>
      <c r="F748" s="104">
        <v>18797.990000000002</v>
      </c>
      <c r="G748" s="104">
        <v>1014505897.77</v>
      </c>
      <c r="H748" s="104">
        <f t="shared" si="11"/>
        <v>-18797.990000009537</v>
      </c>
    </row>
    <row r="749" spans="2:8" x14ac:dyDescent="0.25">
      <c r="B749" t="s">
        <v>2054</v>
      </c>
      <c r="C749" t="s">
        <v>141</v>
      </c>
      <c r="H749" s="104"/>
    </row>
    <row r="750" spans="2:8" x14ac:dyDescent="0.25">
      <c r="B750" t="s">
        <v>2055</v>
      </c>
      <c r="C750" t="s">
        <v>147</v>
      </c>
      <c r="H750" s="104"/>
    </row>
    <row r="751" spans="2:8" x14ac:dyDescent="0.25">
      <c r="C751" t="s">
        <v>1820</v>
      </c>
      <c r="D751" s="104">
        <v>1468866.45</v>
      </c>
      <c r="E751">
        <v>0</v>
      </c>
      <c r="F751">
        <v>0</v>
      </c>
      <c r="G751" s="104">
        <v>1468866.45</v>
      </c>
      <c r="H751" s="104">
        <f t="shared" si="11"/>
        <v>0</v>
      </c>
    </row>
    <row r="752" spans="2:8" x14ac:dyDescent="0.25">
      <c r="C752" t="s">
        <v>1759</v>
      </c>
      <c r="D752" s="104">
        <v>146648480.56</v>
      </c>
      <c r="E752">
        <v>0</v>
      </c>
      <c r="F752">
        <v>0</v>
      </c>
      <c r="G752" s="104">
        <v>146648480.56</v>
      </c>
      <c r="H752" s="104">
        <f t="shared" si="11"/>
        <v>0</v>
      </c>
    </row>
    <row r="753" spans="2:8" x14ac:dyDescent="0.25">
      <c r="C753" t="s">
        <v>1760</v>
      </c>
      <c r="D753" s="104">
        <v>277304630.58999997</v>
      </c>
      <c r="E753">
        <v>0</v>
      </c>
      <c r="F753">
        <v>0</v>
      </c>
      <c r="G753" s="104">
        <v>277304630.58999997</v>
      </c>
      <c r="H753" s="104">
        <f t="shared" si="11"/>
        <v>0</v>
      </c>
    </row>
    <row r="754" spans="2:8" x14ac:dyDescent="0.25">
      <c r="C754" t="s">
        <v>1961</v>
      </c>
      <c r="D754" s="104">
        <v>2313030.59</v>
      </c>
      <c r="E754">
        <v>0</v>
      </c>
      <c r="F754">
        <v>0</v>
      </c>
      <c r="G754" s="104">
        <v>2313030.59</v>
      </c>
      <c r="H754" s="104">
        <f t="shared" si="11"/>
        <v>0</v>
      </c>
    </row>
    <row r="755" spans="2:8" x14ac:dyDescent="0.25">
      <c r="C755" t="s">
        <v>1989</v>
      </c>
      <c r="D755" s="104">
        <v>7520000</v>
      </c>
      <c r="E755">
        <v>0</v>
      </c>
      <c r="F755">
        <v>0</v>
      </c>
      <c r="G755" s="104">
        <v>7520000</v>
      </c>
      <c r="H755" s="104">
        <f t="shared" si="11"/>
        <v>0</v>
      </c>
    </row>
    <row r="756" spans="2:8" x14ac:dyDescent="0.25">
      <c r="C756" t="s">
        <v>1990</v>
      </c>
      <c r="D756" s="104">
        <v>113602007.5</v>
      </c>
      <c r="E756">
        <v>0</v>
      </c>
      <c r="F756">
        <v>0</v>
      </c>
      <c r="G756" s="104">
        <v>113602007.5</v>
      </c>
      <c r="H756" s="104">
        <f t="shared" si="11"/>
        <v>0</v>
      </c>
    </row>
    <row r="757" spans="2:8" x14ac:dyDescent="0.25">
      <c r="C757" t="s">
        <v>1776</v>
      </c>
      <c r="D757" s="104">
        <v>8550175.2799999993</v>
      </c>
      <c r="E757">
        <v>0</v>
      </c>
      <c r="F757">
        <v>0</v>
      </c>
      <c r="G757" s="104">
        <v>8550175.2799999993</v>
      </c>
      <c r="H757" s="104">
        <f t="shared" si="11"/>
        <v>0</v>
      </c>
    </row>
    <row r="758" spans="2:8" x14ac:dyDescent="0.25">
      <c r="C758" t="s">
        <v>1992</v>
      </c>
      <c r="D758" s="104">
        <v>85259269.159999996</v>
      </c>
      <c r="E758">
        <v>0</v>
      </c>
      <c r="F758">
        <v>0</v>
      </c>
      <c r="G758" s="104">
        <v>85259269.159999996</v>
      </c>
      <c r="H758" s="104">
        <f t="shared" si="11"/>
        <v>0</v>
      </c>
    </row>
    <row r="759" spans="2:8" x14ac:dyDescent="0.25">
      <c r="C759" t="s">
        <v>1766</v>
      </c>
      <c r="D759" s="104">
        <v>2538432.14</v>
      </c>
      <c r="E759">
        <v>0</v>
      </c>
      <c r="F759">
        <v>0</v>
      </c>
      <c r="G759" s="104">
        <v>2538432.14</v>
      </c>
      <c r="H759" s="104">
        <f t="shared" si="11"/>
        <v>0</v>
      </c>
    </row>
    <row r="760" spans="2:8" x14ac:dyDescent="0.25">
      <c r="C760" t="s">
        <v>1993</v>
      </c>
      <c r="D760" s="104">
        <v>492571857.00999999</v>
      </c>
      <c r="E760">
        <v>0</v>
      </c>
      <c r="F760">
        <v>0</v>
      </c>
      <c r="G760" s="104">
        <v>492571857.00999999</v>
      </c>
      <c r="H760" s="104">
        <f t="shared" si="11"/>
        <v>0</v>
      </c>
    </row>
    <row r="761" spans="2:8" x14ac:dyDescent="0.25">
      <c r="C761" t="s">
        <v>1994</v>
      </c>
      <c r="D761" s="104">
        <v>2942181.33</v>
      </c>
      <c r="E761">
        <v>0</v>
      </c>
      <c r="F761">
        <v>0</v>
      </c>
      <c r="G761" s="104">
        <v>2942181.33</v>
      </c>
      <c r="H761" s="104">
        <f t="shared" si="11"/>
        <v>0</v>
      </c>
    </row>
    <row r="762" spans="2:8" x14ac:dyDescent="0.25">
      <c r="C762" t="s">
        <v>1995</v>
      </c>
      <c r="D762" s="104">
        <v>380508.57</v>
      </c>
      <c r="E762">
        <v>0</v>
      </c>
      <c r="F762">
        <v>0</v>
      </c>
      <c r="G762" s="104">
        <v>380508.57</v>
      </c>
      <c r="H762" s="104">
        <f t="shared" si="11"/>
        <v>0</v>
      </c>
    </row>
    <row r="763" spans="2:8" x14ac:dyDescent="0.25">
      <c r="C763" t="s">
        <v>1996</v>
      </c>
      <c r="D763" s="104">
        <v>1188834.25</v>
      </c>
      <c r="E763">
        <v>0</v>
      </c>
      <c r="F763">
        <v>0</v>
      </c>
      <c r="G763" s="104">
        <v>1188834.25</v>
      </c>
      <c r="H763" s="104">
        <f t="shared" si="11"/>
        <v>0</v>
      </c>
    </row>
    <row r="764" spans="2:8" x14ac:dyDescent="0.25">
      <c r="C764" t="s">
        <v>1997</v>
      </c>
      <c r="D764" s="104">
        <v>1155932.3400000001</v>
      </c>
      <c r="E764">
        <v>0</v>
      </c>
      <c r="F764">
        <v>0</v>
      </c>
      <c r="G764" s="104">
        <v>1155932.3400000001</v>
      </c>
      <c r="H764" s="104">
        <f t="shared" si="11"/>
        <v>0</v>
      </c>
    </row>
    <row r="765" spans="2:8" x14ac:dyDescent="0.25">
      <c r="C765" t="s">
        <v>2056</v>
      </c>
      <c r="D765" s="104">
        <v>300000</v>
      </c>
      <c r="E765">
        <v>0</v>
      </c>
      <c r="F765">
        <v>0</v>
      </c>
      <c r="G765" s="104">
        <v>300000</v>
      </c>
      <c r="H765" s="104">
        <f t="shared" si="11"/>
        <v>0</v>
      </c>
    </row>
    <row r="766" spans="2:8" x14ac:dyDescent="0.25">
      <c r="B766" t="s">
        <v>1587</v>
      </c>
      <c r="D766" s="104">
        <v>1143744205.77</v>
      </c>
      <c r="E766">
        <v>0</v>
      </c>
      <c r="F766">
        <v>0</v>
      </c>
      <c r="G766" s="104">
        <v>1143744205.77</v>
      </c>
      <c r="H766" s="832">
        <f t="shared" si="11"/>
        <v>0</v>
      </c>
    </row>
    <row r="767" spans="2:8" x14ac:dyDescent="0.25">
      <c r="H767" s="104"/>
    </row>
    <row r="768" spans="2:8" x14ac:dyDescent="0.25">
      <c r="B768" t="s">
        <v>2057</v>
      </c>
      <c r="C768" t="s">
        <v>2058</v>
      </c>
      <c r="H768" s="104"/>
    </row>
    <row r="769" spans="3:8" x14ac:dyDescent="0.25">
      <c r="C769" t="s">
        <v>1903</v>
      </c>
      <c r="D769" s="104">
        <v>-322779.65999999997</v>
      </c>
      <c r="E769">
        <v>0</v>
      </c>
      <c r="F769">
        <v>0</v>
      </c>
      <c r="G769" s="104">
        <v>-322779.65999999997</v>
      </c>
      <c r="H769" s="104">
        <f t="shared" si="11"/>
        <v>0</v>
      </c>
    </row>
    <row r="770" spans="3:8" x14ac:dyDescent="0.25">
      <c r="C770" t="s">
        <v>1904</v>
      </c>
      <c r="D770" s="104">
        <v>-302847.77</v>
      </c>
      <c r="E770">
        <v>0</v>
      </c>
      <c r="F770">
        <v>0</v>
      </c>
      <c r="G770" s="104">
        <v>-302847.77</v>
      </c>
      <c r="H770" s="104">
        <f t="shared" si="11"/>
        <v>0</v>
      </c>
    </row>
    <row r="771" spans="3:8" x14ac:dyDescent="0.25">
      <c r="C771" t="s">
        <v>1907</v>
      </c>
      <c r="D771" s="104">
        <v>-264276.81</v>
      </c>
      <c r="E771">
        <v>0</v>
      </c>
      <c r="F771">
        <v>0</v>
      </c>
      <c r="G771" s="104">
        <v>-264276.81</v>
      </c>
      <c r="H771" s="104">
        <f t="shared" si="11"/>
        <v>0</v>
      </c>
    </row>
    <row r="772" spans="3:8" x14ac:dyDescent="0.25">
      <c r="C772" t="s">
        <v>2045</v>
      </c>
      <c r="D772" s="104">
        <v>-204998.43</v>
      </c>
      <c r="E772">
        <v>0</v>
      </c>
      <c r="F772">
        <v>0</v>
      </c>
      <c r="G772" s="104">
        <v>-204998.43</v>
      </c>
      <c r="H772" s="104">
        <f t="shared" ref="H772:H835" si="12">G772-D772</f>
        <v>0</v>
      </c>
    </row>
    <row r="773" spans="3:8" x14ac:dyDescent="0.25">
      <c r="C773" t="s">
        <v>1908</v>
      </c>
      <c r="D773" s="104">
        <v>-167767.29</v>
      </c>
      <c r="E773">
        <v>0</v>
      </c>
      <c r="F773">
        <v>0</v>
      </c>
      <c r="G773" s="104">
        <v>-167767.29</v>
      </c>
      <c r="H773" s="104">
        <f t="shared" si="12"/>
        <v>0</v>
      </c>
    </row>
    <row r="774" spans="3:8" x14ac:dyDescent="0.25">
      <c r="C774" t="s">
        <v>2041</v>
      </c>
      <c r="D774">
        <v>-696.38</v>
      </c>
      <c r="E774">
        <v>0</v>
      </c>
      <c r="F774">
        <v>0</v>
      </c>
      <c r="G774">
        <v>-696.38</v>
      </c>
      <c r="H774" s="104">
        <f t="shared" si="12"/>
        <v>0</v>
      </c>
    </row>
    <row r="775" spans="3:8" x14ac:dyDescent="0.25">
      <c r="C775" t="s">
        <v>1909</v>
      </c>
      <c r="D775" s="104">
        <v>-142749.14000000001</v>
      </c>
      <c r="E775">
        <v>0</v>
      </c>
      <c r="F775">
        <v>0</v>
      </c>
      <c r="G775" s="104">
        <v>-142749.14000000001</v>
      </c>
      <c r="H775" s="104">
        <f t="shared" si="12"/>
        <v>0</v>
      </c>
    </row>
    <row r="776" spans="3:8" x14ac:dyDescent="0.25">
      <c r="C776" t="s">
        <v>1910</v>
      </c>
      <c r="D776" s="104">
        <v>-372201.03</v>
      </c>
      <c r="E776">
        <v>0</v>
      </c>
      <c r="F776">
        <v>0</v>
      </c>
      <c r="G776" s="104">
        <v>-372201.03</v>
      </c>
      <c r="H776" s="104">
        <f t="shared" si="12"/>
        <v>0</v>
      </c>
    </row>
    <row r="777" spans="3:8" x14ac:dyDescent="0.25">
      <c r="C777" t="s">
        <v>1913</v>
      </c>
      <c r="D777" s="104">
        <v>-265190.01</v>
      </c>
      <c r="E777">
        <v>0</v>
      </c>
      <c r="F777">
        <v>0</v>
      </c>
      <c r="G777" s="104">
        <v>-265190.01</v>
      </c>
      <c r="H777" s="104">
        <f t="shared" si="12"/>
        <v>0</v>
      </c>
    </row>
    <row r="778" spans="3:8" x14ac:dyDescent="0.25">
      <c r="C778" t="s">
        <v>1915</v>
      </c>
      <c r="D778" s="104">
        <v>-378597.42</v>
      </c>
      <c r="E778">
        <v>0</v>
      </c>
      <c r="F778">
        <v>0</v>
      </c>
      <c r="G778" s="104">
        <v>-378597.42</v>
      </c>
      <c r="H778" s="104">
        <f t="shared" si="12"/>
        <v>0</v>
      </c>
    </row>
    <row r="779" spans="3:8" x14ac:dyDescent="0.25">
      <c r="C779" t="s">
        <v>1918</v>
      </c>
      <c r="D779" s="104">
        <v>-781809.72</v>
      </c>
      <c r="E779">
        <v>0</v>
      </c>
      <c r="F779">
        <v>0</v>
      </c>
      <c r="G779" s="104">
        <v>-781809.72</v>
      </c>
      <c r="H779" s="104">
        <f t="shared" si="12"/>
        <v>0</v>
      </c>
    </row>
    <row r="780" spans="3:8" x14ac:dyDescent="0.25">
      <c r="C780" t="s">
        <v>1919</v>
      </c>
      <c r="D780" s="104">
        <v>-199302.5</v>
      </c>
      <c r="E780">
        <v>0</v>
      </c>
      <c r="F780">
        <v>0</v>
      </c>
      <c r="G780" s="104">
        <v>-199302.5</v>
      </c>
      <c r="H780" s="104">
        <f t="shared" si="12"/>
        <v>0</v>
      </c>
    </row>
    <row r="781" spans="3:8" x14ac:dyDescent="0.25">
      <c r="C781" t="s">
        <v>1920</v>
      </c>
      <c r="D781" s="104">
        <v>-287613.33</v>
      </c>
      <c r="E781">
        <v>0</v>
      </c>
      <c r="F781">
        <v>0</v>
      </c>
      <c r="G781" s="104">
        <v>-287613.33</v>
      </c>
      <c r="H781" s="104">
        <f t="shared" si="12"/>
        <v>0</v>
      </c>
    </row>
    <row r="782" spans="3:8" x14ac:dyDescent="0.25">
      <c r="C782" t="s">
        <v>2059</v>
      </c>
      <c r="D782" s="104">
        <v>-30611.75</v>
      </c>
      <c r="E782">
        <v>0</v>
      </c>
      <c r="F782">
        <v>0</v>
      </c>
      <c r="G782" s="104">
        <v>-30611.75</v>
      </c>
      <c r="H782" s="104">
        <f t="shared" si="12"/>
        <v>0</v>
      </c>
    </row>
    <row r="783" spans="3:8" x14ac:dyDescent="0.25">
      <c r="C783" t="s">
        <v>1921</v>
      </c>
      <c r="D783" s="104">
        <v>-450260.1</v>
      </c>
      <c r="E783">
        <v>0</v>
      </c>
      <c r="F783">
        <v>0</v>
      </c>
      <c r="G783" s="104">
        <v>-450260.1</v>
      </c>
      <c r="H783" s="104">
        <f t="shared" si="12"/>
        <v>0</v>
      </c>
    </row>
    <row r="784" spans="3:8" x14ac:dyDescent="0.25">
      <c r="C784" t="s">
        <v>1924</v>
      </c>
      <c r="D784" s="104">
        <v>-406539.24</v>
      </c>
      <c r="E784">
        <v>0</v>
      </c>
      <c r="F784">
        <v>0</v>
      </c>
      <c r="G784" s="104">
        <v>-406539.24</v>
      </c>
      <c r="H784" s="104">
        <f t="shared" si="12"/>
        <v>0</v>
      </c>
    </row>
    <row r="785" spans="2:8" x14ac:dyDescent="0.25">
      <c r="C785" t="s">
        <v>1925</v>
      </c>
      <c r="D785" s="104">
        <v>-378000</v>
      </c>
      <c r="E785">
        <v>0</v>
      </c>
      <c r="F785">
        <v>0</v>
      </c>
      <c r="G785" s="104">
        <v>-378000</v>
      </c>
      <c r="H785" s="104">
        <f t="shared" si="12"/>
        <v>0</v>
      </c>
    </row>
    <row r="786" spans="2:8" x14ac:dyDescent="0.25">
      <c r="C786" t="s">
        <v>1926</v>
      </c>
      <c r="D786" s="104">
        <v>-171212.2</v>
      </c>
      <c r="E786">
        <v>0</v>
      </c>
      <c r="F786">
        <v>0</v>
      </c>
      <c r="G786" s="104">
        <v>-171212.2</v>
      </c>
      <c r="H786" s="104">
        <f t="shared" si="12"/>
        <v>0</v>
      </c>
    </row>
    <row r="787" spans="2:8" x14ac:dyDescent="0.25">
      <c r="C787" t="s">
        <v>1927</v>
      </c>
      <c r="D787" s="104">
        <v>-120738.28</v>
      </c>
      <c r="E787">
        <v>0</v>
      </c>
      <c r="F787">
        <v>0</v>
      </c>
      <c r="G787" s="104">
        <v>-120738.28</v>
      </c>
      <c r="H787" s="104">
        <f t="shared" si="12"/>
        <v>0</v>
      </c>
    </row>
    <row r="788" spans="2:8" x14ac:dyDescent="0.25">
      <c r="C788" t="s">
        <v>1928</v>
      </c>
      <c r="D788">
        <v>0</v>
      </c>
      <c r="E788">
        <v>0</v>
      </c>
      <c r="F788" s="104">
        <v>18797.990000000002</v>
      </c>
      <c r="G788" s="104">
        <v>-18797.990000000002</v>
      </c>
      <c r="H788" s="104">
        <f t="shared" si="12"/>
        <v>-18797.990000000002</v>
      </c>
    </row>
    <row r="789" spans="2:8" x14ac:dyDescent="0.25">
      <c r="C789" t="s">
        <v>1929</v>
      </c>
      <c r="D789" s="104">
        <v>-179263.93</v>
      </c>
      <c r="E789">
        <v>0</v>
      </c>
      <c r="F789">
        <v>0</v>
      </c>
      <c r="G789" s="104">
        <v>-179263.93</v>
      </c>
      <c r="H789" s="104">
        <f t="shared" si="12"/>
        <v>0</v>
      </c>
    </row>
    <row r="790" spans="2:8" x14ac:dyDescent="0.25">
      <c r="C790" t="s">
        <v>1930</v>
      </c>
      <c r="D790" s="104">
        <v>-134069.76000000001</v>
      </c>
      <c r="E790">
        <v>0</v>
      </c>
      <c r="F790">
        <v>0</v>
      </c>
      <c r="G790" s="104">
        <v>-134069.76000000001</v>
      </c>
      <c r="H790" s="104">
        <f t="shared" si="12"/>
        <v>0</v>
      </c>
    </row>
    <row r="791" spans="2:8" x14ac:dyDescent="0.25">
      <c r="C791" t="s">
        <v>1933</v>
      </c>
      <c r="D791">
        <v>-395.34</v>
      </c>
      <c r="E791">
        <v>0</v>
      </c>
      <c r="F791">
        <v>0</v>
      </c>
      <c r="G791">
        <v>-395.34</v>
      </c>
      <c r="H791" s="104">
        <f t="shared" si="12"/>
        <v>0</v>
      </c>
    </row>
    <row r="792" spans="2:8" x14ac:dyDescent="0.25">
      <c r="C792" t="s">
        <v>1939</v>
      </c>
      <c r="D792" s="104">
        <v>-1440576.22</v>
      </c>
      <c r="E792">
        <v>0</v>
      </c>
      <c r="F792">
        <v>0</v>
      </c>
      <c r="G792" s="104">
        <v>-1440576.22</v>
      </c>
      <c r="H792" s="104">
        <f t="shared" si="12"/>
        <v>0</v>
      </c>
    </row>
    <row r="793" spans="2:8" x14ac:dyDescent="0.25">
      <c r="C793" t="s">
        <v>1943</v>
      </c>
      <c r="D793" s="104">
        <v>-273113.15999999997</v>
      </c>
      <c r="E793">
        <v>0</v>
      </c>
      <c r="F793">
        <v>0</v>
      </c>
      <c r="G793" s="104">
        <v>-273113.15999999997</v>
      </c>
      <c r="H793" s="104">
        <f t="shared" si="12"/>
        <v>0</v>
      </c>
    </row>
    <row r="794" spans="2:8" x14ac:dyDescent="0.25">
      <c r="C794" t="s">
        <v>1759</v>
      </c>
      <c r="D794" s="104">
        <v>-1248360</v>
      </c>
      <c r="E794">
        <v>0</v>
      </c>
      <c r="F794">
        <v>0</v>
      </c>
      <c r="G794" s="104">
        <v>-1248360</v>
      </c>
      <c r="H794" s="104">
        <f t="shared" si="12"/>
        <v>0</v>
      </c>
    </row>
    <row r="795" spans="2:8" x14ac:dyDescent="0.25">
      <c r="C795" t="s">
        <v>1760</v>
      </c>
      <c r="D795" s="104">
        <v>-118082509.95</v>
      </c>
      <c r="E795">
        <v>0</v>
      </c>
      <c r="F795">
        <v>0</v>
      </c>
      <c r="G795" s="104">
        <v>-118082509.95</v>
      </c>
      <c r="H795" s="104">
        <f t="shared" si="12"/>
        <v>0</v>
      </c>
    </row>
    <row r="796" spans="2:8" x14ac:dyDescent="0.25">
      <c r="C796" t="s">
        <v>1961</v>
      </c>
      <c r="D796" s="104">
        <v>-2313030.59</v>
      </c>
      <c r="E796">
        <v>0</v>
      </c>
      <c r="F796">
        <v>0</v>
      </c>
      <c r="G796" s="104">
        <v>-2313030.59</v>
      </c>
      <c r="H796" s="104">
        <f t="shared" si="12"/>
        <v>0</v>
      </c>
    </row>
    <row r="797" spans="2:8" x14ac:dyDescent="0.25">
      <c r="C797" t="s">
        <v>2056</v>
      </c>
      <c r="D797" s="104">
        <v>-300000</v>
      </c>
      <c r="E797">
        <v>0</v>
      </c>
      <c r="F797">
        <v>0</v>
      </c>
      <c r="G797" s="104">
        <v>-300000</v>
      </c>
      <c r="H797" s="104">
        <f t="shared" si="12"/>
        <v>0</v>
      </c>
    </row>
    <row r="798" spans="2:8" x14ac:dyDescent="0.25">
      <c r="B798" t="s">
        <v>1587</v>
      </c>
      <c r="D798" s="104">
        <v>-129219510.01000001</v>
      </c>
      <c r="E798">
        <v>0</v>
      </c>
      <c r="F798" s="104">
        <v>18797.990000000002</v>
      </c>
      <c r="G798" s="104">
        <v>-129238308</v>
      </c>
      <c r="H798" s="832">
        <f t="shared" si="12"/>
        <v>-18797.989999994636</v>
      </c>
    </row>
    <row r="799" spans="2:8" x14ac:dyDescent="0.25">
      <c r="H799" s="104"/>
    </row>
    <row r="800" spans="2:8" x14ac:dyDescent="0.25">
      <c r="B800">
        <v>10305020</v>
      </c>
      <c r="C800" t="s">
        <v>1701</v>
      </c>
      <c r="H800" s="104"/>
    </row>
    <row r="801" spans="3:8" x14ac:dyDescent="0.25">
      <c r="C801" t="s">
        <v>2035</v>
      </c>
      <c r="D801">
        <v>0</v>
      </c>
      <c r="E801">
        <v>0</v>
      </c>
      <c r="F801">
        <v>0</v>
      </c>
      <c r="G801">
        <v>0</v>
      </c>
      <c r="H801" s="104">
        <f t="shared" si="12"/>
        <v>0</v>
      </c>
    </row>
    <row r="802" spans="3:8" x14ac:dyDescent="0.25">
      <c r="C802" t="s">
        <v>1975</v>
      </c>
      <c r="D802" s="104">
        <v>1732.16</v>
      </c>
      <c r="E802">
        <v>0</v>
      </c>
      <c r="F802">
        <v>0</v>
      </c>
      <c r="G802" s="104">
        <v>1732.16</v>
      </c>
      <c r="H802" s="104">
        <f t="shared" si="12"/>
        <v>0</v>
      </c>
    </row>
    <row r="803" spans="3:8" x14ac:dyDescent="0.25">
      <c r="C803" t="s">
        <v>2028</v>
      </c>
      <c r="D803">
        <v>0</v>
      </c>
      <c r="E803">
        <v>0</v>
      </c>
      <c r="F803">
        <v>0</v>
      </c>
      <c r="G803">
        <v>0</v>
      </c>
      <c r="H803" s="104">
        <f t="shared" si="12"/>
        <v>0</v>
      </c>
    </row>
    <row r="804" spans="3:8" x14ac:dyDescent="0.25">
      <c r="C804" t="s">
        <v>1977</v>
      </c>
      <c r="D804" s="104">
        <v>1049.6600000000001</v>
      </c>
      <c r="E804">
        <v>0</v>
      </c>
      <c r="F804">
        <v>0</v>
      </c>
      <c r="G804" s="104">
        <v>1049.6600000000001</v>
      </c>
      <c r="H804" s="104">
        <f t="shared" si="12"/>
        <v>0</v>
      </c>
    </row>
    <row r="805" spans="3:8" x14ac:dyDescent="0.25">
      <c r="C805" t="s">
        <v>2030</v>
      </c>
      <c r="D805">
        <v>0</v>
      </c>
      <c r="E805">
        <v>0</v>
      </c>
      <c r="F805">
        <v>0</v>
      </c>
      <c r="G805">
        <v>0</v>
      </c>
      <c r="H805" s="104">
        <f t="shared" si="12"/>
        <v>0</v>
      </c>
    </row>
    <row r="806" spans="3:8" x14ac:dyDescent="0.25">
      <c r="C806" t="s">
        <v>2060</v>
      </c>
      <c r="D806" s="104">
        <v>2100</v>
      </c>
      <c r="E806">
        <v>0</v>
      </c>
      <c r="F806" s="104">
        <v>2100</v>
      </c>
      <c r="G806">
        <v>0</v>
      </c>
      <c r="H806" s="104">
        <f t="shared" si="12"/>
        <v>-2100</v>
      </c>
    </row>
    <row r="807" spans="3:8" x14ac:dyDescent="0.25">
      <c r="C807" t="s">
        <v>2061</v>
      </c>
      <c r="D807">
        <v>847.33</v>
      </c>
      <c r="E807" s="104">
        <v>6778.6</v>
      </c>
      <c r="F807" s="104">
        <v>7625.91</v>
      </c>
      <c r="G807">
        <v>0.02</v>
      </c>
      <c r="H807" s="104">
        <f t="shared" si="12"/>
        <v>-847.31000000000006</v>
      </c>
    </row>
    <row r="808" spans="3:8" x14ac:dyDescent="0.25">
      <c r="C808" t="s">
        <v>2062</v>
      </c>
      <c r="D808">
        <v>0</v>
      </c>
      <c r="E808">
        <v>0</v>
      </c>
      <c r="F808">
        <v>0</v>
      </c>
      <c r="G808">
        <v>0</v>
      </c>
      <c r="H808" s="104">
        <f t="shared" si="12"/>
        <v>0</v>
      </c>
    </row>
    <row r="809" spans="3:8" x14ac:dyDescent="0.25">
      <c r="C809" t="s">
        <v>2063</v>
      </c>
      <c r="D809">
        <v>0</v>
      </c>
      <c r="E809" s="104">
        <v>10542.16</v>
      </c>
      <c r="F809" s="104">
        <v>10542.16</v>
      </c>
      <c r="G809">
        <v>0</v>
      </c>
      <c r="H809" s="104">
        <f t="shared" si="12"/>
        <v>0</v>
      </c>
    </row>
    <row r="810" spans="3:8" x14ac:dyDescent="0.25">
      <c r="C810" t="s">
        <v>2064</v>
      </c>
      <c r="D810">
        <v>0</v>
      </c>
      <c r="E810">
        <v>0</v>
      </c>
      <c r="F810">
        <v>0</v>
      </c>
      <c r="G810">
        <v>0</v>
      </c>
      <c r="H810" s="104">
        <f t="shared" si="12"/>
        <v>0</v>
      </c>
    </row>
    <row r="811" spans="3:8" x14ac:dyDescent="0.25">
      <c r="C811" t="s">
        <v>2065</v>
      </c>
      <c r="D811">
        <v>0</v>
      </c>
      <c r="E811">
        <v>0</v>
      </c>
      <c r="F811">
        <v>0</v>
      </c>
      <c r="G811">
        <v>0</v>
      </c>
      <c r="H811" s="104">
        <f t="shared" si="12"/>
        <v>0</v>
      </c>
    </row>
    <row r="812" spans="3:8" x14ac:dyDescent="0.25">
      <c r="C812" t="s">
        <v>2066</v>
      </c>
      <c r="D812">
        <v>0</v>
      </c>
      <c r="E812">
        <v>0</v>
      </c>
      <c r="F812">
        <v>0</v>
      </c>
      <c r="G812">
        <v>0</v>
      </c>
      <c r="H812" s="104">
        <f t="shared" si="12"/>
        <v>0</v>
      </c>
    </row>
    <row r="813" spans="3:8" x14ac:dyDescent="0.25">
      <c r="C813" t="s">
        <v>1727</v>
      </c>
      <c r="D813">
        <v>0</v>
      </c>
      <c r="E813">
        <v>0</v>
      </c>
      <c r="F813">
        <v>0</v>
      </c>
      <c r="G813">
        <v>0</v>
      </c>
      <c r="H813" s="104">
        <f t="shared" si="12"/>
        <v>0</v>
      </c>
    </row>
    <row r="814" spans="3:8" x14ac:dyDescent="0.25">
      <c r="C814" t="s">
        <v>2067</v>
      </c>
      <c r="D814">
        <v>979.16</v>
      </c>
      <c r="E814">
        <v>0</v>
      </c>
      <c r="F814">
        <v>979.16</v>
      </c>
      <c r="G814">
        <v>0</v>
      </c>
      <c r="H814" s="104">
        <f t="shared" si="12"/>
        <v>-979.16</v>
      </c>
    </row>
    <row r="815" spans="3:8" x14ac:dyDescent="0.25">
      <c r="C815" t="s">
        <v>1982</v>
      </c>
      <c r="D815" s="104">
        <v>1852.87</v>
      </c>
      <c r="E815" s="104">
        <v>16930.310000000001</v>
      </c>
      <c r="F815" s="104">
        <v>15843.23</v>
      </c>
      <c r="G815" s="104">
        <v>2939.95</v>
      </c>
      <c r="H815" s="104">
        <f t="shared" si="12"/>
        <v>1087.08</v>
      </c>
    </row>
    <row r="816" spans="3:8" x14ac:dyDescent="0.25">
      <c r="C816" t="s">
        <v>2068</v>
      </c>
      <c r="D816">
        <v>0</v>
      </c>
      <c r="E816">
        <v>0</v>
      </c>
      <c r="F816">
        <v>0</v>
      </c>
      <c r="G816">
        <v>0</v>
      </c>
      <c r="H816" s="104">
        <f t="shared" si="12"/>
        <v>0</v>
      </c>
    </row>
    <row r="817" spans="2:8" x14ac:dyDescent="0.25">
      <c r="C817" t="s">
        <v>1729</v>
      </c>
      <c r="D817">
        <v>0</v>
      </c>
      <c r="E817">
        <v>0</v>
      </c>
      <c r="F817">
        <v>0</v>
      </c>
      <c r="G817">
        <v>0</v>
      </c>
      <c r="H817" s="104">
        <f t="shared" si="12"/>
        <v>0</v>
      </c>
    </row>
    <row r="818" spans="2:8" x14ac:dyDescent="0.25">
      <c r="C818" t="s">
        <v>2069</v>
      </c>
      <c r="D818">
        <v>0</v>
      </c>
      <c r="E818">
        <v>0</v>
      </c>
      <c r="F818">
        <v>0</v>
      </c>
      <c r="G818">
        <v>0</v>
      </c>
      <c r="H818" s="104">
        <f t="shared" si="12"/>
        <v>0</v>
      </c>
    </row>
    <row r="819" spans="2:8" x14ac:dyDescent="0.25">
      <c r="C819" t="s">
        <v>2070</v>
      </c>
      <c r="D819">
        <v>624.11</v>
      </c>
      <c r="E819" s="104">
        <v>7489.32</v>
      </c>
      <c r="F819" s="104">
        <v>7489.32</v>
      </c>
      <c r="G819">
        <v>624.11</v>
      </c>
      <c r="H819" s="104">
        <f t="shared" si="12"/>
        <v>0</v>
      </c>
    </row>
    <row r="820" spans="2:8" x14ac:dyDescent="0.25">
      <c r="C820" t="s">
        <v>1725</v>
      </c>
      <c r="D820">
        <v>0</v>
      </c>
      <c r="E820">
        <v>0</v>
      </c>
      <c r="F820">
        <v>0</v>
      </c>
      <c r="G820">
        <v>0</v>
      </c>
      <c r="H820" s="104">
        <f t="shared" si="12"/>
        <v>0</v>
      </c>
    </row>
    <row r="821" spans="2:8" x14ac:dyDescent="0.25">
      <c r="C821" t="s">
        <v>2071</v>
      </c>
      <c r="D821">
        <v>0</v>
      </c>
      <c r="E821" s="104">
        <v>23571.43</v>
      </c>
      <c r="F821" s="104">
        <v>11785.68</v>
      </c>
      <c r="G821" s="104">
        <v>11785.75</v>
      </c>
      <c r="H821" s="104">
        <f t="shared" si="12"/>
        <v>11785.75</v>
      </c>
    </row>
    <row r="822" spans="2:8" x14ac:dyDescent="0.25">
      <c r="C822" t="s">
        <v>1732</v>
      </c>
      <c r="D822">
        <v>955.74</v>
      </c>
      <c r="E822">
        <v>0</v>
      </c>
      <c r="F822">
        <v>0</v>
      </c>
      <c r="G822">
        <v>955.74</v>
      </c>
      <c r="H822" s="104">
        <f t="shared" si="12"/>
        <v>0</v>
      </c>
    </row>
    <row r="823" spans="2:8" x14ac:dyDescent="0.25">
      <c r="B823" t="s">
        <v>1587</v>
      </c>
      <c r="D823" s="104">
        <v>10141.030000000001</v>
      </c>
      <c r="E823" s="104">
        <v>65311.82</v>
      </c>
      <c r="F823" s="104">
        <v>56365.46</v>
      </c>
      <c r="G823" s="104">
        <v>19087.39</v>
      </c>
      <c r="H823" s="104">
        <f t="shared" si="12"/>
        <v>8946.3599999999988</v>
      </c>
    </row>
    <row r="824" spans="2:8" x14ac:dyDescent="0.25">
      <c r="H824" s="104">
        <f t="shared" si="12"/>
        <v>0</v>
      </c>
    </row>
    <row r="825" spans="2:8" x14ac:dyDescent="0.25">
      <c r="B825">
        <v>10404010</v>
      </c>
      <c r="C825" t="s">
        <v>2072</v>
      </c>
      <c r="H825" s="104">
        <f t="shared" si="12"/>
        <v>0</v>
      </c>
    </row>
    <row r="826" spans="2:8" x14ac:dyDescent="0.25">
      <c r="C826" t="s">
        <v>1814</v>
      </c>
      <c r="D826" s="104">
        <v>1627648.16</v>
      </c>
      <c r="E826" s="104">
        <v>1385777.48</v>
      </c>
      <c r="F826" s="104">
        <v>1341685.82</v>
      </c>
      <c r="G826" s="104">
        <v>1671739.82</v>
      </c>
      <c r="H826" s="104">
        <f t="shared" si="12"/>
        <v>44091.660000000149</v>
      </c>
    </row>
    <row r="827" spans="2:8" x14ac:dyDescent="0.25">
      <c r="C827" t="s">
        <v>2073</v>
      </c>
      <c r="D827">
        <v>0</v>
      </c>
      <c r="E827">
        <v>355.36</v>
      </c>
      <c r="F827">
        <v>355.36</v>
      </c>
      <c r="G827">
        <v>0</v>
      </c>
      <c r="H827" s="104">
        <f t="shared" si="12"/>
        <v>0</v>
      </c>
    </row>
    <row r="828" spans="2:8" x14ac:dyDescent="0.25">
      <c r="B828" t="s">
        <v>1587</v>
      </c>
      <c r="D828" s="104">
        <v>1627648.16</v>
      </c>
      <c r="E828" s="104">
        <v>1386132.84</v>
      </c>
      <c r="F828" s="104">
        <v>1342041.18</v>
      </c>
      <c r="G828" s="104">
        <v>1671739.82</v>
      </c>
      <c r="H828" s="832">
        <f t="shared" si="12"/>
        <v>44091.660000000149</v>
      </c>
    </row>
    <row r="829" spans="2:8" x14ac:dyDescent="0.25">
      <c r="H829" s="104"/>
    </row>
    <row r="830" spans="2:8" x14ac:dyDescent="0.25">
      <c r="B830">
        <v>10404020</v>
      </c>
      <c r="C830" t="s">
        <v>2074</v>
      </c>
      <c r="H830" s="104"/>
    </row>
    <row r="831" spans="2:8" x14ac:dyDescent="0.25">
      <c r="B831">
        <v>10501010</v>
      </c>
      <c r="C831" t="s">
        <v>2075</v>
      </c>
      <c r="H831" s="104"/>
    </row>
    <row r="832" spans="2:8" x14ac:dyDescent="0.25">
      <c r="C832" t="s">
        <v>2076</v>
      </c>
      <c r="D832" s="104">
        <v>1601830000</v>
      </c>
      <c r="E832">
        <v>0</v>
      </c>
      <c r="F832" s="104">
        <v>12890000</v>
      </c>
      <c r="G832" s="104">
        <v>1588940000</v>
      </c>
      <c r="H832" s="104">
        <f t="shared" si="12"/>
        <v>-12890000</v>
      </c>
    </row>
    <row r="833" spans="3:8" x14ac:dyDescent="0.25">
      <c r="C833" t="s">
        <v>2077</v>
      </c>
      <c r="D833" s="104">
        <v>163700000</v>
      </c>
      <c r="E833" s="104">
        <v>41580000</v>
      </c>
      <c r="F833" s="104">
        <v>1000</v>
      </c>
      <c r="G833" s="104">
        <v>205279000</v>
      </c>
      <c r="H833" s="104">
        <f t="shared" si="12"/>
        <v>41579000</v>
      </c>
    </row>
    <row r="834" spans="3:8" x14ac:dyDescent="0.25">
      <c r="C834" t="s">
        <v>2078</v>
      </c>
      <c r="D834" s="104">
        <v>755300000</v>
      </c>
      <c r="E834" s="104">
        <v>445930000</v>
      </c>
      <c r="F834">
        <v>0</v>
      </c>
      <c r="G834" s="104">
        <v>1201230000</v>
      </c>
      <c r="H834" s="104">
        <f t="shared" si="12"/>
        <v>445930000</v>
      </c>
    </row>
    <row r="835" spans="3:8" x14ac:dyDescent="0.25">
      <c r="C835" t="s">
        <v>2079</v>
      </c>
      <c r="D835" s="104">
        <v>823663500</v>
      </c>
      <c r="E835">
        <v>0</v>
      </c>
      <c r="F835" s="104">
        <v>24963500</v>
      </c>
      <c r="G835" s="104">
        <v>798700000</v>
      </c>
      <c r="H835" s="104">
        <f t="shared" si="12"/>
        <v>-24963500</v>
      </c>
    </row>
    <row r="836" spans="3:8" x14ac:dyDescent="0.25">
      <c r="C836" t="s">
        <v>2080</v>
      </c>
      <c r="D836" s="104">
        <v>821486900</v>
      </c>
      <c r="E836" s="104">
        <v>1706165100</v>
      </c>
      <c r="F836">
        <v>0</v>
      </c>
      <c r="G836" s="104">
        <v>2527652000</v>
      </c>
      <c r="H836" s="104">
        <f t="shared" ref="H836:H899" si="13">G836-D836</f>
        <v>1706165100</v>
      </c>
    </row>
    <row r="837" spans="3:8" x14ac:dyDescent="0.25">
      <c r="C837" t="s">
        <v>2081</v>
      </c>
      <c r="D837" s="104">
        <v>1065127000</v>
      </c>
      <c r="E837" s="104">
        <v>7737000</v>
      </c>
      <c r="F837">
        <v>0</v>
      </c>
      <c r="G837" s="104">
        <v>1072864000</v>
      </c>
      <c r="H837" s="104">
        <f t="shared" si="13"/>
        <v>7737000</v>
      </c>
    </row>
    <row r="838" spans="3:8" x14ac:dyDescent="0.25">
      <c r="C838" t="s">
        <v>2082</v>
      </c>
      <c r="D838" s="104">
        <v>571140000</v>
      </c>
      <c r="E838" s="104">
        <v>30060000</v>
      </c>
      <c r="F838">
        <v>0</v>
      </c>
      <c r="G838" s="104">
        <v>601200000</v>
      </c>
      <c r="H838" s="104">
        <f t="shared" si="13"/>
        <v>30060000</v>
      </c>
    </row>
    <row r="839" spans="3:8" x14ac:dyDescent="0.25">
      <c r="C839" t="s">
        <v>2083</v>
      </c>
      <c r="D839" s="104">
        <v>104480000</v>
      </c>
      <c r="E839" s="104">
        <v>2055000</v>
      </c>
      <c r="F839">
        <v>0</v>
      </c>
      <c r="G839" s="104">
        <v>106535000</v>
      </c>
      <c r="H839" s="104">
        <f t="shared" si="13"/>
        <v>2055000</v>
      </c>
    </row>
    <row r="840" spans="3:8" x14ac:dyDescent="0.25">
      <c r="C840" t="s">
        <v>2084</v>
      </c>
      <c r="D840" s="104">
        <v>364240000</v>
      </c>
      <c r="E840" s="104">
        <v>36950000</v>
      </c>
      <c r="F840">
        <v>0</v>
      </c>
      <c r="G840" s="104">
        <v>401190000</v>
      </c>
      <c r="H840" s="104">
        <f t="shared" si="13"/>
        <v>36950000</v>
      </c>
    </row>
    <row r="841" spans="3:8" x14ac:dyDescent="0.25">
      <c r="C841" t="s">
        <v>2085</v>
      </c>
      <c r="D841" s="104">
        <v>41320000</v>
      </c>
      <c r="E841" s="104">
        <v>4760000</v>
      </c>
      <c r="F841">
        <v>0</v>
      </c>
      <c r="G841" s="104">
        <v>46080000</v>
      </c>
      <c r="H841" s="104">
        <f t="shared" si="13"/>
        <v>4760000</v>
      </c>
    </row>
    <row r="842" spans="3:8" x14ac:dyDescent="0.25">
      <c r="C842" t="s">
        <v>2086</v>
      </c>
      <c r="D842" s="104">
        <v>1030660000</v>
      </c>
      <c r="E842" s="104">
        <v>226240000</v>
      </c>
      <c r="F842">
        <v>0</v>
      </c>
      <c r="G842" s="104">
        <v>1256900000</v>
      </c>
      <c r="H842" s="104">
        <f t="shared" si="13"/>
        <v>226240000</v>
      </c>
    </row>
    <row r="843" spans="3:8" x14ac:dyDescent="0.25">
      <c r="C843" t="s">
        <v>2087</v>
      </c>
      <c r="D843" s="104">
        <v>25300000</v>
      </c>
      <c r="E843" s="104">
        <v>6540000</v>
      </c>
      <c r="F843">
        <v>0</v>
      </c>
      <c r="G843" s="104">
        <v>31840000</v>
      </c>
      <c r="H843" s="104">
        <f t="shared" si="13"/>
        <v>6540000</v>
      </c>
    </row>
    <row r="844" spans="3:8" x14ac:dyDescent="0.25">
      <c r="C844" t="s">
        <v>2088</v>
      </c>
      <c r="D844" s="104">
        <v>285112000</v>
      </c>
      <c r="E844" s="104">
        <v>3768000</v>
      </c>
      <c r="F844">
        <v>0</v>
      </c>
      <c r="G844" s="104">
        <v>288880000</v>
      </c>
      <c r="H844" s="104">
        <f t="shared" si="13"/>
        <v>3768000</v>
      </c>
    </row>
    <row r="845" spans="3:8" x14ac:dyDescent="0.25">
      <c r="C845" t="s">
        <v>2089</v>
      </c>
      <c r="D845" s="104">
        <v>436740000</v>
      </c>
      <c r="E845" s="104">
        <v>2140000</v>
      </c>
      <c r="F845">
        <v>0</v>
      </c>
      <c r="G845" s="104">
        <v>438880000</v>
      </c>
      <c r="H845" s="104">
        <f t="shared" si="13"/>
        <v>2140000</v>
      </c>
    </row>
    <row r="846" spans="3:8" x14ac:dyDescent="0.25">
      <c r="C846" t="s">
        <v>2090</v>
      </c>
      <c r="D846" s="104">
        <v>557130000</v>
      </c>
      <c r="E846" s="104">
        <v>50786000</v>
      </c>
      <c r="F846">
        <v>0</v>
      </c>
      <c r="G846" s="104">
        <v>607916000</v>
      </c>
      <c r="H846" s="104">
        <f t="shared" si="13"/>
        <v>50786000</v>
      </c>
    </row>
    <row r="847" spans="3:8" x14ac:dyDescent="0.25">
      <c r="C847" t="s">
        <v>2091</v>
      </c>
      <c r="D847" s="104">
        <v>2256207750</v>
      </c>
      <c r="E847" s="104">
        <v>451241550</v>
      </c>
      <c r="F847">
        <v>0</v>
      </c>
      <c r="G847" s="104">
        <v>2707449300</v>
      </c>
      <c r="H847" s="104">
        <f t="shared" si="13"/>
        <v>451241550</v>
      </c>
    </row>
    <row r="848" spans="3:8" x14ac:dyDescent="0.25">
      <c r="C848" t="s">
        <v>2092</v>
      </c>
      <c r="D848" s="104">
        <v>203530000</v>
      </c>
      <c r="E848" s="104">
        <v>5520000</v>
      </c>
      <c r="F848">
        <v>0</v>
      </c>
      <c r="G848" s="104">
        <v>209050000</v>
      </c>
      <c r="H848" s="104">
        <f t="shared" si="13"/>
        <v>5520000</v>
      </c>
    </row>
    <row r="849" spans="3:8" x14ac:dyDescent="0.25">
      <c r="C849" t="s">
        <v>2093</v>
      </c>
      <c r="D849" s="104">
        <v>199462500</v>
      </c>
      <c r="E849" s="104">
        <v>3037500</v>
      </c>
      <c r="F849">
        <v>0</v>
      </c>
      <c r="G849" s="104">
        <v>202500000</v>
      </c>
      <c r="H849" s="104">
        <f t="shared" si="13"/>
        <v>3037500</v>
      </c>
    </row>
    <row r="850" spans="3:8" x14ac:dyDescent="0.25">
      <c r="C850" t="s">
        <v>2094</v>
      </c>
      <c r="D850" s="104">
        <v>28640000</v>
      </c>
      <c r="E850" s="104">
        <v>4280000</v>
      </c>
      <c r="F850">
        <v>0</v>
      </c>
      <c r="G850" s="104">
        <v>32920000</v>
      </c>
      <c r="H850" s="104">
        <f t="shared" si="13"/>
        <v>4280000</v>
      </c>
    </row>
    <row r="851" spans="3:8" x14ac:dyDescent="0.25">
      <c r="C851" t="s">
        <v>2095</v>
      </c>
      <c r="D851" s="104">
        <v>6203943000</v>
      </c>
      <c r="E851" s="104">
        <v>26643000</v>
      </c>
      <c r="F851">
        <v>0</v>
      </c>
      <c r="G851" s="104">
        <v>6230586000</v>
      </c>
      <c r="H851" s="104">
        <f t="shared" si="13"/>
        <v>26643000</v>
      </c>
    </row>
    <row r="852" spans="3:8" x14ac:dyDescent="0.25">
      <c r="C852" t="s">
        <v>2096</v>
      </c>
      <c r="D852" s="104">
        <v>6550820759.5</v>
      </c>
      <c r="E852" s="104">
        <v>344780040</v>
      </c>
      <c r="F852">
        <v>0</v>
      </c>
      <c r="G852" s="104">
        <v>6895600799.5</v>
      </c>
      <c r="H852" s="104">
        <f t="shared" si="13"/>
        <v>344780040</v>
      </c>
    </row>
    <row r="853" spans="3:8" x14ac:dyDescent="0.25">
      <c r="C853" t="s">
        <v>2097</v>
      </c>
      <c r="D853" s="104">
        <v>29400000.43</v>
      </c>
      <c r="E853" s="104">
        <v>21335000</v>
      </c>
      <c r="F853" s="104">
        <v>21355000</v>
      </c>
      <c r="G853" s="104">
        <v>29380000.43</v>
      </c>
      <c r="H853" s="104">
        <f t="shared" si="13"/>
        <v>-20000</v>
      </c>
    </row>
    <row r="854" spans="3:8" x14ac:dyDescent="0.25">
      <c r="C854" t="s">
        <v>2098</v>
      </c>
      <c r="D854" s="104">
        <v>13295766.939999999</v>
      </c>
      <c r="E854" s="104">
        <v>4451147643</v>
      </c>
      <c r="F854" s="104">
        <v>3958321300</v>
      </c>
      <c r="G854" s="104">
        <v>506122109.94</v>
      </c>
      <c r="H854" s="104">
        <f t="shared" si="13"/>
        <v>492826343</v>
      </c>
    </row>
    <row r="855" spans="3:8" x14ac:dyDescent="0.25">
      <c r="C855" t="s">
        <v>2099</v>
      </c>
      <c r="D855" s="104">
        <v>1740529999.3</v>
      </c>
      <c r="E855" s="104">
        <v>593024000</v>
      </c>
      <c r="F855" s="104">
        <v>172499000</v>
      </c>
      <c r="G855" s="104">
        <v>2161054999.3000002</v>
      </c>
      <c r="H855" s="104">
        <f t="shared" si="13"/>
        <v>420525000.00000024</v>
      </c>
    </row>
    <row r="856" spans="3:8" x14ac:dyDescent="0.25">
      <c r="C856" t="s">
        <v>2100</v>
      </c>
      <c r="D856" s="104">
        <v>9860000</v>
      </c>
      <c r="E856" s="104">
        <v>3940000</v>
      </c>
      <c r="F856">
        <v>0</v>
      </c>
      <c r="G856" s="104">
        <v>13800000</v>
      </c>
      <c r="H856" s="104">
        <f t="shared" si="13"/>
        <v>3940000</v>
      </c>
    </row>
    <row r="857" spans="3:8" x14ac:dyDescent="0.25">
      <c r="C857" t="s">
        <v>2101</v>
      </c>
      <c r="D857" s="104">
        <v>12980000</v>
      </c>
      <c r="E857">
        <v>0</v>
      </c>
      <c r="F857">
        <v>0</v>
      </c>
      <c r="G857" s="104">
        <v>12980000</v>
      </c>
      <c r="H857" s="104">
        <f t="shared" si="13"/>
        <v>0</v>
      </c>
    </row>
    <row r="858" spans="3:8" x14ac:dyDescent="0.25">
      <c r="C858" t="s">
        <v>2102</v>
      </c>
      <c r="D858" s="104">
        <v>6920000</v>
      </c>
      <c r="E858">
        <v>0</v>
      </c>
      <c r="F858">
        <v>0</v>
      </c>
      <c r="G858" s="104">
        <v>6920000</v>
      </c>
      <c r="H858" s="104">
        <f t="shared" si="13"/>
        <v>0</v>
      </c>
    </row>
    <row r="859" spans="3:8" x14ac:dyDescent="0.25">
      <c r="C859" t="s">
        <v>2103</v>
      </c>
      <c r="D859" s="104">
        <v>7560000.2199999997</v>
      </c>
      <c r="E859" s="104">
        <v>50000</v>
      </c>
      <c r="F859">
        <v>0</v>
      </c>
      <c r="G859" s="104">
        <v>7610000.2199999997</v>
      </c>
      <c r="H859" s="104">
        <f t="shared" si="13"/>
        <v>50000</v>
      </c>
    </row>
    <row r="860" spans="3:8" x14ac:dyDescent="0.25">
      <c r="C860" t="s">
        <v>2104</v>
      </c>
      <c r="D860" s="104">
        <v>147616000</v>
      </c>
      <c r="E860" s="104">
        <v>17134000</v>
      </c>
      <c r="F860" s="104">
        <v>19770000</v>
      </c>
      <c r="G860" s="104">
        <v>144980000</v>
      </c>
      <c r="H860" s="104">
        <f t="shared" si="13"/>
        <v>-2636000</v>
      </c>
    </row>
    <row r="861" spans="3:8" x14ac:dyDescent="0.25">
      <c r="C861" t="s">
        <v>2105</v>
      </c>
      <c r="D861" s="104">
        <v>38500000</v>
      </c>
      <c r="E861" s="104">
        <v>5910000</v>
      </c>
      <c r="F861">
        <v>0</v>
      </c>
      <c r="G861" s="104">
        <v>44410000</v>
      </c>
      <c r="H861" s="104">
        <f t="shared" si="13"/>
        <v>5910000</v>
      </c>
    </row>
    <row r="862" spans="3:8" x14ac:dyDescent="0.25">
      <c r="C862" t="s">
        <v>2106</v>
      </c>
      <c r="D862" s="104">
        <v>25870000</v>
      </c>
      <c r="E862" s="104">
        <v>5680000</v>
      </c>
      <c r="F862">
        <v>0</v>
      </c>
      <c r="G862" s="104">
        <v>31550000</v>
      </c>
      <c r="H862" s="104">
        <f t="shared" si="13"/>
        <v>5680000</v>
      </c>
    </row>
    <row r="863" spans="3:8" x14ac:dyDescent="0.25">
      <c r="C863" t="s">
        <v>2107</v>
      </c>
      <c r="D863" s="104">
        <v>17480000</v>
      </c>
      <c r="E863" s="104">
        <v>1680000</v>
      </c>
      <c r="F863">
        <v>0</v>
      </c>
      <c r="G863" s="104">
        <v>19160000</v>
      </c>
      <c r="H863" s="104">
        <f t="shared" si="13"/>
        <v>1680000</v>
      </c>
    </row>
    <row r="864" spans="3:8" x14ac:dyDescent="0.25">
      <c r="C864" t="s">
        <v>2108</v>
      </c>
      <c r="D864" s="104">
        <v>1400000</v>
      </c>
      <c r="E864" s="104">
        <v>280000</v>
      </c>
      <c r="F864">
        <v>0</v>
      </c>
      <c r="G864" s="104">
        <v>1680000</v>
      </c>
      <c r="H864" s="104">
        <f t="shared" si="13"/>
        <v>280000</v>
      </c>
    </row>
    <row r="865" spans="3:8" x14ac:dyDescent="0.25">
      <c r="C865" t="s">
        <v>2109</v>
      </c>
      <c r="D865" s="104">
        <v>40000000</v>
      </c>
      <c r="E865" s="104">
        <v>25000000</v>
      </c>
      <c r="F865">
        <v>0</v>
      </c>
      <c r="G865" s="104">
        <v>65000000</v>
      </c>
      <c r="H865" s="104">
        <f t="shared" si="13"/>
        <v>25000000</v>
      </c>
    </row>
    <row r="866" spans="3:8" x14ac:dyDescent="0.25">
      <c r="C866" t="s">
        <v>2110</v>
      </c>
      <c r="D866" s="104">
        <v>1270000</v>
      </c>
      <c r="E866" s="104">
        <v>990000</v>
      </c>
      <c r="F866">
        <v>0</v>
      </c>
      <c r="G866" s="104">
        <v>2260000</v>
      </c>
      <c r="H866" s="104">
        <f t="shared" si="13"/>
        <v>990000</v>
      </c>
    </row>
    <row r="867" spans="3:8" x14ac:dyDescent="0.25">
      <c r="C867" t="s">
        <v>2111</v>
      </c>
      <c r="D867" s="104">
        <v>2680000</v>
      </c>
      <c r="E867" s="104">
        <v>1085000</v>
      </c>
      <c r="F867">
        <v>0</v>
      </c>
      <c r="G867" s="104">
        <v>3765000</v>
      </c>
      <c r="H867" s="104">
        <f t="shared" si="13"/>
        <v>1085000</v>
      </c>
    </row>
    <row r="868" spans="3:8" x14ac:dyDescent="0.25">
      <c r="C868" t="s">
        <v>2112</v>
      </c>
      <c r="D868" s="104">
        <v>1000000</v>
      </c>
      <c r="E868" s="104">
        <v>100000</v>
      </c>
      <c r="F868">
        <v>0</v>
      </c>
      <c r="G868" s="104">
        <v>1100000</v>
      </c>
      <c r="H868" s="104">
        <f t="shared" si="13"/>
        <v>100000</v>
      </c>
    </row>
    <row r="869" spans="3:8" x14ac:dyDescent="0.25">
      <c r="C869" t="s">
        <v>2113</v>
      </c>
      <c r="D869" s="104">
        <v>41850000</v>
      </c>
      <c r="E869" s="104">
        <v>12030000</v>
      </c>
      <c r="F869">
        <v>0</v>
      </c>
      <c r="G869" s="104">
        <v>53880000</v>
      </c>
      <c r="H869" s="104">
        <f t="shared" si="13"/>
        <v>12030000</v>
      </c>
    </row>
    <row r="870" spans="3:8" x14ac:dyDescent="0.25">
      <c r="C870" t="s">
        <v>2114</v>
      </c>
      <c r="D870" s="104">
        <v>18990000.420000002</v>
      </c>
      <c r="E870" s="104">
        <v>4110000</v>
      </c>
      <c r="F870" s="104">
        <v>760000</v>
      </c>
      <c r="G870" s="104">
        <v>22340000.420000002</v>
      </c>
      <c r="H870" s="104">
        <f t="shared" si="13"/>
        <v>3350000</v>
      </c>
    </row>
    <row r="871" spans="3:8" x14ac:dyDescent="0.25">
      <c r="C871" t="s">
        <v>2115</v>
      </c>
      <c r="D871" s="104">
        <v>44920000</v>
      </c>
      <c r="E871" s="104">
        <v>28090000</v>
      </c>
      <c r="F871">
        <v>0</v>
      </c>
      <c r="G871" s="104">
        <v>73010000</v>
      </c>
      <c r="H871" s="104">
        <f t="shared" si="13"/>
        <v>28090000</v>
      </c>
    </row>
    <row r="872" spans="3:8" x14ac:dyDescent="0.25">
      <c r="C872" t="s">
        <v>2116</v>
      </c>
      <c r="D872" s="104">
        <v>2480000</v>
      </c>
      <c r="E872" s="104">
        <v>530000</v>
      </c>
      <c r="F872">
        <v>0</v>
      </c>
      <c r="G872" s="104">
        <v>3010000</v>
      </c>
      <c r="H872" s="104">
        <f t="shared" si="13"/>
        <v>530000</v>
      </c>
    </row>
    <row r="873" spans="3:8" x14ac:dyDescent="0.25">
      <c r="C873" t="s">
        <v>2117</v>
      </c>
      <c r="D873" s="104">
        <v>39870000</v>
      </c>
      <c r="E873" s="104">
        <v>5110000</v>
      </c>
      <c r="F873">
        <v>0</v>
      </c>
      <c r="G873" s="104">
        <v>44980000</v>
      </c>
      <c r="H873" s="104">
        <f t="shared" si="13"/>
        <v>5110000</v>
      </c>
    </row>
    <row r="874" spans="3:8" x14ac:dyDescent="0.25">
      <c r="C874" t="s">
        <v>2118</v>
      </c>
      <c r="D874" s="104">
        <v>780000</v>
      </c>
      <c r="E874" s="104">
        <v>615000</v>
      </c>
      <c r="F874">
        <v>0</v>
      </c>
      <c r="G874" s="104">
        <v>1395000</v>
      </c>
      <c r="H874" s="104">
        <f t="shared" si="13"/>
        <v>615000</v>
      </c>
    </row>
    <row r="875" spans="3:8" x14ac:dyDescent="0.25">
      <c r="C875" t="s">
        <v>2119</v>
      </c>
      <c r="D875" s="104">
        <v>36900000</v>
      </c>
      <c r="E875" s="104">
        <v>3310000</v>
      </c>
      <c r="F875">
        <v>0</v>
      </c>
      <c r="G875" s="104">
        <v>40210000</v>
      </c>
      <c r="H875" s="104">
        <f t="shared" si="13"/>
        <v>3310000</v>
      </c>
    </row>
    <row r="876" spans="3:8" x14ac:dyDescent="0.25">
      <c r="C876" t="s">
        <v>2120</v>
      </c>
      <c r="D876" s="104">
        <v>2880000</v>
      </c>
      <c r="E876" s="104">
        <v>880000</v>
      </c>
      <c r="F876">
        <v>0</v>
      </c>
      <c r="G876" s="104">
        <v>3760000</v>
      </c>
      <c r="H876" s="104">
        <f t="shared" si="13"/>
        <v>880000</v>
      </c>
    </row>
    <row r="877" spans="3:8" x14ac:dyDescent="0.25">
      <c r="C877" t="s">
        <v>2121</v>
      </c>
      <c r="D877" s="104">
        <v>20670000</v>
      </c>
      <c r="E877" s="104">
        <v>2210000</v>
      </c>
      <c r="F877">
        <v>0</v>
      </c>
      <c r="G877" s="104">
        <v>22880000</v>
      </c>
      <c r="H877" s="104">
        <f t="shared" si="13"/>
        <v>2210000</v>
      </c>
    </row>
    <row r="878" spans="3:8" x14ac:dyDescent="0.25">
      <c r="C878" t="s">
        <v>2122</v>
      </c>
      <c r="D878" s="104">
        <v>350000</v>
      </c>
      <c r="E878" s="104">
        <v>30000</v>
      </c>
      <c r="F878">
        <v>0</v>
      </c>
      <c r="G878" s="104">
        <v>380000</v>
      </c>
      <c r="H878" s="104">
        <f t="shared" si="13"/>
        <v>30000</v>
      </c>
    </row>
    <row r="879" spans="3:8" x14ac:dyDescent="0.25">
      <c r="C879" t="s">
        <v>2123</v>
      </c>
      <c r="D879" s="104">
        <v>2490000</v>
      </c>
      <c r="E879" s="104">
        <v>110000</v>
      </c>
      <c r="F879">
        <v>0</v>
      </c>
      <c r="G879" s="104">
        <v>2600000</v>
      </c>
      <c r="H879" s="104">
        <f t="shared" si="13"/>
        <v>110000</v>
      </c>
    </row>
    <row r="880" spans="3:8" x14ac:dyDescent="0.25">
      <c r="C880" t="s">
        <v>2124</v>
      </c>
      <c r="D880" s="104">
        <v>810000</v>
      </c>
      <c r="E880" s="104">
        <v>90000</v>
      </c>
      <c r="F880">
        <v>0</v>
      </c>
      <c r="G880" s="104">
        <v>900000</v>
      </c>
      <c r="H880" s="104">
        <f t="shared" si="13"/>
        <v>90000</v>
      </c>
    </row>
    <row r="881" spans="2:8" x14ac:dyDescent="0.25">
      <c r="C881" t="s">
        <v>2125</v>
      </c>
      <c r="D881">
        <v>0</v>
      </c>
      <c r="E881">
        <v>0</v>
      </c>
      <c r="F881">
        <v>0</v>
      </c>
      <c r="G881">
        <v>0</v>
      </c>
      <c r="H881" s="104">
        <f t="shared" si="13"/>
        <v>0</v>
      </c>
    </row>
    <row r="882" spans="2:8" x14ac:dyDescent="0.25">
      <c r="C882" t="s">
        <v>2126</v>
      </c>
      <c r="D882">
        <v>0</v>
      </c>
      <c r="E882">
        <v>0</v>
      </c>
      <c r="F882">
        <v>0</v>
      </c>
      <c r="G882">
        <v>0</v>
      </c>
      <c r="H882" s="104">
        <f t="shared" si="13"/>
        <v>0</v>
      </c>
    </row>
    <row r="883" spans="2:8" x14ac:dyDescent="0.25">
      <c r="C883" t="s">
        <v>2127</v>
      </c>
      <c r="D883" s="104">
        <v>9390000</v>
      </c>
      <c r="E883" s="104">
        <v>1670000</v>
      </c>
      <c r="F883">
        <v>0</v>
      </c>
      <c r="G883" s="104">
        <v>11060000</v>
      </c>
      <c r="H883" s="104">
        <f t="shared" si="13"/>
        <v>1670000</v>
      </c>
    </row>
    <row r="884" spans="2:8" x14ac:dyDescent="0.25">
      <c r="C884" t="s">
        <v>2128</v>
      </c>
      <c r="D884" s="104">
        <v>663000</v>
      </c>
      <c r="E884" s="104">
        <v>51000</v>
      </c>
      <c r="F884">
        <v>0</v>
      </c>
      <c r="G884" s="104">
        <v>714000</v>
      </c>
      <c r="H884" s="104">
        <f t="shared" si="13"/>
        <v>51000</v>
      </c>
    </row>
    <row r="885" spans="2:8" x14ac:dyDescent="0.25">
      <c r="C885" t="s">
        <v>2129</v>
      </c>
      <c r="D885" s="104">
        <v>1494000</v>
      </c>
      <c r="E885" s="104">
        <v>1496000</v>
      </c>
      <c r="F885">
        <v>0</v>
      </c>
      <c r="G885" s="104">
        <v>2990000</v>
      </c>
      <c r="H885" s="104">
        <f t="shared" si="13"/>
        <v>1496000</v>
      </c>
    </row>
    <row r="886" spans="2:8" x14ac:dyDescent="0.25">
      <c r="C886" t="s">
        <v>2130</v>
      </c>
      <c r="D886" s="104">
        <v>306918000</v>
      </c>
      <c r="E886" s="104">
        <v>34102000</v>
      </c>
      <c r="F886">
        <v>0</v>
      </c>
      <c r="G886" s="104">
        <v>341020000</v>
      </c>
      <c r="H886" s="104">
        <f t="shared" si="13"/>
        <v>34102000</v>
      </c>
    </row>
    <row r="887" spans="2:8" x14ac:dyDescent="0.25">
      <c r="B887" t="s">
        <v>1587</v>
      </c>
      <c r="D887" s="104">
        <v>26717650176.810001</v>
      </c>
      <c r="E887" s="104">
        <v>8622002833</v>
      </c>
      <c r="F887" s="104">
        <v>4210559800</v>
      </c>
      <c r="G887" s="104">
        <v>31129093209.810001</v>
      </c>
      <c r="H887" s="832">
        <f t="shared" si="13"/>
        <v>4411443033</v>
      </c>
    </row>
    <row r="888" spans="2:8" x14ac:dyDescent="0.25">
      <c r="H888" s="104"/>
    </row>
    <row r="889" spans="2:8" x14ac:dyDescent="0.25">
      <c r="B889">
        <v>10501020</v>
      </c>
      <c r="C889" t="s">
        <v>175</v>
      </c>
      <c r="H889" s="104"/>
    </row>
    <row r="890" spans="2:8" x14ac:dyDescent="0.25">
      <c r="C890" t="s">
        <v>2131</v>
      </c>
      <c r="D890" s="104">
        <v>925400</v>
      </c>
      <c r="E890">
        <v>0</v>
      </c>
      <c r="F890">
        <v>0</v>
      </c>
      <c r="G890" s="104">
        <v>925400</v>
      </c>
      <c r="H890" s="104">
        <f t="shared" si="13"/>
        <v>0</v>
      </c>
    </row>
    <row r="891" spans="2:8" x14ac:dyDescent="0.25">
      <c r="C891" t="s">
        <v>2132</v>
      </c>
      <c r="D891" s="104">
        <v>100473000</v>
      </c>
      <c r="E891" s="104">
        <v>26932000</v>
      </c>
      <c r="F891">
        <v>0</v>
      </c>
      <c r="G891" s="104">
        <v>127405000</v>
      </c>
      <c r="H891" s="104">
        <f t="shared" si="13"/>
        <v>26932000</v>
      </c>
    </row>
    <row r="892" spans="2:8" x14ac:dyDescent="0.25">
      <c r="C892" t="s">
        <v>2133</v>
      </c>
      <c r="D892" s="104">
        <v>209942102.49000001</v>
      </c>
      <c r="E892" s="104">
        <v>8951627.5899999999</v>
      </c>
      <c r="F892" s="104">
        <v>21535969.59</v>
      </c>
      <c r="G892" s="104">
        <v>197357760.49000001</v>
      </c>
      <c r="H892" s="104">
        <f t="shared" si="13"/>
        <v>-12584342</v>
      </c>
    </row>
    <row r="893" spans="2:8" x14ac:dyDescent="0.25">
      <c r="C893" t="s">
        <v>2134</v>
      </c>
      <c r="D893" s="104">
        <v>15824000</v>
      </c>
      <c r="E893" s="104">
        <v>126000</v>
      </c>
      <c r="F893">
        <v>0</v>
      </c>
      <c r="G893" s="104">
        <v>15950000</v>
      </c>
      <c r="H893" s="104">
        <f t="shared" si="13"/>
        <v>126000</v>
      </c>
    </row>
    <row r="894" spans="2:8" x14ac:dyDescent="0.25">
      <c r="C894" t="s">
        <v>2128</v>
      </c>
      <c r="D894" s="104">
        <v>246000</v>
      </c>
      <c r="E894" s="104">
        <v>1000</v>
      </c>
      <c r="F894">
        <v>0</v>
      </c>
      <c r="G894" s="104">
        <v>247000</v>
      </c>
      <c r="H894" s="104">
        <f t="shared" si="13"/>
        <v>1000</v>
      </c>
    </row>
    <row r="895" spans="2:8" x14ac:dyDescent="0.25">
      <c r="C895" t="s">
        <v>2129</v>
      </c>
      <c r="D895">
        <v>0</v>
      </c>
      <c r="E895" s="104">
        <v>1260000</v>
      </c>
      <c r="F895">
        <v>0</v>
      </c>
      <c r="G895" s="104">
        <v>1260000</v>
      </c>
      <c r="H895" s="104">
        <f t="shared" si="13"/>
        <v>1260000</v>
      </c>
    </row>
    <row r="896" spans="2:8" x14ac:dyDescent="0.25">
      <c r="B896" t="s">
        <v>1587</v>
      </c>
      <c r="D896" s="104">
        <v>327410502.49000001</v>
      </c>
      <c r="E896" s="104">
        <v>37270627.590000004</v>
      </c>
      <c r="F896" s="104">
        <v>21535969.59</v>
      </c>
      <c r="G896" s="104">
        <v>343145160.49000001</v>
      </c>
      <c r="H896" s="832">
        <f t="shared" si="13"/>
        <v>15734658</v>
      </c>
    </row>
    <row r="897" spans="2:8" x14ac:dyDescent="0.25">
      <c r="H897" s="104"/>
    </row>
    <row r="898" spans="2:8" x14ac:dyDescent="0.25">
      <c r="B898">
        <v>10599010</v>
      </c>
      <c r="C898" t="s">
        <v>2135</v>
      </c>
      <c r="H898" s="104"/>
    </row>
    <row r="899" spans="2:8" x14ac:dyDescent="0.25">
      <c r="C899" t="s">
        <v>2136</v>
      </c>
      <c r="D899" s="104">
        <v>23542216.300000001</v>
      </c>
      <c r="E899" s="104">
        <v>102857361.2</v>
      </c>
      <c r="F899">
        <v>0</v>
      </c>
      <c r="G899" s="104">
        <v>126399577.5</v>
      </c>
      <c r="H899" s="104">
        <f t="shared" si="13"/>
        <v>102857361.2</v>
      </c>
    </row>
    <row r="900" spans="2:8" x14ac:dyDescent="0.25">
      <c r="C900" t="s">
        <v>1814</v>
      </c>
      <c r="D900" s="104">
        <v>7709734.3200000003</v>
      </c>
      <c r="E900">
        <v>0</v>
      </c>
      <c r="F900" s="104">
        <v>967857.72</v>
      </c>
      <c r="G900" s="104">
        <v>6741876.5999999996</v>
      </c>
      <c r="H900" s="104">
        <f t="shared" ref="H900:H963" si="14">G900-D900</f>
        <v>-967857.72000000067</v>
      </c>
    </row>
    <row r="901" spans="2:8" x14ac:dyDescent="0.25">
      <c r="C901" t="s">
        <v>2137</v>
      </c>
      <c r="D901" s="104">
        <v>1930000</v>
      </c>
      <c r="E901" s="104">
        <v>3720769.23</v>
      </c>
      <c r="F901">
        <v>0</v>
      </c>
      <c r="G901" s="104">
        <v>5650769.2300000004</v>
      </c>
      <c r="H901" s="104">
        <f t="shared" si="14"/>
        <v>3720769.2300000004</v>
      </c>
    </row>
    <row r="902" spans="2:8" x14ac:dyDescent="0.25">
      <c r="C902" t="s">
        <v>2138</v>
      </c>
      <c r="D902" s="104">
        <v>55440</v>
      </c>
      <c r="E902">
        <v>0</v>
      </c>
      <c r="F902">
        <v>0</v>
      </c>
      <c r="G902" s="104">
        <v>55440</v>
      </c>
      <c r="H902" s="104">
        <f t="shared" si="14"/>
        <v>0</v>
      </c>
    </row>
    <row r="903" spans="2:8" x14ac:dyDescent="0.25">
      <c r="C903" t="s">
        <v>2139</v>
      </c>
      <c r="D903">
        <v>0</v>
      </c>
      <c r="E903" s="104">
        <v>1256789.23</v>
      </c>
      <c r="F903">
        <v>0</v>
      </c>
      <c r="G903" s="104">
        <v>1256789.23</v>
      </c>
      <c r="H903" s="104">
        <f t="shared" si="14"/>
        <v>1256789.23</v>
      </c>
    </row>
    <row r="904" spans="2:8" x14ac:dyDescent="0.25">
      <c r="B904" t="s">
        <v>1587</v>
      </c>
      <c r="D904" s="104">
        <v>33237390.620000001</v>
      </c>
      <c r="E904" s="104">
        <v>107834919.66</v>
      </c>
      <c r="F904" s="104">
        <v>967857.72</v>
      </c>
      <c r="G904" s="104">
        <v>140104452.56</v>
      </c>
      <c r="H904" s="832">
        <f t="shared" si="14"/>
        <v>106867061.94</v>
      </c>
    </row>
    <row r="905" spans="2:8" x14ac:dyDescent="0.25">
      <c r="H905" s="104"/>
    </row>
    <row r="906" spans="2:8" x14ac:dyDescent="0.25">
      <c r="B906">
        <v>10602990</v>
      </c>
      <c r="C906" t="s">
        <v>186</v>
      </c>
      <c r="H906" s="104"/>
    </row>
    <row r="907" spans="2:8" x14ac:dyDescent="0.25">
      <c r="C907" t="s">
        <v>2096</v>
      </c>
      <c r="D907" s="104">
        <v>67321799.370000005</v>
      </c>
      <c r="E907">
        <v>0</v>
      </c>
      <c r="F907">
        <v>0</v>
      </c>
      <c r="G907" s="104">
        <v>67321799.370000005</v>
      </c>
      <c r="H907" s="104">
        <f t="shared" si="14"/>
        <v>0</v>
      </c>
    </row>
    <row r="908" spans="2:8" x14ac:dyDescent="0.25">
      <c r="C908" t="s">
        <v>1814</v>
      </c>
      <c r="D908" s="104">
        <v>3399843.58</v>
      </c>
      <c r="E908">
        <v>0</v>
      </c>
      <c r="F908">
        <v>0</v>
      </c>
      <c r="G908" s="104">
        <v>3399843.58</v>
      </c>
      <c r="H908" s="104">
        <f t="shared" si="14"/>
        <v>0</v>
      </c>
    </row>
    <row r="909" spans="2:8" x14ac:dyDescent="0.25">
      <c r="B909" t="s">
        <v>1587</v>
      </c>
      <c r="D909" s="104">
        <v>70721642.950000003</v>
      </c>
      <c r="E909">
        <v>0</v>
      </c>
      <c r="F909">
        <v>0</v>
      </c>
      <c r="G909" s="104">
        <v>70721642.950000003</v>
      </c>
      <c r="H909" s="104">
        <f t="shared" si="14"/>
        <v>0</v>
      </c>
    </row>
    <row r="910" spans="2:8" x14ac:dyDescent="0.25">
      <c r="H910" s="104"/>
    </row>
    <row r="911" spans="2:8" x14ac:dyDescent="0.25">
      <c r="B911">
        <v>10602991</v>
      </c>
      <c r="C911" t="s">
        <v>190</v>
      </c>
      <c r="H911" s="104"/>
    </row>
    <row r="912" spans="2:8" x14ac:dyDescent="0.25">
      <c r="C912" t="s">
        <v>2096</v>
      </c>
      <c r="D912" s="104">
        <v>-67321799.5</v>
      </c>
      <c r="E912">
        <v>0</v>
      </c>
      <c r="F912">
        <v>0</v>
      </c>
      <c r="G912" s="104">
        <v>-67321799.5</v>
      </c>
      <c r="H912" s="104">
        <f t="shared" si="14"/>
        <v>0</v>
      </c>
    </row>
    <row r="913" spans="2:8" x14ac:dyDescent="0.25">
      <c r="C913" t="s">
        <v>1814</v>
      </c>
      <c r="D913" s="104">
        <v>-2059078.26</v>
      </c>
      <c r="E913">
        <v>0</v>
      </c>
      <c r="F913" s="104">
        <v>291154.8</v>
      </c>
      <c r="G913" s="104">
        <v>-2350233.06</v>
      </c>
      <c r="H913" s="104">
        <f t="shared" si="14"/>
        <v>-291154.80000000005</v>
      </c>
    </row>
    <row r="914" spans="2:8" x14ac:dyDescent="0.25">
      <c r="B914" t="s">
        <v>1587</v>
      </c>
      <c r="D914" s="104">
        <v>-69380877.760000005</v>
      </c>
      <c r="E914">
        <v>0</v>
      </c>
      <c r="F914" s="104">
        <v>291154.8</v>
      </c>
      <c r="G914" s="104">
        <v>-69672032.560000002</v>
      </c>
      <c r="H914" s="832">
        <f t="shared" si="14"/>
        <v>-291154.79999999702</v>
      </c>
    </row>
    <row r="915" spans="2:8" x14ac:dyDescent="0.25">
      <c r="H915" s="104"/>
    </row>
    <row r="916" spans="2:8" x14ac:dyDescent="0.25">
      <c r="B916">
        <v>10604010</v>
      </c>
      <c r="C916" t="s">
        <v>2140</v>
      </c>
      <c r="H916" s="104"/>
    </row>
    <row r="917" spans="2:8" x14ac:dyDescent="0.25">
      <c r="C917" t="s">
        <v>2096</v>
      </c>
      <c r="D917" s="104">
        <v>195539.3</v>
      </c>
      <c r="E917">
        <v>0</v>
      </c>
      <c r="F917">
        <v>0</v>
      </c>
      <c r="G917" s="104">
        <v>195539.3</v>
      </c>
      <c r="H917" s="104">
        <f t="shared" si="14"/>
        <v>0</v>
      </c>
    </row>
    <row r="918" spans="2:8" x14ac:dyDescent="0.25">
      <c r="C918" t="s">
        <v>1814</v>
      </c>
      <c r="D918" s="104">
        <v>1159873409.6099999</v>
      </c>
      <c r="E918">
        <v>0</v>
      </c>
      <c r="F918">
        <v>0</v>
      </c>
      <c r="G918" s="104">
        <v>1159873409.6099999</v>
      </c>
      <c r="H918" s="104">
        <f t="shared" si="14"/>
        <v>0</v>
      </c>
    </row>
    <row r="919" spans="2:8" x14ac:dyDescent="0.25">
      <c r="B919" t="s">
        <v>1587</v>
      </c>
      <c r="D919" s="104">
        <v>1160068948.9100001</v>
      </c>
      <c r="E919">
        <v>0</v>
      </c>
      <c r="F919">
        <v>0</v>
      </c>
      <c r="G919" s="104">
        <v>1160068948.9100001</v>
      </c>
      <c r="H919" s="832">
        <f t="shared" si="14"/>
        <v>0</v>
      </c>
    </row>
    <row r="920" spans="2:8" x14ac:dyDescent="0.25">
      <c r="H920" s="104"/>
    </row>
    <row r="921" spans="2:8" x14ac:dyDescent="0.25">
      <c r="B921">
        <v>10604011</v>
      </c>
      <c r="C921" t="s">
        <v>179</v>
      </c>
      <c r="H921" s="104"/>
    </row>
    <row r="922" spans="2:8" x14ac:dyDescent="0.25">
      <c r="C922" t="s">
        <v>2096</v>
      </c>
      <c r="D922" s="104">
        <v>-195539.4</v>
      </c>
      <c r="E922">
        <v>0</v>
      </c>
      <c r="F922">
        <v>0</v>
      </c>
      <c r="G922" s="104">
        <v>-195539.4</v>
      </c>
      <c r="H922" s="104">
        <f t="shared" si="14"/>
        <v>0</v>
      </c>
    </row>
    <row r="923" spans="2:8" x14ac:dyDescent="0.25">
      <c r="C923" t="s">
        <v>1814</v>
      </c>
      <c r="D923" s="104">
        <v>-1159417830.8399999</v>
      </c>
      <c r="E923">
        <v>0</v>
      </c>
      <c r="F923" s="104">
        <v>62214.84</v>
      </c>
      <c r="G923" s="104">
        <v>-1159480045.6800001</v>
      </c>
      <c r="H923" s="104">
        <f t="shared" si="14"/>
        <v>-62214.840000152588</v>
      </c>
    </row>
    <row r="924" spans="2:8" x14ac:dyDescent="0.25">
      <c r="B924" t="s">
        <v>1587</v>
      </c>
      <c r="D924" s="104">
        <v>-1159613370.24</v>
      </c>
      <c r="E924">
        <v>0</v>
      </c>
      <c r="F924" s="104">
        <v>62214.84</v>
      </c>
      <c r="G924" s="104">
        <v>-1159675585.0799999</v>
      </c>
      <c r="H924" s="832">
        <f t="shared" si="14"/>
        <v>-62214.839999914169</v>
      </c>
    </row>
    <row r="925" spans="2:8" x14ac:dyDescent="0.25">
      <c r="H925" s="104"/>
    </row>
    <row r="926" spans="2:8" x14ac:dyDescent="0.25">
      <c r="B926">
        <v>10604990</v>
      </c>
      <c r="C926" t="s">
        <v>207</v>
      </c>
      <c r="H926" s="104"/>
    </row>
    <row r="927" spans="2:8" x14ac:dyDescent="0.25">
      <c r="C927" t="s">
        <v>1814</v>
      </c>
      <c r="D927" s="104">
        <v>4518600</v>
      </c>
      <c r="E927">
        <v>0</v>
      </c>
      <c r="F927">
        <v>0</v>
      </c>
      <c r="G927" s="104">
        <v>4518600</v>
      </c>
      <c r="H927" s="104">
        <f t="shared" si="14"/>
        <v>0</v>
      </c>
    </row>
    <row r="928" spans="2:8" x14ac:dyDescent="0.25">
      <c r="B928" t="s">
        <v>1587</v>
      </c>
      <c r="D928" s="104">
        <v>4518600</v>
      </c>
      <c r="E928">
        <v>0</v>
      </c>
      <c r="F928">
        <v>0</v>
      </c>
      <c r="G928" s="104">
        <v>4518600</v>
      </c>
      <c r="H928" s="832">
        <f t="shared" si="14"/>
        <v>0</v>
      </c>
    </row>
    <row r="929" spans="2:8" x14ac:dyDescent="0.25">
      <c r="H929" s="104"/>
    </row>
    <row r="930" spans="2:8" x14ac:dyDescent="0.25">
      <c r="B930">
        <v>10604991</v>
      </c>
      <c r="C930" t="s">
        <v>209</v>
      </c>
      <c r="H930" s="104"/>
    </row>
    <row r="931" spans="2:8" x14ac:dyDescent="0.25">
      <c r="C931" t="s">
        <v>1814</v>
      </c>
      <c r="D931" s="104">
        <v>-4518600</v>
      </c>
      <c r="E931">
        <v>0</v>
      </c>
      <c r="F931">
        <v>0</v>
      </c>
      <c r="G931" s="104">
        <v>-4518600</v>
      </c>
      <c r="H931" s="104">
        <f t="shared" si="14"/>
        <v>0</v>
      </c>
    </row>
    <row r="932" spans="2:8" x14ac:dyDescent="0.25">
      <c r="B932" t="s">
        <v>1587</v>
      </c>
      <c r="D932" s="104">
        <v>-4518600</v>
      </c>
      <c r="E932">
        <v>0</v>
      </c>
      <c r="F932">
        <v>0</v>
      </c>
      <c r="G932" s="104">
        <v>-4518600</v>
      </c>
      <c r="H932" s="104">
        <f t="shared" si="14"/>
        <v>0</v>
      </c>
    </row>
    <row r="933" spans="2:8" x14ac:dyDescent="0.25">
      <c r="H933" s="104"/>
    </row>
    <row r="934" spans="2:8" x14ac:dyDescent="0.25">
      <c r="B934">
        <v>10605020</v>
      </c>
      <c r="C934" t="s">
        <v>231</v>
      </c>
      <c r="H934" s="104"/>
    </row>
    <row r="935" spans="2:8" x14ac:dyDescent="0.25">
      <c r="C935" t="s">
        <v>2096</v>
      </c>
      <c r="D935" s="104">
        <v>1805227.91</v>
      </c>
      <c r="E935">
        <v>0</v>
      </c>
      <c r="F935">
        <v>0</v>
      </c>
      <c r="G935" s="104">
        <v>1805227.91</v>
      </c>
      <c r="H935" s="104">
        <f t="shared" si="14"/>
        <v>0</v>
      </c>
    </row>
    <row r="936" spans="2:8" x14ac:dyDescent="0.25">
      <c r="C936" t="s">
        <v>1814</v>
      </c>
      <c r="D936" s="104">
        <v>7821944.5199999996</v>
      </c>
      <c r="E936">
        <v>0</v>
      </c>
      <c r="F936" s="104">
        <v>436162.34</v>
      </c>
      <c r="G936" s="104">
        <v>7385782.1799999997</v>
      </c>
      <c r="H936" s="104">
        <f t="shared" si="14"/>
        <v>-436162.33999999985</v>
      </c>
    </row>
    <row r="937" spans="2:8" x14ac:dyDescent="0.25">
      <c r="B937" t="s">
        <v>1587</v>
      </c>
      <c r="D937" s="104">
        <v>9627172.4299999997</v>
      </c>
      <c r="E937">
        <v>0</v>
      </c>
      <c r="F937" s="104">
        <v>436162.34</v>
      </c>
      <c r="G937" s="104">
        <v>9191010.0899999999</v>
      </c>
      <c r="H937" s="832">
        <f t="shared" si="14"/>
        <v>-436162.33999999985</v>
      </c>
    </row>
    <row r="938" spans="2:8" x14ac:dyDescent="0.25">
      <c r="H938" s="104"/>
    </row>
    <row r="939" spans="2:8" x14ac:dyDescent="0.25">
      <c r="B939">
        <v>10605021</v>
      </c>
      <c r="C939" t="s">
        <v>234</v>
      </c>
      <c r="H939" s="104"/>
    </row>
    <row r="940" spans="2:8" x14ac:dyDescent="0.25">
      <c r="C940" t="s">
        <v>2096</v>
      </c>
      <c r="D940" s="104">
        <v>-1805226.93</v>
      </c>
      <c r="E940">
        <v>0</v>
      </c>
      <c r="F940">
        <v>0</v>
      </c>
      <c r="G940" s="104">
        <v>-1805226.93</v>
      </c>
      <c r="H940" s="104">
        <f t="shared" si="14"/>
        <v>0</v>
      </c>
    </row>
    <row r="941" spans="2:8" x14ac:dyDescent="0.25">
      <c r="C941" t="s">
        <v>1813</v>
      </c>
      <c r="D941">
        <v>3</v>
      </c>
      <c r="E941">
        <v>0</v>
      </c>
      <c r="F941">
        <v>0</v>
      </c>
      <c r="G941">
        <v>3</v>
      </c>
      <c r="H941" s="104">
        <f t="shared" si="14"/>
        <v>0</v>
      </c>
    </row>
    <row r="942" spans="2:8" x14ac:dyDescent="0.25">
      <c r="C942" t="s">
        <v>1814</v>
      </c>
      <c r="D942" s="104">
        <v>-7369856.8799999999</v>
      </c>
      <c r="E942" s="104">
        <v>234390.24</v>
      </c>
      <c r="F942" s="104">
        <v>403766.72</v>
      </c>
      <c r="G942" s="104">
        <v>-7539233.3600000003</v>
      </c>
      <c r="H942" s="104">
        <f t="shared" si="14"/>
        <v>-169376.48000000045</v>
      </c>
    </row>
    <row r="943" spans="2:8" x14ac:dyDescent="0.25">
      <c r="B943" t="s">
        <v>1587</v>
      </c>
      <c r="D943" s="104">
        <v>-9175080.8100000005</v>
      </c>
      <c r="E943" s="104">
        <v>234390.24</v>
      </c>
      <c r="F943" s="104">
        <v>403766.72</v>
      </c>
      <c r="G943" s="104">
        <v>-9344457.2899999991</v>
      </c>
      <c r="H943" s="832">
        <f t="shared" si="14"/>
        <v>-169376.47999999858</v>
      </c>
    </row>
    <row r="944" spans="2:8" x14ac:dyDescent="0.25">
      <c r="H944" s="104"/>
    </row>
    <row r="945" spans="2:8" x14ac:dyDescent="0.25">
      <c r="B945">
        <v>10605030</v>
      </c>
      <c r="C945" t="s">
        <v>201</v>
      </c>
      <c r="H945" s="104"/>
    </row>
    <row r="946" spans="2:8" x14ac:dyDescent="0.25">
      <c r="C946" t="s">
        <v>1814</v>
      </c>
      <c r="D946" s="104">
        <v>12749713.289999999</v>
      </c>
      <c r="E946" s="104">
        <v>66517.86</v>
      </c>
      <c r="F946">
        <v>0</v>
      </c>
      <c r="G946" s="104">
        <v>12816231.15</v>
      </c>
      <c r="H946" s="104">
        <f t="shared" si="14"/>
        <v>66517.860000001267</v>
      </c>
    </row>
    <row r="947" spans="2:8" x14ac:dyDescent="0.25">
      <c r="B947" t="s">
        <v>1587</v>
      </c>
      <c r="D947" s="104">
        <v>12749713.289999999</v>
      </c>
      <c r="E947" s="104">
        <v>66517.86</v>
      </c>
      <c r="F947">
        <v>0</v>
      </c>
      <c r="G947" s="104">
        <v>12816231.15</v>
      </c>
      <c r="H947" s="832">
        <f t="shared" si="14"/>
        <v>66517.860000001267</v>
      </c>
    </row>
    <row r="948" spans="2:8" x14ac:dyDescent="0.25">
      <c r="H948" s="104"/>
    </row>
    <row r="949" spans="2:8" x14ac:dyDescent="0.25">
      <c r="B949">
        <v>10605031</v>
      </c>
      <c r="C949" t="s">
        <v>2141</v>
      </c>
      <c r="H949" s="104"/>
    </row>
    <row r="950" spans="2:8" x14ac:dyDescent="0.25">
      <c r="C950" t="s">
        <v>1814</v>
      </c>
      <c r="D950" s="104">
        <v>-11208413.210000001</v>
      </c>
      <c r="E950" s="104">
        <v>227069.43</v>
      </c>
      <c r="F950" s="104">
        <v>484481.69</v>
      </c>
      <c r="G950" s="104">
        <v>-11465825.470000001</v>
      </c>
      <c r="H950" s="104">
        <f t="shared" si="14"/>
        <v>-257412.25999999978</v>
      </c>
    </row>
    <row r="951" spans="2:8" x14ac:dyDescent="0.25">
      <c r="B951" t="s">
        <v>1587</v>
      </c>
      <c r="D951" s="104">
        <v>-11208413.210000001</v>
      </c>
      <c r="E951" s="104">
        <v>227069.43</v>
      </c>
      <c r="F951" s="104">
        <v>484481.69</v>
      </c>
      <c r="G951" s="104">
        <v>-11465825.470000001</v>
      </c>
      <c r="H951" s="832">
        <f t="shared" si="14"/>
        <v>-257412.25999999978</v>
      </c>
    </row>
    <row r="952" spans="2:8" x14ac:dyDescent="0.25">
      <c r="H952" s="104"/>
    </row>
    <row r="953" spans="2:8" x14ac:dyDescent="0.25">
      <c r="B953">
        <v>10605120</v>
      </c>
      <c r="C953" t="s">
        <v>2142</v>
      </c>
      <c r="H953" s="104"/>
    </row>
    <row r="954" spans="2:8" x14ac:dyDescent="0.25">
      <c r="B954">
        <v>10605121</v>
      </c>
      <c r="C954" t="s">
        <v>2143</v>
      </c>
      <c r="H954" s="104">
        <f t="shared" si="14"/>
        <v>0</v>
      </c>
    </row>
    <row r="955" spans="2:8" x14ac:dyDescent="0.25">
      <c r="C955" t="s">
        <v>1814</v>
      </c>
      <c r="D955">
        <v>0</v>
      </c>
      <c r="E955">
        <v>0</v>
      </c>
      <c r="F955">
        <v>0</v>
      </c>
      <c r="G955">
        <v>0</v>
      </c>
      <c r="H955" s="832">
        <f t="shared" si="14"/>
        <v>0</v>
      </c>
    </row>
    <row r="956" spans="2:8" x14ac:dyDescent="0.25">
      <c r="B956" t="s">
        <v>1587</v>
      </c>
      <c r="D956">
        <v>0</v>
      </c>
      <c r="E956">
        <v>0</v>
      </c>
      <c r="F956">
        <v>0</v>
      </c>
      <c r="G956">
        <v>0</v>
      </c>
      <c r="H956" s="104"/>
    </row>
    <row r="957" spans="2:8" x14ac:dyDescent="0.25">
      <c r="H957" s="104"/>
    </row>
    <row r="958" spans="2:8" x14ac:dyDescent="0.25">
      <c r="B958">
        <v>10605130</v>
      </c>
      <c r="C958" t="s">
        <v>784</v>
      </c>
      <c r="H958" s="104"/>
    </row>
    <row r="959" spans="2:8" x14ac:dyDescent="0.25">
      <c r="C959" t="s">
        <v>1814</v>
      </c>
      <c r="D959" s="104">
        <v>341606.14</v>
      </c>
      <c r="E959">
        <v>0</v>
      </c>
      <c r="F959">
        <v>0</v>
      </c>
      <c r="G959" s="104">
        <v>341606.14</v>
      </c>
      <c r="H959" s="104">
        <f t="shared" si="14"/>
        <v>0</v>
      </c>
    </row>
    <row r="960" spans="2:8" x14ac:dyDescent="0.25">
      <c r="B960" t="s">
        <v>1587</v>
      </c>
      <c r="D960" s="104">
        <v>341606.14</v>
      </c>
      <c r="E960">
        <v>0</v>
      </c>
      <c r="F960">
        <v>0</v>
      </c>
      <c r="G960" s="104">
        <v>341606.14</v>
      </c>
      <c r="H960" s="832">
        <f t="shared" si="14"/>
        <v>0</v>
      </c>
    </row>
    <row r="961" spans="2:8" x14ac:dyDescent="0.25">
      <c r="H961" s="104"/>
    </row>
    <row r="962" spans="2:8" x14ac:dyDescent="0.25">
      <c r="B962">
        <v>10605131</v>
      </c>
      <c r="C962" t="s">
        <v>2144</v>
      </c>
      <c r="H962" s="104"/>
    </row>
    <row r="963" spans="2:8" x14ac:dyDescent="0.25">
      <c r="C963" t="s">
        <v>1814</v>
      </c>
      <c r="D963" s="104">
        <v>-317149.65000000002</v>
      </c>
      <c r="E963">
        <v>0</v>
      </c>
      <c r="F963" s="104">
        <v>20690.45</v>
      </c>
      <c r="G963" s="104">
        <v>-337840.1</v>
      </c>
      <c r="H963" s="104">
        <f t="shared" si="14"/>
        <v>-20690.449999999953</v>
      </c>
    </row>
    <row r="964" spans="2:8" x14ac:dyDescent="0.25">
      <c r="B964" t="s">
        <v>1587</v>
      </c>
      <c r="D964" s="104">
        <v>-317149.65000000002</v>
      </c>
      <c r="E964">
        <v>0</v>
      </c>
      <c r="F964" s="104">
        <v>20690.45</v>
      </c>
      <c r="G964" s="104">
        <v>-337840.1</v>
      </c>
      <c r="H964" s="832">
        <f t="shared" ref="H964:H1027" si="15">G964-D964</f>
        <v>-20690.449999999953</v>
      </c>
    </row>
    <row r="965" spans="2:8" x14ac:dyDescent="0.25">
      <c r="H965" s="104"/>
    </row>
    <row r="966" spans="2:8" x14ac:dyDescent="0.25">
      <c r="B966">
        <v>10606010</v>
      </c>
      <c r="C966" t="s">
        <v>237</v>
      </c>
      <c r="H966" s="104"/>
    </row>
    <row r="967" spans="2:8" x14ac:dyDescent="0.25">
      <c r="C967" t="s">
        <v>2096</v>
      </c>
      <c r="D967" s="104">
        <v>563841.38</v>
      </c>
      <c r="E967">
        <v>0</v>
      </c>
      <c r="F967">
        <v>0</v>
      </c>
      <c r="G967" s="104">
        <v>563841.38</v>
      </c>
      <c r="H967" s="104">
        <f t="shared" si="15"/>
        <v>0</v>
      </c>
    </row>
    <row r="968" spans="2:8" x14ac:dyDescent="0.25">
      <c r="C968" t="s">
        <v>1754</v>
      </c>
      <c r="D968" s="104">
        <v>721725.62</v>
      </c>
      <c r="E968">
        <v>0</v>
      </c>
      <c r="F968">
        <v>0</v>
      </c>
      <c r="G968" s="104">
        <v>721725.62</v>
      </c>
      <c r="H968" s="104">
        <f t="shared" si="15"/>
        <v>0</v>
      </c>
    </row>
    <row r="969" spans="2:8" x14ac:dyDescent="0.25">
      <c r="C969" t="s">
        <v>1813</v>
      </c>
      <c r="D969" s="104">
        <v>50410</v>
      </c>
      <c r="E969">
        <v>0</v>
      </c>
      <c r="F969">
        <v>0</v>
      </c>
      <c r="G969" s="104">
        <v>50410</v>
      </c>
      <c r="H969" s="104">
        <f t="shared" si="15"/>
        <v>0</v>
      </c>
    </row>
    <row r="970" spans="2:8" x14ac:dyDescent="0.25">
      <c r="C970" t="s">
        <v>1814</v>
      </c>
      <c r="D970" s="104">
        <v>10583507.23</v>
      </c>
      <c r="E970" s="104">
        <v>6956250.0099999998</v>
      </c>
      <c r="F970">
        <v>0</v>
      </c>
      <c r="G970" s="104">
        <v>17539757.239999998</v>
      </c>
      <c r="H970" s="104">
        <f t="shared" si="15"/>
        <v>6956250.0099999979</v>
      </c>
    </row>
    <row r="971" spans="2:8" x14ac:dyDescent="0.25">
      <c r="B971" t="s">
        <v>1587</v>
      </c>
      <c r="D971" s="104">
        <v>11919484.23</v>
      </c>
      <c r="E971" s="104">
        <v>6956250.0099999998</v>
      </c>
      <c r="F971">
        <v>0</v>
      </c>
      <c r="G971" s="104">
        <v>18875734.239999998</v>
      </c>
      <c r="H971" s="832">
        <f t="shared" si="15"/>
        <v>6956250.0099999979</v>
      </c>
    </row>
    <row r="972" spans="2:8" x14ac:dyDescent="0.25">
      <c r="H972" s="104"/>
    </row>
    <row r="973" spans="2:8" x14ac:dyDescent="0.25">
      <c r="B973">
        <v>10606011</v>
      </c>
      <c r="C973" t="s">
        <v>239</v>
      </c>
      <c r="H973" s="104"/>
    </row>
    <row r="974" spans="2:8" x14ac:dyDescent="0.25">
      <c r="C974" t="s">
        <v>2096</v>
      </c>
      <c r="D974" s="104">
        <v>-563824.38</v>
      </c>
      <c r="E974">
        <v>0</v>
      </c>
      <c r="F974">
        <v>0</v>
      </c>
      <c r="G974" s="104">
        <v>-563824.38</v>
      </c>
      <c r="H974" s="104">
        <f t="shared" si="15"/>
        <v>0</v>
      </c>
    </row>
    <row r="975" spans="2:8" x14ac:dyDescent="0.25">
      <c r="C975" t="s">
        <v>1754</v>
      </c>
      <c r="D975" s="104">
        <v>-721719.63</v>
      </c>
      <c r="E975">
        <v>0</v>
      </c>
      <c r="F975">
        <v>0</v>
      </c>
      <c r="G975" s="104">
        <v>-721719.63</v>
      </c>
      <c r="H975" s="104">
        <f t="shared" si="15"/>
        <v>0</v>
      </c>
    </row>
    <row r="976" spans="2:8" x14ac:dyDescent="0.25">
      <c r="C976" t="s">
        <v>1813</v>
      </c>
      <c r="D976" s="104">
        <v>-50409</v>
      </c>
      <c r="E976">
        <v>0</v>
      </c>
      <c r="F976">
        <v>0</v>
      </c>
      <c r="G976" s="104">
        <v>-50409</v>
      </c>
      <c r="H976" s="104">
        <f t="shared" si="15"/>
        <v>0</v>
      </c>
    </row>
    <row r="977" spans="2:8" x14ac:dyDescent="0.25">
      <c r="C977" t="s">
        <v>1814</v>
      </c>
      <c r="D977" s="104">
        <v>-6733804.5199999996</v>
      </c>
      <c r="E977">
        <v>0</v>
      </c>
      <c r="F977" s="104">
        <v>899770.4</v>
      </c>
      <c r="G977" s="104">
        <v>-7633574.9199999999</v>
      </c>
      <c r="H977" s="104">
        <f t="shared" si="15"/>
        <v>-899770.40000000037</v>
      </c>
    </row>
    <row r="978" spans="2:8" x14ac:dyDescent="0.25">
      <c r="B978" t="s">
        <v>1587</v>
      </c>
      <c r="D978" s="104">
        <v>-8069757.5300000003</v>
      </c>
      <c r="E978">
        <v>0</v>
      </c>
      <c r="F978" s="104">
        <v>899770.4</v>
      </c>
      <c r="G978" s="104">
        <v>-8969527.9299999997</v>
      </c>
      <c r="H978" s="832">
        <f t="shared" si="15"/>
        <v>-899770.39999999944</v>
      </c>
    </row>
    <row r="979" spans="2:8" x14ac:dyDescent="0.25">
      <c r="H979" s="104"/>
    </row>
    <row r="980" spans="2:8" x14ac:dyDescent="0.25">
      <c r="B980">
        <v>10607010</v>
      </c>
      <c r="C980" t="s">
        <v>226</v>
      </c>
      <c r="H980" s="104"/>
    </row>
    <row r="981" spans="2:8" x14ac:dyDescent="0.25">
      <c r="C981" t="s">
        <v>1814</v>
      </c>
      <c r="D981" s="104">
        <v>804063.95</v>
      </c>
      <c r="E981">
        <v>0</v>
      </c>
      <c r="F981">
        <v>0</v>
      </c>
      <c r="G981" s="104">
        <v>804063.95</v>
      </c>
      <c r="H981" s="104">
        <f t="shared" si="15"/>
        <v>0</v>
      </c>
    </row>
    <row r="982" spans="2:8" x14ac:dyDescent="0.25">
      <c r="C982" t="s">
        <v>2145</v>
      </c>
      <c r="D982" s="104">
        <v>457000</v>
      </c>
      <c r="E982">
        <v>0</v>
      </c>
      <c r="F982">
        <v>0</v>
      </c>
      <c r="G982" s="104">
        <v>457000</v>
      </c>
      <c r="H982" s="104">
        <f t="shared" si="15"/>
        <v>0</v>
      </c>
    </row>
    <row r="983" spans="2:8" x14ac:dyDescent="0.25">
      <c r="B983" t="s">
        <v>1587</v>
      </c>
      <c r="D983" s="104">
        <v>1261063.95</v>
      </c>
      <c r="E983">
        <v>0</v>
      </c>
      <c r="F983">
        <v>0</v>
      </c>
      <c r="G983" s="104">
        <v>1261063.95</v>
      </c>
      <c r="H983" s="104">
        <f t="shared" si="15"/>
        <v>0</v>
      </c>
    </row>
    <row r="984" spans="2:8" x14ac:dyDescent="0.25">
      <c r="H984" s="104"/>
    </row>
    <row r="985" spans="2:8" x14ac:dyDescent="0.25">
      <c r="B985">
        <v>10607011</v>
      </c>
      <c r="C985" t="s">
        <v>230</v>
      </c>
      <c r="H985" s="104"/>
    </row>
    <row r="986" spans="2:8" x14ac:dyDescent="0.25">
      <c r="C986" t="s">
        <v>1814</v>
      </c>
      <c r="D986" s="104">
        <v>-997520.81</v>
      </c>
      <c r="E986">
        <v>0</v>
      </c>
      <c r="F986" s="104">
        <v>96495.24</v>
      </c>
      <c r="G986" s="104">
        <v>-1094016.05</v>
      </c>
      <c r="H986" s="104">
        <f t="shared" si="15"/>
        <v>-96495.239999999991</v>
      </c>
    </row>
    <row r="987" spans="2:8" x14ac:dyDescent="0.25">
      <c r="B987" t="s">
        <v>1587</v>
      </c>
      <c r="D987" s="104">
        <v>-997520.81</v>
      </c>
      <c r="E987">
        <v>0</v>
      </c>
      <c r="F987" s="104">
        <v>96495.24</v>
      </c>
      <c r="G987" s="104">
        <v>-1094016.05</v>
      </c>
      <c r="H987" s="832">
        <f t="shared" si="15"/>
        <v>-96495.239999999991</v>
      </c>
    </row>
    <row r="988" spans="2:8" x14ac:dyDescent="0.25">
      <c r="H988" s="104"/>
    </row>
    <row r="989" spans="2:8" x14ac:dyDescent="0.25">
      <c r="B989">
        <v>10609020</v>
      </c>
      <c r="C989" t="s">
        <v>222</v>
      </c>
      <c r="H989" s="104"/>
    </row>
    <row r="990" spans="2:8" x14ac:dyDescent="0.25">
      <c r="B990">
        <v>10609021</v>
      </c>
      <c r="C990" t="s">
        <v>211</v>
      </c>
      <c r="H990" s="104">
        <f t="shared" si="15"/>
        <v>0</v>
      </c>
    </row>
    <row r="991" spans="2:8" x14ac:dyDescent="0.25">
      <c r="B991">
        <v>10609990</v>
      </c>
      <c r="C991" t="s">
        <v>217</v>
      </c>
      <c r="H991" s="104">
        <f t="shared" si="15"/>
        <v>0</v>
      </c>
    </row>
    <row r="992" spans="2:8" x14ac:dyDescent="0.25">
      <c r="B992">
        <v>10609991</v>
      </c>
      <c r="C992" t="s">
        <v>220</v>
      </c>
      <c r="H992" s="104">
        <f t="shared" si="15"/>
        <v>0</v>
      </c>
    </row>
    <row r="993" spans="2:8" x14ac:dyDescent="0.25">
      <c r="C993" t="s">
        <v>1814</v>
      </c>
      <c r="D993">
        <v>0</v>
      </c>
      <c r="E993">
        <v>0</v>
      </c>
      <c r="F993">
        <v>0</v>
      </c>
      <c r="G993">
        <v>0</v>
      </c>
      <c r="H993" s="104">
        <f t="shared" si="15"/>
        <v>0</v>
      </c>
    </row>
    <row r="994" spans="2:8" x14ac:dyDescent="0.25">
      <c r="B994" t="s">
        <v>1587</v>
      </c>
      <c r="D994">
        <v>0</v>
      </c>
      <c r="E994">
        <v>0</v>
      </c>
      <c r="F994">
        <v>0</v>
      </c>
      <c r="G994">
        <v>0</v>
      </c>
      <c r="H994" s="104"/>
    </row>
    <row r="995" spans="2:8" x14ac:dyDescent="0.25">
      <c r="H995" s="104"/>
    </row>
    <row r="996" spans="2:8" x14ac:dyDescent="0.25">
      <c r="B996">
        <v>10698990</v>
      </c>
      <c r="C996" t="s">
        <v>241</v>
      </c>
      <c r="H996" s="104"/>
    </row>
    <row r="997" spans="2:8" x14ac:dyDescent="0.25">
      <c r="C997" t="s">
        <v>2146</v>
      </c>
      <c r="D997" s="104">
        <v>820698.74</v>
      </c>
      <c r="E997">
        <v>0</v>
      </c>
      <c r="F997">
        <v>0</v>
      </c>
      <c r="G997" s="104">
        <v>820698.74</v>
      </c>
      <c r="H997" s="104">
        <f t="shared" si="15"/>
        <v>0</v>
      </c>
    </row>
    <row r="998" spans="2:8" x14ac:dyDescent="0.25">
      <c r="C998" t="s">
        <v>1814</v>
      </c>
      <c r="D998" s="104">
        <v>999049.72</v>
      </c>
      <c r="E998" s="104">
        <v>9102664.5</v>
      </c>
      <c r="F998" s="104">
        <v>9102664.5</v>
      </c>
      <c r="G998" s="104">
        <v>999049.72</v>
      </c>
      <c r="H998" s="104">
        <f t="shared" si="15"/>
        <v>0</v>
      </c>
    </row>
    <row r="999" spans="2:8" x14ac:dyDescent="0.25">
      <c r="C999" t="s">
        <v>1898</v>
      </c>
      <c r="D999" s="104">
        <v>25213610</v>
      </c>
      <c r="E999">
        <v>0</v>
      </c>
      <c r="F999" s="104">
        <v>1244064.5</v>
      </c>
      <c r="G999" s="104">
        <v>23969545.5</v>
      </c>
      <c r="H999" s="104">
        <f t="shared" si="15"/>
        <v>-1244064.5</v>
      </c>
    </row>
    <row r="1000" spans="2:8" x14ac:dyDescent="0.25">
      <c r="C1000" t="s">
        <v>2147</v>
      </c>
      <c r="D1000" s="104">
        <v>7587917.0800000001</v>
      </c>
      <c r="E1000" s="104">
        <v>9102664.5</v>
      </c>
      <c r="F1000">
        <v>0</v>
      </c>
      <c r="G1000" s="104">
        <v>16690581.58</v>
      </c>
      <c r="H1000" s="104">
        <f t="shared" si="15"/>
        <v>9102664.5</v>
      </c>
    </row>
    <row r="1001" spans="2:8" x14ac:dyDescent="0.25">
      <c r="B1001" t="s">
        <v>1587</v>
      </c>
      <c r="D1001" s="104">
        <v>34621275.539999999</v>
      </c>
      <c r="E1001" s="104">
        <v>18205329</v>
      </c>
      <c r="F1001" s="104">
        <v>10346729</v>
      </c>
      <c r="G1001" s="104">
        <v>42479875.539999999</v>
      </c>
      <c r="H1001" s="832">
        <f t="shared" si="15"/>
        <v>7858600</v>
      </c>
    </row>
    <row r="1002" spans="2:8" x14ac:dyDescent="0.25">
      <c r="H1002" s="104"/>
    </row>
    <row r="1003" spans="2:8" x14ac:dyDescent="0.25">
      <c r="B1003">
        <v>10698991</v>
      </c>
      <c r="C1003" t="s">
        <v>243</v>
      </c>
      <c r="H1003" s="104"/>
    </row>
    <row r="1004" spans="2:8" x14ac:dyDescent="0.25">
      <c r="C1004" t="s">
        <v>1814</v>
      </c>
      <c r="D1004" s="104">
        <v>-999049.72</v>
      </c>
      <c r="E1004">
        <v>0</v>
      </c>
      <c r="F1004">
        <v>0</v>
      </c>
      <c r="G1004" s="104">
        <v>-999049.72</v>
      </c>
      <c r="H1004" s="104">
        <f t="shared" si="15"/>
        <v>0</v>
      </c>
    </row>
    <row r="1005" spans="2:8" x14ac:dyDescent="0.25">
      <c r="C1005" t="s">
        <v>2146</v>
      </c>
      <c r="D1005" s="104">
        <v>-820698.74</v>
      </c>
      <c r="E1005">
        <v>0</v>
      </c>
      <c r="F1005">
        <v>0</v>
      </c>
      <c r="G1005" s="104">
        <v>-820698.74</v>
      </c>
      <c r="H1005" s="104">
        <f t="shared" si="15"/>
        <v>0</v>
      </c>
    </row>
    <row r="1006" spans="2:8" x14ac:dyDescent="0.25">
      <c r="C1006" t="s">
        <v>2147</v>
      </c>
      <c r="D1006" s="104">
        <v>-2655770.9300000002</v>
      </c>
      <c r="E1006">
        <v>0</v>
      </c>
      <c r="F1006" s="104">
        <v>2538100</v>
      </c>
      <c r="G1006" s="104">
        <v>-5193870.93</v>
      </c>
      <c r="H1006" s="104">
        <f t="shared" si="15"/>
        <v>-2538099.9999999995</v>
      </c>
    </row>
    <row r="1007" spans="2:8" x14ac:dyDescent="0.25">
      <c r="B1007" t="s">
        <v>1587</v>
      </c>
      <c r="D1007" s="104">
        <v>-4475519.3899999997</v>
      </c>
      <c r="E1007">
        <v>0</v>
      </c>
      <c r="F1007" s="104">
        <v>2538100</v>
      </c>
      <c r="G1007" s="104">
        <v>-7013619.3899999997</v>
      </c>
      <c r="H1007" s="832">
        <f t="shared" si="15"/>
        <v>-2538100</v>
      </c>
    </row>
    <row r="1008" spans="2:8" x14ac:dyDescent="0.25">
      <c r="H1008" s="104"/>
    </row>
    <row r="1009" spans="2:8" x14ac:dyDescent="0.25">
      <c r="B1009">
        <v>10801020</v>
      </c>
      <c r="C1009" t="s">
        <v>244</v>
      </c>
      <c r="H1009" s="104"/>
    </row>
    <row r="1010" spans="2:8" x14ac:dyDescent="0.25">
      <c r="C1010" t="s">
        <v>2148</v>
      </c>
      <c r="D1010" s="104">
        <v>486160.71</v>
      </c>
      <c r="E1010">
        <v>0</v>
      </c>
      <c r="F1010">
        <v>0</v>
      </c>
      <c r="G1010" s="104">
        <v>486160.71</v>
      </c>
      <c r="H1010" s="104">
        <f t="shared" si="15"/>
        <v>0</v>
      </c>
    </row>
    <row r="1011" spans="2:8" x14ac:dyDescent="0.25">
      <c r="C1011" t="s">
        <v>1814</v>
      </c>
      <c r="D1011" s="104">
        <v>145008.93</v>
      </c>
      <c r="E1011">
        <v>0</v>
      </c>
      <c r="F1011">
        <v>0</v>
      </c>
      <c r="G1011" s="104">
        <v>145008.93</v>
      </c>
      <c r="H1011" s="104">
        <f t="shared" si="15"/>
        <v>0</v>
      </c>
    </row>
    <row r="1012" spans="2:8" x14ac:dyDescent="0.25">
      <c r="B1012" t="s">
        <v>1587</v>
      </c>
      <c r="D1012" s="104">
        <v>631169.64</v>
      </c>
      <c r="E1012">
        <v>0</v>
      </c>
      <c r="F1012">
        <v>0</v>
      </c>
      <c r="G1012" s="104">
        <v>631169.64</v>
      </c>
      <c r="H1012" s="832">
        <f t="shared" si="15"/>
        <v>0</v>
      </c>
    </row>
    <row r="1013" spans="2:8" x14ac:dyDescent="0.25">
      <c r="H1013" s="104"/>
    </row>
    <row r="1014" spans="2:8" x14ac:dyDescent="0.25">
      <c r="B1014">
        <v>19901040</v>
      </c>
      <c r="C1014" t="s">
        <v>999</v>
      </c>
      <c r="D1014" s="104"/>
      <c r="E1014" s="104"/>
      <c r="F1014" s="104"/>
      <c r="G1014" s="104"/>
      <c r="H1014" s="104"/>
    </row>
    <row r="1015" spans="2:8" x14ac:dyDescent="0.25">
      <c r="B1015" t="s">
        <v>2149</v>
      </c>
      <c r="C1015" t="s">
        <v>125</v>
      </c>
      <c r="H1015" s="104"/>
    </row>
    <row r="1016" spans="2:8" x14ac:dyDescent="0.25">
      <c r="C1016" t="s">
        <v>2024</v>
      </c>
      <c r="D1016">
        <v>0</v>
      </c>
      <c r="E1016">
        <v>0</v>
      </c>
      <c r="F1016">
        <v>0</v>
      </c>
      <c r="G1016">
        <v>0</v>
      </c>
      <c r="H1016" s="104">
        <f t="shared" si="15"/>
        <v>0</v>
      </c>
    </row>
    <row r="1017" spans="2:8" x14ac:dyDescent="0.25">
      <c r="C1017" t="s">
        <v>2028</v>
      </c>
      <c r="D1017">
        <v>0</v>
      </c>
      <c r="E1017" s="104">
        <v>234249.3</v>
      </c>
      <c r="F1017" s="104">
        <v>227682.1</v>
      </c>
      <c r="G1017" s="104">
        <v>6567.2</v>
      </c>
      <c r="H1017" s="104">
        <f t="shared" si="15"/>
        <v>6567.2</v>
      </c>
    </row>
    <row r="1018" spans="2:8" x14ac:dyDescent="0.25">
      <c r="C1018" t="s">
        <v>2029</v>
      </c>
      <c r="D1018">
        <v>0</v>
      </c>
      <c r="E1018">
        <v>0</v>
      </c>
      <c r="F1018">
        <v>0</v>
      </c>
      <c r="G1018">
        <v>0</v>
      </c>
      <c r="H1018" s="104">
        <f t="shared" si="15"/>
        <v>0</v>
      </c>
    </row>
    <row r="1019" spans="2:8" x14ac:dyDescent="0.25">
      <c r="C1019" t="s">
        <v>2033</v>
      </c>
      <c r="D1019">
        <v>0</v>
      </c>
      <c r="E1019">
        <v>0</v>
      </c>
      <c r="F1019">
        <v>0</v>
      </c>
      <c r="G1019">
        <v>0</v>
      </c>
      <c r="H1019" s="104">
        <f t="shared" si="15"/>
        <v>0</v>
      </c>
    </row>
    <row r="1020" spans="2:8" x14ac:dyDescent="0.25">
      <c r="C1020" t="s">
        <v>1975</v>
      </c>
      <c r="D1020">
        <v>0</v>
      </c>
      <c r="E1020" s="104">
        <v>230000</v>
      </c>
      <c r="F1020" s="104">
        <v>230000</v>
      </c>
      <c r="G1020">
        <v>0</v>
      </c>
      <c r="H1020" s="104">
        <f t="shared" si="15"/>
        <v>0</v>
      </c>
    </row>
    <row r="1021" spans="2:8" x14ac:dyDescent="0.25">
      <c r="C1021" t="s">
        <v>2022</v>
      </c>
      <c r="D1021">
        <v>0</v>
      </c>
      <c r="E1021">
        <v>0</v>
      </c>
      <c r="F1021">
        <v>0</v>
      </c>
      <c r="G1021">
        <v>0</v>
      </c>
      <c r="H1021" s="104">
        <f t="shared" si="15"/>
        <v>0</v>
      </c>
    </row>
    <row r="1022" spans="2:8" x14ac:dyDescent="0.25">
      <c r="C1022" t="s">
        <v>1723</v>
      </c>
      <c r="D1022">
        <v>0</v>
      </c>
      <c r="E1022" s="104">
        <v>897820.7</v>
      </c>
      <c r="F1022" s="104">
        <v>897820.7</v>
      </c>
      <c r="G1022">
        <v>0</v>
      </c>
      <c r="H1022" s="104">
        <f t="shared" si="15"/>
        <v>0</v>
      </c>
    </row>
    <row r="1023" spans="2:8" x14ac:dyDescent="0.25">
      <c r="C1023" t="s">
        <v>2025</v>
      </c>
      <c r="D1023">
        <v>0</v>
      </c>
      <c r="E1023" s="104">
        <v>20000</v>
      </c>
      <c r="F1023" s="104">
        <v>20000</v>
      </c>
      <c r="G1023">
        <v>0</v>
      </c>
      <c r="H1023" s="104">
        <f t="shared" si="15"/>
        <v>0</v>
      </c>
    </row>
    <row r="1024" spans="2:8" x14ac:dyDescent="0.25">
      <c r="C1024" t="s">
        <v>2031</v>
      </c>
      <c r="D1024">
        <v>0</v>
      </c>
      <c r="E1024" s="104">
        <v>255350</v>
      </c>
      <c r="F1024" s="104">
        <v>255350</v>
      </c>
      <c r="G1024">
        <v>0</v>
      </c>
      <c r="H1024" s="104">
        <f t="shared" si="15"/>
        <v>0</v>
      </c>
    </row>
    <row r="1025" spans="3:8" x14ac:dyDescent="0.25">
      <c r="C1025" t="s">
        <v>2150</v>
      </c>
      <c r="D1025">
        <v>0</v>
      </c>
      <c r="E1025" s="104">
        <v>56000</v>
      </c>
      <c r="F1025" s="104">
        <v>56000</v>
      </c>
      <c r="G1025">
        <v>0</v>
      </c>
      <c r="H1025" s="104">
        <f t="shared" si="15"/>
        <v>0</v>
      </c>
    </row>
    <row r="1026" spans="3:8" x14ac:dyDescent="0.25">
      <c r="C1026" t="s">
        <v>2060</v>
      </c>
      <c r="D1026">
        <v>0</v>
      </c>
      <c r="E1026">
        <v>0</v>
      </c>
      <c r="F1026">
        <v>0</v>
      </c>
      <c r="G1026">
        <v>0</v>
      </c>
      <c r="H1026" s="104">
        <f t="shared" si="15"/>
        <v>0</v>
      </c>
    </row>
    <row r="1027" spans="3:8" x14ac:dyDescent="0.25">
      <c r="C1027" t="s">
        <v>2151</v>
      </c>
      <c r="D1027">
        <v>0</v>
      </c>
      <c r="E1027">
        <v>0</v>
      </c>
      <c r="F1027">
        <v>0</v>
      </c>
      <c r="G1027">
        <v>0</v>
      </c>
      <c r="H1027" s="104">
        <f t="shared" si="15"/>
        <v>0</v>
      </c>
    </row>
    <row r="1028" spans="3:8" x14ac:dyDescent="0.25">
      <c r="C1028" t="s">
        <v>2061</v>
      </c>
      <c r="D1028">
        <v>0</v>
      </c>
      <c r="E1028">
        <v>0</v>
      </c>
      <c r="F1028">
        <v>0</v>
      </c>
      <c r="G1028">
        <v>0</v>
      </c>
      <c r="H1028" s="104">
        <f t="shared" ref="H1028:H1091" si="16">G1028-D1028</f>
        <v>0</v>
      </c>
    </row>
    <row r="1029" spans="3:8" x14ac:dyDescent="0.25">
      <c r="C1029" t="s">
        <v>2064</v>
      </c>
      <c r="D1029">
        <v>0</v>
      </c>
      <c r="E1029" s="104">
        <v>42250</v>
      </c>
      <c r="F1029" s="104">
        <v>28075.19</v>
      </c>
      <c r="G1029" s="104">
        <v>14174.81</v>
      </c>
      <c r="H1029" s="104">
        <f t="shared" si="16"/>
        <v>14174.81</v>
      </c>
    </row>
    <row r="1030" spans="3:8" x14ac:dyDescent="0.25">
      <c r="C1030" t="s">
        <v>2065</v>
      </c>
      <c r="D1030" s="104">
        <v>1067.7</v>
      </c>
      <c r="E1030" s="104">
        <v>154195</v>
      </c>
      <c r="F1030" s="104">
        <v>155262.70000000001</v>
      </c>
      <c r="G1030">
        <v>0</v>
      </c>
      <c r="H1030" s="104">
        <f t="shared" si="16"/>
        <v>-1067.7</v>
      </c>
    </row>
    <row r="1031" spans="3:8" x14ac:dyDescent="0.25">
      <c r="C1031" t="s">
        <v>2066</v>
      </c>
      <c r="D1031">
        <v>0</v>
      </c>
      <c r="E1031" s="104">
        <v>420385</v>
      </c>
      <c r="F1031" s="104">
        <v>420385</v>
      </c>
      <c r="G1031">
        <v>0</v>
      </c>
      <c r="H1031" s="104">
        <f t="shared" si="16"/>
        <v>0</v>
      </c>
    </row>
    <row r="1032" spans="3:8" x14ac:dyDescent="0.25">
      <c r="C1032" t="s">
        <v>1727</v>
      </c>
      <c r="D1032">
        <v>0</v>
      </c>
      <c r="E1032" s="104">
        <v>62989</v>
      </c>
      <c r="F1032" s="104">
        <v>62989</v>
      </c>
      <c r="G1032">
        <v>0</v>
      </c>
      <c r="H1032" s="104">
        <f t="shared" si="16"/>
        <v>0</v>
      </c>
    </row>
    <row r="1033" spans="3:8" x14ac:dyDescent="0.25">
      <c r="C1033" t="s">
        <v>1982</v>
      </c>
      <c r="D1033">
        <v>0</v>
      </c>
      <c r="E1033" s="104">
        <v>375063.13</v>
      </c>
      <c r="F1033" s="104">
        <v>375063.13</v>
      </c>
      <c r="G1033">
        <v>0</v>
      </c>
      <c r="H1033" s="104">
        <f t="shared" si="16"/>
        <v>0</v>
      </c>
    </row>
    <row r="1034" spans="3:8" x14ac:dyDescent="0.25">
      <c r="C1034" t="s">
        <v>2068</v>
      </c>
      <c r="D1034" s="104">
        <v>31200</v>
      </c>
      <c r="E1034" s="104">
        <v>153165</v>
      </c>
      <c r="F1034" s="104">
        <v>184365</v>
      </c>
      <c r="G1034">
        <v>0</v>
      </c>
      <c r="H1034" s="104">
        <f t="shared" si="16"/>
        <v>-31200</v>
      </c>
    </row>
    <row r="1035" spans="3:8" x14ac:dyDescent="0.25">
      <c r="C1035" t="s">
        <v>1728</v>
      </c>
      <c r="D1035">
        <v>0.01</v>
      </c>
      <c r="E1035" s="104">
        <v>200220.01</v>
      </c>
      <c r="F1035" s="104">
        <v>200220.02</v>
      </c>
      <c r="G1035">
        <v>0</v>
      </c>
      <c r="H1035" s="104">
        <f t="shared" si="16"/>
        <v>-0.01</v>
      </c>
    </row>
    <row r="1036" spans="3:8" x14ac:dyDescent="0.25">
      <c r="C1036" t="s">
        <v>1729</v>
      </c>
      <c r="D1036">
        <v>0</v>
      </c>
      <c r="E1036" s="104">
        <v>30000</v>
      </c>
      <c r="F1036" s="104">
        <v>30000</v>
      </c>
      <c r="G1036">
        <v>0</v>
      </c>
      <c r="H1036" s="104">
        <f t="shared" si="16"/>
        <v>0</v>
      </c>
    </row>
    <row r="1037" spans="3:8" x14ac:dyDescent="0.25">
      <c r="C1037" t="s">
        <v>2152</v>
      </c>
      <c r="D1037">
        <v>0</v>
      </c>
      <c r="E1037" s="104">
        <v>30000</v>
      </c>
      <c r="F1037" s="104">
        <v>30000</v>
      </c>
      <c r="G1037">
        <v>0</v>
      </c>
      <c r="H1037" s="104">
        <f t="shared" si="16"/>
        <v>0</v>
      </c>
    </row>
    <row r="1038" spans="3:8" x14ac:dyDescent="0.25">
      <c r="C1038" t="s">
        <v>1730</v>
      </c>
      <c r="D1038">
        <v>-0.02</v>
      </c>
      <c r="E1038" s="104">
        <v>296486.21999999997</v>
      </c>
      <c r="F1038" s="104">
        <v>296486.2</v>
      </c>
      <c r="G1038">
        <v>0</v>
      </c>
      <c r="H1038" s="104">
        <f t="shared" si="16"/>
        <v>0.02</v>
      </c>
    </row>
    <row r="1039" spans="3:8" x14ac:dyDescent="0.25">
      <c r="C1039" t="s">
        <v>2153</v>
      </c>
      <c r="D1039">
        <v>0</v>
      </c>
      <c r="E1039" s="104">
        <v>311825</v>
      </c>
      <c r="F1039" s="104">
        <v>286825</v>
      </c>
      <c r="G1039" s="104">
        <v>25000</v>
      </c>
      <c r="H1039" s="104">
        <f t="shared" si="16"/>
        <v>25000</v>
      </c>
    </row>
    <row r="1040" spans="3:8" x14ac:dyDescent="0.25">
      <c r="C1040" t="s">
        <v>1731</v>
      </c>
      <c r="D1040">
        <v>0</v>
      </c>
      <c r="E1040" s="104">
        <v>166000</v>
      </c>
      <c r="F1040" s="104">
        <v>166000</v>
      </c>
      <c r="G1040">
        <v>0</v>
      </c>
      <c r="H1040" s="104">
        <f t="shared" si="16"/>
        <v>0</v>
      </c>
    </row>
    <row r="1041" spans="2:8" x14ac:dyDescent="0.25">
      <c r="C1041" t="s">
        <v>1725</v>
      </c>
      <c r="D1041" s="104">
        <v>1310.0999999999999</v>
      </c>
      <c r="E1041" s="104">
        <v>699689</v>
      </c>
      <c r="F1041" s="104">
        <v>664999.1</v>
      </c>
      <c r="G1041" s="104">
        <v>36000</v>
      </c>
      <c r="H1041" s="104">
        <f t="shared" si="16"/>
        <v>34689.9</v>
      </c>
    </row>
    <row r="1042" spans="2:8" x14ac:dyDescent="0.25">
      <c r="C1042" t="s">
        <v>2071</v>
      </c>
      <c r="D1042">
        <v>0</v>
      </c>
      <c r="E1042" s="104">
        <v>850601.45</v>
      </c>
      <c r="F1042" s="104">
        <v>850601.45</v>
      </c>
      <c r="G1042">
        <v>0</v>
      </c>
      <c r="H1042" s="104">
        <f t="shared" si="16"/>
        <v>0</v>
      </c>
    </row>
    <row r="1043" spans="2:8" x14ac:dyDescent="0.25">
      <c r="C1043" t="s">
        <v>1732</v>
      </c>
      <c r="D1043">
        <v>0</v>
      </c>
      <c r="E1043" s="104">
        <v>120100</v>
      </c>
      <c r="F1043" s="104">
        <v>120100</v>
      </c>
      <c r="G1043">
        <v>0</v>
      </c>
      <c r="H1043" s="104">
        <f t="shared" si="16"/>
        <v>0</v>
      </c>
    </row>
    <row r="1044" spans="2:8" x14ac:dyDescent="0.25">
      <c r="C1044" t="s">
        <v>1733</v>
      </c>
      <c r="D1044">
        <v>0</v>
      </c>
      <c r="E1044" s="104">
        <v>369250</v>
      </c>
      <c r="F1044" s="104">
        <v>349250</v>
      </c>
      <c r="G1044" s="104">
        <v>20000</v>
      </c>
      <c r="H1044" s="104">
        <f t="shared" si="16"/>
        <v>20000</v>
      </c>
    </row>
    <row r="1045" spans="2:8" x14ac:dyDescent="0.25">
      <c r="C1045" t="s">
        <v>1734</v>
      </c>
      <c r="D1045">
        <v>0</v>
      </c>
      <c r="E1045" s="104">
        <v>186665</v>
      </c>
      <c r="F1045" s="104">
        <v>114000</v>
      </c>
      <c r="G1045" s="104">
        <v>72665</v>
      </c>
      <c r="H1045" s="104">
        <f t="shared" si="16"/>
        <v>72665</v>
      </c>
    </row>
    <row r="1046" spans="2:8" x14ac:dyDescent="0.25">
      <c r="C1046" t="s">
        <v>2154</v>
      </c>
      <c r="D1046">
        <v>0</v>
      </c>
      <c r="E1046" s="104">
        <v>31710</v>
      </c>
      <c r="F1046" s="104">
        <v>31710</v>
      </c>
      <c r="G1046">
        <v>0</v>
      </c>
      <c r="H1046" s="104">
        <f t="shared" si="16"/>
        <v>0</v>
      </c>
    </row>
    <row r="1047" spans="2:8" x14ac:dyDescent="0.25">
      <c r="C1047" t="s">
        <v>2155</v>
      </c>
      <c r="D1047">
        <v>0</v>
      </c>
      <c r="E1047" s="104">
        <v>64000</v>
      </c>
      <c r="F1047">
        <v>0</v>
      </c>
      <c r="G1047" s="104">
        <v>64000</v>
      </c>
      <c r="H1047" s="104">
        <f t="shared" si="16"/>
        <v>64000</v>
      </c>
    </row>
    <row r="1048" spans="2:8" x14ac:dyDescent="0.25">
      <c r="B1048" t="s">
        <v>1587</v>
      </c>
      <c r="D1048" s="104">
        <v>33577.79</v>
      </c>
      <c r="E1048" s="104">
        <v>6258013.8099999996</v>
      </c>
      <c r="F1048" s="104">
        <v>6053184.5899999999</v>
      </c>
      <c r="G1048" s="104">
        <v>238407.01</v>
      </c>
      <c r="H1048" s="832">
        <f t="shared" si="16"/>
        <v>204829.22</v>
      </c>
    </row>
    <row r="1049" spans="2:8" x14ac:dyDescent="0.25">
      <c r="H1049" s="104">
        <f t="shared" si="16"/>
        <v>0</v>
      </c>
    </row>
    <row r="1050" spans="2:8" x14ac:dyDescent="0.25">
      <c r="B1050" t="s">
        <v>2156</v>
      </c>
      <c r="C1050" t="s">
        <v>2157</v>
      </c>
      <c r="H1050" s="104">
        <f t="shared" si="16"/>
        <v>0</v>
      </c>
    </row>
    <row r="1051" spans="2:8" x14ac:dyDescent="0.25">
      <c r="C1051" t="s">
        <v>2158</v>
      </c>
      <c r="D1051">
        <v>0</v>
      </c>
      <c r="E1051">
        <v>0</v>
      </c>
      <c r="F1051">
        <v>0</v>
      </c>
      <c r="G1051">
        <v>0</v>
      </c>
      <c r="H1051" s="104">
        <f t="shared" si="16"/>
        <v>0</v>
      </c>
    </row>
    <row r="1052" spans="2:8" x14ac:dyDescent="0.25">
      <c r="C1052" t="s">
        <v>2159</v>
      </c>
      <c r="D1052">
        <v>0</v>
      </c>
      <c r="E1052" s="104">
        <v>16500</v>
      </c>
      <c r="F1052" s="104">
        <v>16500</v>
      </c>
      <c r="G1052">
        <v>0</v>
      </c>
      <c r="H1052" s="104">
        <f t="shared" si="16"/>
        <v>0</v>
      </c>
    </row>
    <row r="1053" spans="2:8" x14ac:dyDescent="0.25">
      <c r="B1053" t="s">
        <v>1587</v>
      </c>
      <c r="D1053">
        <v>0</v>
      </c>
      <c r="E1053" s="104">
        <v>16500</v>
      </c>
      <c r="F1053" s="104">
        <v>16500</v>
      </c>
      <c r="G1053">
        <v>0</v>
      </c>
      <c r="H1053" s="832">
        <f t="shared" si="16"/>
        <v>0</v>
      </c>
    </row>
    <row r="1054" spans="2:8" x14ac:dyDescent="0.25">
      <c r="H1054" s="104">
        <f t="shared" si="16"/>
        <v>0</v>
      </c>
    </row>
    <row r="1055" spans="2:8" x14ac:dyDescent="0.25">
      <c r="B1055">
        <v>19902010</v>
      </c>
      <c r="C1055" t="s">
        <v>255</v>
      </c>
      <c r="H1055" s="104">
        <f t="shared" si="16"/>
        <v>0</v>
      </c>
    </row>
    <row r="1056" spans="2:8" x14ac:dyDescent="0.25">
      <c r="C1056" t="s">
        <v>1958</v>
      </c>
      <c r="D1056" s="104">
        <v>80000</v>
      </c>
      <c r="E1056">
        <v>0</v>
      </c>
      <c r="F1056">
        <v>0</v>
      </c>
      <c r="G1056" s="104">
        <v>80000</v>
      </c>
      <c r="H1056" s="104">
        <f t="shared" si="16"/>
        <v>0</v>
      </c>
    </row>
    <row r="1057" spans="2:8" x14ac:dyDescent="0.25">
      <c r="C1057" t="s">
        <v>2160</v>
      </c>
      <c r="D1057" s="104">
        <v>27387.5</v>
      </c>
      <c r="E1057">
        <v>0</v>
      </c>
      <c r="F1057">
        <v>0</v>
      </c>
      <c r="G1057" s="104">
        <v>27387.5</v>
      </c>
      <c r="H1057" s="104">
        <f t="shared" si="16"/>
        <v>0</v>
      </c>
    </row>
    <row r="1058" spans="2:8" x14ac:dyDescent="0.25">
      <c r="C1058" t="s">
        <v>1804</v>
      </c>
      <c r="D1058" s="104">
        <v>31400</v>
      </c>
      <c r="E1058">
        <v>0</v>
      </c>
      <c r="F1058">
        <v>0</v>
      </c>
      <c r="G1058" s="104">
        <v>31400</v>
      </c>
      <c r="H1058" s="104">
        <f t="shared" si="16"/>
        <v>0</v>
      </c>
    </row>
    <row r="1059" spans="2:8" x14ac:dyDescent="0.25">
      <c r="C1059" t="s">
        <v>2161</v>
      </c>
      <c r="D1059" s="104">
        <v>1203770</v>
      </c>
      <c r="E1059">
        <v>0</v>
      </c>
      <c r="F1059">
        <v>0</v>
      </c>
      <c r="G1059" s="104">
        <v>1203770</v>
      </c>
      <c r="H1059" s="104">
        <f t="shared" si="16"/>
        <v>0</v>
      </c>
    </row>
    <row r="1060" spans="2:8" x14ac:dyDescent="0.25">
      <c r="C1060" t="s">
        <v>1805</v>
      </c>
      <c r="D1060" s="104">
        <v>5000</v>
      </c>
      <c r="E1060">
        <v>0</v>
      </c>
      <c r="F1060">
        <v>0</v>
      </c>
      <c r="G1060" s="104">
        <v>5000</v>
      </c>
      <c r="H1060" s="104">
        <f t="shared" si="16"/>
        <v>0</v>
      </c>
    </row>
    <row r="1061" spans="2:8" x14ac:dyDescent="0.25">
      <c r="C1061" t="s">
        <v>2162</v>
      </c>
      <c r="D1061" s="104">
        <v>22500</v>
      </c>
      <c r="E1061">
        <v>0</v>
      </c>
      <c r="F1061">
        <v>0</v>
      </c>
      <c r="G1061" s="104">
        <v>22500</v>
      </c>
      <c r="H1061" s="104">
        <f t="shared" si="16"/>
        <v>0</v>
      </c>
    </row>
    <row r="1062" spans="2:8" x14ac:dyDescent="0.25">
      <c r="C1062" t="s">
        <v>2163</v>
      </c>
      <c r="D1062" s="104">
        <v>101955</v>
      </c>
      <c r="E1062">
        <v>0</v>
      </c>
      <c r="F1062">
        <v>0</v>
      </c>
      <c r="G1062" s="104">
        <v>101955</v>
      </c>
      <c r="H1062" s="104">
        <f t="shared" si="16"/>
        <v>0</v>
      </c>
    </row>
    <row r="1063" spans="2:8" x14ac:dyDescent="0.25">
      <c r="C1063" t="s">
        <v>1814</v>
      </c>
      <c r="D1063" s="104">
        <v>387497.97</v>
      </c>
      <c r="E1063">
        <v>0</v>
      </c>
      <c r="F1063">
        <v>0</v>
      </c>
      <c r="G1063" s="104">
        <v>387497.97</v>
      </c>
      <c r="H1063" s="104">
        <f t="shared" si="16"/>
        <v>0</v>
      </c>
    </row>
    <row r="1064" spans="2:8" x14ac:dyDescent="0.25">
      <c r="C1064" t="s">
        <v>1981</v>
      </c>
      <c r="D1064" s="104">
        <v>613763.05000000005</v>
      </c>
      <c r="E1064">
        <v>0</v>
      </c>
      <c r="F1064" s="104">
        <v>613763.05000000005</v>
      </c>
      <c r="G1064">
        <v>0</v>
      </c>
      <c r="H1064" s="104">
        <f t="shared" si="16"/>
        <v>-613763.05000000005</v>
      </c>
    </row>
    <row r="1065" spans="2:8" x14ac:dyDescent="0.25">
      <c r="C1065" t="s">
        <v>2164</v>
      </c>
      <c r="D1065" s="104">
        <v>642600</v>
      </c>
      <c r="E1065">
        <v>0</v>
      </c>
      <c r="F1065">
        <v>0</v>
      </c>
      <c r="G1065" s="104">
        <v>642600</v>
      </c>
      <c r="H1065" s="104">
        <f t="shared" si="16"/>
        <v>0</v>
      </c>
    </row>
    <row r="1066" spans="2:8" x14ac:dyDescent="0.25">
      <c r="C1066" t="s">
        <v>2165</v>
      </c>
      <c r="D1066">
        <v>0</v>
      </c>
      <c r="E1066" s="104">
        <v>2897226.29</v>
      </c>
      <c r="F1066" s="104">
        <v>1342744.14</v>
      </c>
      <c r="G1066" s="104">
        <v>1554482.15</v>
      </c>
      <c r="H1066" s="104">
        <f t="shared" si="16"/>
        <v>1554482.15</v>
      </c>
    </row>
    <row r="1067" spans="2:8" x14ac:dyDescent="0.25">
      <c r="B1067" t="s">
        <v>1587</v>
      </c>
      <c r="D1067" s="104">
        <v>3115873.52</v>
      </c>
      <c r="E1067" s="104">
        <v>2897226.29</v>
      </c>
      <c r="F1067" s="104">
        <v>1956507.19</v>
      </c>
      <c r="G1067" s="104">
        <v>4056592.62</v>
      </c>
      <c r="H1067" s="832">
        <f t="shared" si="16"/>
        <v>940719.10000000009</v>
      </c>
    </row>
    <row r="1068" spans="2:8" x14ac:dyDescent="0.25">
      <c r="H1068" s="104"/>
    </row>
    <row r="1069" spans="2:8" x14ac:dyDescent="0.25">
      <c r="B1069">
        <v>19902050</v>
      </c>
      <c r="C1069" t="s">
        <v>245</v>
      </c>
      <c r="H1069" s="104"/>
    </row>
    <row r="1070" spans="2:8" x14ac:dyDescent="0.25">
      <c r="C1070" t="s">
        <v>2166</v>
      </c>
      <c r="D1070" s="104">
        <v>498635.55</v>
      </c>
      <c r="E1070" s="104">
        <v>705463.81</v>
      </c>
      <c r="F1070" s="104">
        <v>498635.55</v>
      </c>
      <c r="G1070" s="104">
        <v>705463.81</v>
      </c>
      <c r="H1070" s="104">
        <f t="shared" si="16"/>
        <v>206828.26000000007</v>
      </c>
    </row>
    <row r="1071" spans="2:8" x14ac:dyDescent="0.25">
      <c r="C1071" t="s">
        <v>2073</v>
      </c>
      <c r="D1071">
        <v>0</v>
      </c>
      <c r="E1071" s="104">
        <v>2789.64</v>
      </c>
      <c r="F1071" s="104">
        <v>2789.64</v>
      </c>
      <c r="G1071">
        <v>0</v>
      </c>
      <c r="H1071" s="104">
        <f t="shared" si="16"/>
        <v>0</v>
      </c>
    </row>
    <row r="1072" spans="2:8" x14ac:dyDescent="0.25">
      <c r="B1072" t="s">
        <v>1587</v>
      </c>
      <c r="D1072" s="104">
        <v>498635.55</v>
      </c>
      <c r="E1072" s="104">
        <v>708253.45</v>
      </c>
      <c r="F1072" s="104">
        <v>501425.19</v>
      </c>
      <c r="G1072" s="104">
        <v>705463.81</v>
      </c>
      <c r="H1072" s="832">
        <f t="shared" si="16"/>
        <v>206828.26000000007</v>
      </c>
    </row>
    <row r="1073" spans="2:8" x14ac:dyDescent="0.25">
      <c r="H1073" s="104"/>
    </row>
    <row r="1074" spans="2:8" x14ac:dyDescent="0.25">
      <c r="B1074">
        <v>19902060</v>
      </c>
      <c r="C1074" t="s">
        <v>2167</v>
      </c>
      <c r="H1074" s="104"/>
    </row>
    <row r="1075" spans="2:8" x14ac:dyDescent="0.25">
      <c r="C1075" t="s">
        <v>1954</v>
      </c>
      <c r="D1075" s="104">
        <v>1375885.03</v>
      </c>
      <c r="E1075" s="104">
        <v>27641691.870000001</v>
      </c>
      <c r="F1075" s="104">
        <v>27163179.73</v>
      </c>
      <c r="G1075" s="104">
        <v>1854397.17</v>
      </c>
      <c r="H1075" s="104">
        <f t="shared" si="16"/>
        <v>478512.1399999999</v>
      </c>
    </row>
    <row r="1076" spans="2:8" x14ac:dyDescent="0.25">
      <c r="C1076" t="s">
        <v>1955</v>
      </c>
      <c r="D1076">
        <v>0</v>
      </c>
      <c r="E1076" s="104">
        <v>33825.919999999998</v>
      </c>
      <c r="F1076" s="104">
        <v>33825.919999999998</v>
      </c>
      <c r="G1076">
        <v>0</v>
      </c>
      <c r="H1076" s="104">
        <f t="shared" si="16"/>
        <v>0</v>
      </c>
    </row>
    <row r="1077" spans="2:8" x14ac:dyDescent="0.25">
      <c r="C1077" t="s">
        <v>1726</v>
      </c>
      <c r="D1077">
        <v>0</v>
      </c>
      <c r="E1077">
        <v>473.79</v>
      </c>
      <c r="F1077">
        <v>473.79</v>
      </c>
      <c r="G1077">
        <v>0</v>
      </c>
      <c r="H1077" s="104">
        <f t="shared" si="16"/>
        <v>0</v>
      </c>
    </row>
    <row r="1078" spans="2:8" x14ac:dyDescent="0.25">
      <c r="B1078" t="s">
        <v>1587</v>
      </c>
      <c r="D1078" s="104">
        <v>1375885.03</v>
      </c>
      <c r="E1078" s="104">
        <v>27675991.579999998</v>
      </c>
      <c r="F1078" s="104">
        <v>27197479.440000001</v>
      </c>
      <c r="G1078" s="104">
        <v>1854397.17</v>
      </c>
      <c r="H1078" s="832">
        <f t="shared" si="16"/>
        <v>478512.1399999999</v>
      </c>
    </row>
    <row r="1079" spans="2:8" x14ac:dyDescent="0.25">
      <c r="H1079" s="104"/>
    </row>
    <row r="1080" spans="2:8" x14ac:dyDescent="0.25">
      <c r="B1080">
        <v>19902070</v>
      </c>
      <c r="C1080" t="s">
        <v>2168</v>
      </c>
      <c r="H1080" s="104"/>
    </row>
    <row r="1081" spans="2:8" x14ac:dyDescent="0.25">
      <c r="C1081" t="s">
        <v>1963</v>
      </c>
      <c r="D1081" s="104">
        <v>147178.32</v>
      </c>
      <c r="E1081" s="104">
        <v>2670852.67</v>
      </c>
      <c r="F1081" s="104">
        <v>2713101.36</v>
      </c>
      <c r="G1081" s="104">
        <v>104929.63</v>
      </c>
      <c r="H1081" s="104">
        <f t="shared" si="16"/>
        <v>-42248.69</v>
      </c>
    </row>
    <row r="1082" spans="2:8" x14ac:dyDescent="0.25">
      <c r="B1082" t="s">
        <v>1587</v>
      </c>
      <c r="D1082" s="104">
        <v>147178.32</v>
      </c>
      <c r="E1082" s="104">
        <v>2670852.67</v>
      </c>
      <c r="F1082" s="104">
        <v>2713101.36</v>
      </c>
      <c r="G1082" s="104">
        <v>104929.63</v>
      </c>
      <c r="H1082" s="832">
        <f t="shared" si="16"/>
        <v>-42248.69</v>
      </c>
    </row>
    <row r="1083" spans="2:8" x14ac:dyDescent="0.25">
      <c r="H1083" s="104"/>
    </row>
    <row r="1084" spans="2:8" x14ac:dyDescent="0.25">
      <c r="B1084">
        <v>19902080</v>
      </c>
      <c r="C1084" t="s">
        <v>2169</v>
      </c>
      <c r="H1084" s="104"/>
    </row>
    <row r="1085" spans="2:8" x14ac:dyDescent="0.25">
      <c r="C1085" t="s">
        <v>1964</v>
      </c>
      <c r="D1085" s="104">
        <v>11693745.460000001</v>
      </c>
      <c r="E1085" s="104">
        <v>10882393.289999999</v>
      </c>
      <c r="F1085" s="104">
        <v>10882393.289999999</v>
      </c>
      <c r="G1085" s="104">
        <v>11693745.460000001</v>
      </c>
      <c r="H1085" s="104">
        <f t="shared" si="16"/>
        <v>0</v>
      </c>
    </row>
    <row r="1086" spans="2:8" x14ac:dyDescent="0.25">
      <c r="B1086" t="s">
        <v>1587</v>
      </c>
      <c r="D1086" s="104">
        <v>11693745.460000001</v>
      </c>
      <c r="E1086" s="104">
        <v>10882393.289999999</v>
      </c>
      <c r="F1086" s="104">
        <v>10882393.289999999</v>
      </c>
      <c r="G1086" s="104">
        <v>11693745.460000001</v>
      </c>
      <c r="H1086" s="104">
        <f t="shared" si="16"/>
        <v>0</v>
      </c>
    </row>
    <row r="1087" spans="2:8" x14ac:dyDescent="0.25">
      <c r="H1087" s="104"/>
    </row>
    <row r="1088" spans="2:8" x14ac:dyDescent="0.25">
      <c r="B1088">
        <v>19902990</v>
      </c>
      <c r="C1088" t="s">
        <v>251</v>
      </c>
      <c r="H1088" s="104"/>
    </row>
    <row r="1089" spans="2:8" x14ac:dyDescent="0.25">
      <c r="C1089" t="s">
        <v>2029</v>
      </c>
      <c r="D1089">
        <v>0</v>
      </c>
      <c r="E1089">
        <v>0</v>
      </c>
      <c r="F1089">
        <v>0</v>
      </c>
      <c r="G1089">
        <v>0</v>
      </c>
      <c r="H1089" s="104">
        <f t="shared" si="16"/>
        <v>0</v>
      </c>
    </row>
    <row r="1090" spans="2:8" x14ac:dyDescent="0.25">
      <c r="C1090" t="s">
        <v>2062</v>
      </c>
      <c r="D1090">
        <v>0</v>
      </c>
      <c r="E1090" s="104">
        <v>142900.62</v>
      </c>
      <c r="F1090" s="104">
        <v>142900.62</v>
      </c>
      <c r="G1090">
        <v>0</v>
      </c>
      <c r="H1090" s="104">
        <f t="shared" si="16"/>
        <v>0</v>
      </c>
    </row>
    <row r="1091" spans="2:8" x14ac:dyDescent="0.25">
      <c r="C1091" t="s">
        <v>2170</v>
      </c>
      <c r="D1091">
        <v>0</v>
      </c>
      <c r="E1091" s="104">
        <v>8540908.4000000004</v>
      </c>
      <c r="F1091">
        <v>0</v>
      </c>
      <c r="G1091" s="104">
        <v>8540908.4000000004</v>
      </c>
      <c r="H1091" s="104">
        <f t="shared" si="16"/>
        <v>8540908.4000000004</v>
      </c>
    </row>
    <row r="1092" spans="2:8" x14ac:dyDescent="0.25">
      <c r="C1092" t="s">
        <v>1898</v>
      </c>
      <c r="D1092" s="104">
        <v>4120879.5</v>
      </c>
      <c r="E1092">
        <v>0</v>
      </c>
      <c r="F1092">
        <v>223.5</v>
      </c>
      <c r="G1092" s="104">
        <v>4120656</v>
      </c>
      <c r="H1092" s="104">
        <f t="shared" ref="H1092:H1155" si="17">G1092-D1092</f>
        <v>-223.5</v>
      </c>
    </row>
    <row r="1093" spans="2:8" x14ac:dyDescent="0.25">
      <c r="C1093" t="s">
        <v>2171</v>
      </c>
      <c r="D1093" s="104">
        <v>7964.44</v>
      </c>
      <c r="E1093" s="104">
        <v>23893.33</v>
      </c>
      <c r="F1093" s="104">
        <v>7964.44</v>
      </c>
      <c r="G1093" s="104">
        <v>23893.33</v>
      </c>
      <c r="H1093" s="104">
        <f t="shared" si="17"/>
        <v>15928.890000000003</v>
      </c>
    </row>
    <row r="1094" spans="2:8" x14ac:dyDescent="0.25">
      <c r="C1094" t="s">
        <v>2172</v>
      </c>
      <c r="D1094" s="104">
        <v>4789136</v>
      </c>
      <c r="E1094" s="104">
        <v>4789811.84</v>
      </c>
      <c r="F1094" s="104">
        <v>4789136</v>
      </c>
      <c r="G1094" s="104">
        <v>4789811.84</v>
      </c>
      <c r="H1094" s="104">
        <f t="shared" si="17"/>
        <v>675.83999999985099</v>
      </c>
    </row>
    <row r="1095" spans="2:8" x14ac:dyDescent="0.25">
      <c r="C1095" t="s">
        <v>2173</v>
      </c>
      <c r="D1095" s="104">
        <v>3354.84</v>
      </c>
      <c r="E1095">
        <v>0</v>
      </c>
      <c r="F1095" s="104">
        <v>3354.84</v>
      </c>
      <c r="G1095">
        <v>0</v>
      </c>
      <c r="H1095" s="104">
        <f t="shared" si="17"/>
        <v>-3354.84</v>
      </c>
    </row>
    <row r="1096" spans="2:8" x14ac:dyDescent="0.25">
      <c r="C1096" t="s">
        <v>2174</v>
      </c>
      <c r="D1096">
        <v>0</v>
      </c>
      <c r="E1096" s="104">
        <v>8005.17</v>
      </c>
      <c r="F1096" s="104">
        <v>8005.17</v>
      </c>
      <c r="G1096">
        <v>0</v>
      </c>
      <c r="H1096" s="104">
        <f t="shared" si="17"/>
        <v>0</v>
      </c>
    </row>
    <row r="1097" spans="2:8" x14ac:dyDescent="0.25">
      <c r="C1097" t="s">
        <v>2175</v>
      </c>
      <c r="D1097" s="104">
        <v>36000</v>
      </c>
      <c r="E1097">
        <v>0</v>
      </c>
      <c r="F1097" s="104">
        <v>36000</v>
      </c>
      <c r="G1097">
        <v>0</v>
      </c>
      <c r="H1097" s="104">
        <f t="shared" si="17"/>
        <v>-36000</v>
      </c>
    </row>
    <row r="1098" spans="2:8" x14ac:dyDescent="0.25">
      <c r="C1098" t="s">
        <v>2176</v>
      </c>
      <c r="D1098">
        <v>0</v>
      </c>
      <c r="E1098" s="104">
        <v>17624.53</v>
      </c>
      <c r="F1098">
        <v>0</v>
      </c>
      <c r="G1098" s="104">
        <v>17624.53</v>
      </c>
      <c r="H1098" s="104">
        <f t="shared" si="17"/>
        <v>17624.53</v>
      </c>
    </row>
    <row r="1099" spans="2:8" x14ac:dyDescent="0.25">
      <c r="B1099" t="s">
        <v>1587</v>
      </c>
      <c r="D1099" s="104">
        <v>8957334.7799999993</v>
      </c>
      <c r="E1099" s="104">
        <v>13523143.890000001</v>
      </c>
      <c r="F1099" s="104">
        <v>4987584.57</v>
      </c>
      <c r="G1099" s="104">
        <v>17492894.100000001</v>
      </c>
      <c r="H1099" s="832">
        <f t="shared" si="17"/>
        <v>8535559.3200000022</v>
      </c>
    </row>
    <row r="1100" spans="2:8" x14ac:dyDescent="0.25">
      <c r="H1100" s="104"/>
    </row>
    <row r="1101" spans="2:8" x14ac:dyDescent="0.25">
      <c r="B1101">
        <v>19903020</v>
      </c>
      <c r="C1101" t="s">
        <v>788</v>
      </c>
      <c r="H1101" s="104"/>
    </row>
    <row r="1102" spans="2:8" x14ac:dyDescent="0.25">
      <c r="C1102" t="s">
        <v>2177</v>
      </c>
      <c r="D1102" s="104">
        <v>220000</v>
      </c>
      <c r="E1102">
        <v>0</v>
      </c>
      <c r="F1102">
        <v>0</v>
      </c>
      <c r="G1102" s="104">
        <v>220000</v>
      </c>
      <c r="H1102" s="104">
        <f t="shared" si="17"/>
        <v>0</v>
      </c>
    </row>
    <row r="1103" spans="2:8" x14ac:dyDescent="0.25">
      <c r="B1103" t="s">
        <v>1587</v>
      </c>
      <c r="D1103" s="104">
        <v>220000</v>
      </c>
      <c r="E1103">
        <v>0</v>
      </c>
      <c r="F1103">
        <v>0</v>
      </c>
      <c r="G1103" s="104">
        <v>220000</v>
      </c>
      <c r="H1103" s="832">
        <f t="shared" si="17"/>
        <v>0</v>
      </c>
    </row>
    <row r="1104" spans="2:8" x14ac:dyDescent="0.25">
      <c r="H1104" s="104"/>
    </row>
    <row r="1105" spans="2:8" x14ac:dyDescent="0.25">
      <c r="B1105">
        <v>19903990</v>
      </c>
      <c r="C1105" t="s">
        <v>790</v>
      </c>
      <c r="H1105" s="104"/>
    </row>
    <row r="1106" spans="2:8" x14ac:dyDescent="0.25">
      <c r="C1106" t="s">
        <v>2004</v>
      </c>
      <c r="D1106" s="104">
        <v>17700</v>
      </c>
      <c r="E1106">
        <v>0</v>
      </c>
      <c r="F1106">
        <v>0</v>
      </c>
      <c r="G1106" s="104">
        <v>17700</v>
      </c>
      <c r="H1106" s="104">
        <f t="shared" si="17"/>
        <v>0</v>
      </c>
    </row>
    <row r="1107" spans="2:8" x14ac:dyDescent="0.25">
      <c r="C1107" t="s">
        <v>1805</v>
      </c>
      <c r="D1107">
        <v>0</v>
      </c>
      <c r="E1107" s="104">
        <v>5000</v>
      </c>
      <c r="F1107" s="104">
        <v>5000</v>
      </c>
      <c r="G1107">
        <v>0</v>
      </c>
      <c r="H1107" s="104">
        <f t="shared" si="17"/>
        <v>0</v>
      </c>
    </row>
    <row r="1108" spans="2:8" x14ac:dyDescent="0.25">
      <c r="C1108" t="s">
        <v>2171</v>
      </c>
      <c r="D1108">
        <v>0</v>
      </c>
      <c r="E1108" s="104">
        <v>15000</v>
      </c>
      <c r="F1108">
        <v>0</v>
      </c>
      <c r="G1108" s="104">
        <v>15000</v>
      </c>
      <c r="H1108" s="104">
        <f t="shared" si="17"/>
        <v>15000</v>
      </c>
    </row>
    <row r="1109" spans="2:8" x14ac:dyDescent="0.25">
      <c r="C1109" t="s">
        <v>2178</v>
      </c>
      <c r="D1109">
        <v>0</v>
      </c>
      <c r="E1109" s="104">
        <v>73290</v>
      </c>
      <c r="F1109">
        <v>0</v>
      </c>
      <c r="G1109" s="104">
        <v>73290</v>
      </c>
      <c r="H1109" s="104">
        <f t="shared" si="17"/>
        <v>73290</v>
      </c>
    </row>
    <row r="1110" spans="2:8" x14ac:dyDescent="0.25">
      <c r="B1110" t="s">
        <v>1587</v>
      </c>
      <c r="D1110" s="104">
        <v>17700</v>
      </c>
      <c r="E1110" s="104">
        <v>93290</v>
      </c>
      <c r="F1110" s="104">
        <v>5000</v>
      </c>
      <c r="G1110" s="104">
        <v>105990</v>
      </c>
      <c r="H1110" s="832">
        <f t="shared" si="17"/>
        <v>88290</v>
      </c>
    </row>
    <row r="1111" spans="2:8" x14ac:dyDescent="0.25">
      <c r="H1111" s="104"/>
    </row>
    <row r="1112" spans="2:8" x14ac:dyDescent="0.25">
      <c r="B1112">
        <v>19999020</v>
      </c>
      <c r="C1112" t="s">
        <v>194</v>
      </c>
      <c r="H1112" s="104"/>
    </row>
    <row r="1113" spans="2:8" x14ac:dyDescent="0.25">
      <c r="C1113" t="s">
        <v>1814</v>
      </c>
      <c r="D1113" s="104">
        <v>922591.08</v>
      </c>
      <c r="E1113">
        <v>0</v>
      </c>
      <c r="F1113">
        <v>0</v>
      </c>
      <c r="G1113" s="104">
        <v>922591.08</v>
      </c>
      <c r="H1113" s="104">
        <f t="shared" si="17"/>
        <v>0</v>
      </c>
    </row>
    <row r="1114" spans="2:8" x14ac:dyDescent="0.25">
      <c r="B1114" t="s">
        <v>1587</v>
      </c>
      <c r="D1114" s="104">
        <v>922591.08</v>
      </c>
      <c r="E1114">
        <v>0</v>
      </c>
      <c r="F1114">
        <v>0</v>
      </c>
      <c r="G1114" s="104">
        <v>922591.08</v>
      </c>
      <c r="H1114" s="832">
        <f t="shared" si="17"/>
        <v>0</v>
      </c>
    </row>
    <row r="1115" spans="2:8" x14ac:dyDescent="0.25">
      <c r="H1115" s="104"/>
    </row>
    <row r="1116" spans="2:8" x14ac:dyDescent="0.25">
      <c r="B1116">
        <v>19999021</v>
      </c>
      <c r="C1116" t="s">
        <v>198</v>
      </c>
      <c r="H1116" s="104"/>
    </row>
    <row r="1117" spans="2:8" x14ac:dyDescent="0.25">
      <c r="C1117" t="s">
        <v>1814</v>
      </c>
      <c r="D1117" s="104">
        <v>-922590.08</v>
      </c>
      <c r="E1117">
        <v>0</v>
      </c>
      <c r="F1117">
        <v>0</v>
      </c>
      <c r="G1117" s="104">
        <v>-922590.08</v>
      </c>
      <c r="H1117" s="104">
        <f t="shared" si="17"/>
        <v>0</v>
      </c>
    </row>
    <row r="1118" spans="2:8" x14ac:dyDescent="0.25">
      <c r="B1118" t="s">
        <v>1587</v>
      </c>
      <c r="D1118" s="104">
        <v>-922590.08</v>
      </c>
      <c r="E1118">
        <v>0</v>
      </c>
      <c r="F1118">
        <v>0</v>
      </c>
      <c r="G1118" s="104">
        <v>-922590.08</v>
      </c>
      <c r="H1118" s="832">
        <f t="shared" si="17"/>
        <v>0</v>
      </c>
    </row>
    <row r="1119" spans="2:8" x14ac:dyDescent="0.25">
      <c r="H1119" s="104"/>
    </row>
    <row r="1120" spans="2:8" x14ac:dyDescent="0.25">
      <c r="B1120">
        <v>19999990</v>
      </c>
      <c r="C1120" t="s">
        <v>263</v>
      </c>
      <c r="D1120" s="104">
        <v>1059118617.46</v>
      </c>
      <c r="E1120" s="104">
        <v>662709839.27999997</v>
      </c>
      <c r="F1120" s="104">
        <v>31112770.370000001</v>
      </c>
      <c r="G1120" s="104">
        <v>1690715686.3699999</v>
      </c>
      <c r="H1120" s="104">
        <f t="shared" si="17"/>
        <v>631597068.90999985</v>
      </c>
    </row>
    <row r="1121" spans="2:8" x14ac:dyDescent="0.25">
      <c r="B1121" t="s">
        <v>2179</v>
      </c>
      <c r="C1121" t="s">
        <v>256</v>
      </c>
      <c r="H1121" s="104"/>
    </row>
    <row r="1122" spans="2:8" x14ac:dyDescent="0.25">
      <c r="C1122" t="s">
        <v>2005</v>
      </c>
      <c r="D1122" s="104">
        <v>19984699.239999998</v>
      </c>
      <c r="E1122" s="104">
        <v>9626146.7699999996</v>
      </c>
      <c r="F1122" s="104">
        <v>29610846.010000002</v>
      </c>
      <c r="G1122">
        <v>0</v>
      </c>
      <c r="H1122" s="104">
        <f t="shared" si="17"/>
        <v>-19984699.239999998</v>
      </c>
    </row>
    <row r="1123" spans="2:8" x14ac:dyDescent="0.25">
      <c r="C1123" t="s">
        <v>2180</v>
      </c>
      <c r="D1123">
        <v>0</v>
      </c>
      <c r="E1123">
        <v>0</v>
      </c>
      <c r="F1123">
        <v>0</v>
      </c>
      <c r="G1123">
        <v>0</v>
      </c>
      <c r="H1123" s="104">
        <f t="shared" si="17"/>
        <v>0</v>
      </c>
    </row>
    <row r="1124" spans="2:8" x14ac:dyDescent="0.25">
      <c r="C1124" t="s">
        <v>1898</v>
      </c>
      <c r="D1124" s="104">
        <v>3435080.94</v>
      </c>
      <c r="E1124" s="104">
        <v>1967609.04</v>
      </c>
      <c r="F1124" s="104">
        <v>253812.5</v>
      </c>
      <c r="G1124" s="104">
        <v>5148877.4800000004</v>
      </c>
      <c r="H1124" s="104">
        <f t="shared" si="17"/>
        <v>1713796.5400000005</v>
      </c>
    </row>
    <row r="1125" spans="2:8" x14ac:dyDescent="0.25">
      <c r="C1125" t="s">
        <v>2181</v>
      </c>
      <c r="D1125">
        <v>0</v>
      </c>
      <c r="E1125" s="104">
        <v>579465.85</v>
      </c>
      <c r="F1125" s="104">
        <v>579465.85</v>
      </c>
      <c r="G1125">
        <v>0</v>
      </c>
      <c r="H1125" s="104">
        <f t="shared" si="17"/>
        <v>0</v>
      </c>
    </row>
    <row r="1126" spans="2:8" x14ac:dyDescent="0.25">
      <c r="C1126" t="s">
        <v>1738</v>
      </c>
      <c r="D1126">
        <v>0</v>
      </c>
      <c r="E1126" s="104">
        <v>499973274.39999998</v>
      </c>
      <c r="F1126">
        <v>0</v>
      </c>
      <c r="G1126" s="104">
        <v>499973274.39999998</v>
      </c>
      <c r="H1126" s="104">
        <f t="shared" si="17"/>
        <v>499973274.39999998</v>
      </c>
    </row>
    <row r="1127" spans="2:8" x14ac:dyDescent="0.25">
      <c r="C1127" t="s">
        <v>2182</v>
      </c>
      <c r="D1127">
        <v>0</v>
      </c>
      <c r="E1127" s="104">
        <v>150000000</v>
      </c>
      <c r="F1127">
        <v>0</v>
      </c>
      <c r="G1127" s="104">
        <v>150000000</v>
      </c>
      <c r="H1127" s="104">
        <f t="shared" si="17"/>
        <v>150000000</v>
      </c>
    </row>
    <row r="1128" spans="2:8" x14ac:dyDescent="0.25">
      <c r="B1128" t="s">
        <v>1587</v>
      </c>
      <c r="D1128" s="104">
        <v>23419780.18</v>
      </c>
      <c r="E1128" s="104">
        <v>662146496.05999994</v>
      </c>
      <c r="F1128" s="104">
        <v>30444124.359999999</v>
      </c>
      <c r="G1128" s="104">
        <v>655122151.88</v>
      </c>
      <c r="H1128" s="832">
        <f t="shared" si="17"/>
        <v>631702371.70000005</v>
      </c>
    </row>
    <row r="1129" spans="2:8" x14ac:dyDescent="0.25">
      <c r="H1129" s="104"/>
    </row>
    <row r="1130" spans="2:8" x14ac:dyDescent="0.25">
      <c r="B1130" t="s">
        <v>2183</v>
      </c>
      <c r="C1130" t="s">
        <v>259</v>
      </c>
      <c r="H1130" s="104"/>
    </row>
    <row r="1131" spans="2:8" x14ac:dyDescent="0.25">
      <c r="C1131" t="s">
        <v>2005</v>
      </c>
      <c r="D1131" s="104">
        <v>105302.79</v>
      </c>
      <c r="E1131" s="104">
        <v>563343.22</v>
      </c>
      <c r="F1131" s="104">
        <v>668646.01</v>
      </c>
      <c r="G1131">
        <v>0</v>
      </c>
      <c r="H1131" s="104">
        <f t="shared" si="17"/>
        <v>-105302.79</v>
      </c>
    </row>
    <row r="1132" spans="2:8" x14ac:dyDescent="0.25">
      <c r="C1132" t="s">
        <v>1742</v>
      </c>
      <c r="D1132">
        <v>0</v>
      </c>
      <c r="E1132">
        <v>0</v>
      </c>
      <c r="F1132">
        <v>0</v>
      </c>
      <c r="G1132">
        <v>0</v>
      </c>
      <c r="H1132" s="104">
        <f t="shared" si="17"/>
        <v>0</v>
      </c>
    </row>
    <row r="1133" spans="2:8" x14ac:dyDescent="0.25">
      <c r="B1133" t="s">
        <v>1587</v>
      </c>
      <c r="D1133" s="104">
        <v>105302.79</v>
      </c>
      <c r="E1133" s="104">
        <v>563343.22</v>
      </c>
      <c r="F1133" s="104">
        <v>668646.01</v>
      </c>
      <c r="G1133">
        <v>0</v>
      </c>
      <c r="H1133" s="832">
        <f t="shared" si="17"/>
        <v>-105302.79</v>
      </c>
    </row>
    <row r="1134" spans="2:8" x14ac:dyDescent="0.25">
      <c r="H1134" s="104"/>
    </row>
    <row r="1135" spans="2:8" x14ac:dyDescent="0.25">
      <c r="B1135" t="s">
        <v>2184</v>
      </c>
      <c r="C1135" t="s">
        <v>260</v>
      </c>
      <c r="H1135" s="104"/>
    </row>
    <row r="1136" spans="2:8" x14ac:dyDescent="0.25">
      <c r="C1136" t="s">
        <v>2185</v>
      </c>
      <c r="D1136" s="104">
        <v>42000000</v>
      </c>
      <c r="E1136">
        <v>0</v>
      </c>
      <c r="F1136">
        <v>0</v>
      </c>
      <c r="G1136" s="104">
        <v>42000000</v>
      </c>
      <c r="H1136" s="104">
        <f t="shared" si="17"/>
        <v>0</v>
      </c>
    </row>
    <row r="1137" spans="2:8" x14ac:dyDescent="0.25">
      <c r="C1137" t="s">
        <v>1804</v>
      </c>
      <c r="D1137" s="104">
        <v>125135.36</v>
      </c>
      <c r="E1137">
        <v>0</v>
      </c>
      <c r="F1137">
        <v>0</v>
      </c>
      <c r="G1137" s="104">
        <v>125135.36</v>
      </c>
      <c r="H1137" s="104">
        <f t="shared" si="17"/>
        <v>0</v>
      </c>
    </row>
    <row r="1138" spans="2:8" x14ac:dyDescent="0.25">
      <c r="C1138" t="s">
        <v>2186</v>
      </c>
      <c r="D1138" s="104">
        <v>703169.56</v>
      </c>
      <c r="E1138">
        <v>0</v>
      </c>
      <c r="F1138">
        <v>0</v>
      </c>
      <c r="G1138" s="104">
        <v>703169.56</v>
      </c>
      <c r="H1138" s="104">
        <f t="shared" si="17"/>
        <v>0</v>
      </c>
    </row>
    <row r="1139" spans="2:8" x14ac:dyDescent="0.25">
      <c r="B1139" t="s">
        <v>1587</v>
      </c>
      <c r="D1139" s="104">
        <v>42828304.920000002</v>
      </c>
      <c r="E1139">
        <v>0</v>
      </c>
      <c r="F1139">
        <v>0</v>
      </c>
      <c r="G1139" s="104">
        <v>42828304.920000002</v>
      </c>
      <c r="H1139" s="832">
        <f t="shared" si="17"/>
        <v>0</v>
      </c>
    </row>
    <row r="1140" spans="2:8" x14ac:dyDescent="0.25">
      <c r="H1140" s="104"/>
    </row>
    <row r="1141" spans="2:8" x14ac:dyDescent="0.25">
      <c r="B1141" t="s">
        <v>2187</v>
      </c>
      <c r="C1141" t="s">
        <v>263</v>
      </c>
      <c r="H1141" s="104"/>
    </row>
    <row r="1142" spans="2:8" x14ac:dyDescent="0.25">
      <c r="C1142" t="s">
        <v>2188</v>
      </c>
      <c r="D1142" s="104">
        <v>962110315.46000004</v>
      </c>
      <c r="E1142">
        <v>0</v>
      </c>
      <c r="F1142">
        <v>0</v>
      </c>
      <c r="G1142" s="104">
        <v>962110315.46000004</v>
      </c>
      <c r="H1142" s="104">
        <f t="shared" si="17"/>
        <v>0</v>
      </c>
    </row>
    <row r="1143" spans="2:8" x14ac:dyDescent="0.25">
      <c r="C1143" t="s">
        <v>2095</v>
      </c>
      <c r="D1143" s="104">
        <v>3431500</v>
      </c>
      <c r="E1143">
        <v>0</v>
      </c>
      <c r="F1143">
        <v>0</v>
      </c>
      <c r="G1143" s="104">
        <v>3431500</v>
      </c>
      <c r="H1143" s="104">
        <f t="shared" si="17"/>
        <v>0</v>
      </c>
    </row>
    <row r="1144" spans="2:8" x14ac:dyDescent="0.25">
      <c r="C1144" t="s">
        <v>2189</v>
      </c>
      <c r="D1144" s="104">
        <v>6721438.1900000004</v>
      </c>
      <c r="E1144">
        <v>0</v>
      </c>
      <c r="F1144">
        <v>0</v>
      </c>
      <c r="G1144" s="104">
        <v>6721438.1900000004</v>
      </c>
      <c r="H1144" s="104">
        <f t="shared" si="17"/>
        <v>0</v>
      </c>
    </row>
    <row r="1145" spans="2:8" x14ac:dyDescent="0.25">
      <c r="C1145" t="s">
        <v>2190</v>
      </c>
      <c r="D1145" s="104">
        <v>5462373.96</v>
      </c>
      <c r="E1145">
        <v>0</v>
      </c>
      <c r="F1145">
        <v>0</v>
      </c>
      <c r="G1145" s="104">
        <v>5462373.96</v>
      </c>
      <c r="H1145" s="104">
        <f t="shared" si="17"/>
        <v>0</v>
      </c>
    </row>
    <row r="1146" spans="2:8" x14ac:dyDescent="0.25">
      <c r="C1146" t="s">
        <v>2191</v>
      </c>
      <c r="D1146" s="104">
        <v>112939.19</v>
      </c>
      <c r="E1146">
        <v>0</v>
      </c>
      <c r="F1146">
        <v>0</v>
      </c>
      <c r="G1146" s="104">
        <v>112939.19</v>
      </c>
      <c r="H1146" s="104">
        <f t="shared" si="17"/>
        <v>0</v>
      </c>
    </row>
    <row r="1147" spans="2:8" x14ac:dyDescent="0.25">
      <c r="C1147" t="s">
        <v>1814</v>
      </c>
      <c r="D1147" s="104">
        <v>3954634.79</v>
      </c>
      <c r="E1147">
        <v>0</v>
      </c>
      <c r="F1147">
        <v>0</v>
      </c>
      <c r="G1147" s="104">
        <v>3954634.79</v>
      </c>
      <c r="H1147" s="104">
        <f t="shared" si="17"/>
        <v>0</v>
      </c>
    </row>
    <row r="1148" spans="2:8" x14ac:dyDescent="0.25">
      <c r="C1148" t="s">
        <v>2192</v>
      </c>
      <c r="D1148" s="104">
        <v>107834.5</v>
      </c>
      <c r="E1148">
        <v>0</v>
      </c>
      <c r="F1148">
        <v>0</v>
      </c>
      <c r="G1148" s="104">
        <v>107834.5</v>
      </c>
      <c r="H1148" s="104">
        <f t="shared" si="17"/>
        <v>0</v>
      </c>
    </row>
    <row r="1149" spans="2:8" x14ac:dyDescent="0.25">
      <c r="C1149" t="s">
        <v>2193</v>
      </c>
      <c r="D1149" s="104">
        <v>3180000</v>
      </c>
      <c r="E1149">
        <v>0</v>
      </c>
      <c r="F1149">
        <v>0</v>
      </c>
      <c r="G1149" s="104">
        <v>3180000</v>
      </c>
      <c r="H1149" s="104">
        <f t="shared" si="17"/>
        <v>0</v>
      </c>
    </row>
    <row r="1150" spans="2:8" x14ac:dyDescent="0.25">
      <c r="C1150" t="s">
        <v>2194</v>
      </c>
      <c r="D1150" s="104">
        <v>1070089.29</v>
      </c>
      <c r="E1150">
        <v>0</v>
      </c>
      <c r="F1150">
        <v>0</v>
      </c>
      <c r="G1150" s="104">
        <v>1070089.29</v>
      </c>
      <c r="H1150" s="104">
        <f t="shared" si="17"/>
        <v>0</v>
      </c>
    </row>
    <row r="1151" spans="2:8" x14ac:dyDescent="0.25">
      <c r="C1151" t="s">
        <v>2195</v>
      </c>
      <c r="D1151" s="104">
        <v>582222.4</v>
      </c>
      <c r="E1151">
        <v>0</v>
      </c>
      <c r="F1151">
        <v>0</v>
      </c>
      <c r="G1151" s="104">
        <v>582222.4</v>
      </c>
      <c r="H1151" s="104">
        <f t="shared" si="17"/>
        <v>0</v>
      </c>
    </row>
    <row r="1152" spans="2:8" x14ac:dyDescent="0.25">
      <c r="C1152" t="s">
        <v>2125</v>
      </c>
      <c r="D1152" s="104">
        <v>6018566.4400000004</v>
      </c>
      <c r="E1152">
        <v>0</v>
      </c>
      <c r="F1152">
        <v>0</v>
      </c>
      <c r="G1152" s="104">
        <v>6018566.4400000004</v>
      </c>
      <c r="H1152" s="104">
        <f t="shared" si="17"/>
        <v>0</v>
      </c>
    </row>
    <row r="1153" spans="2:8" x14ac:dyDescent="0.25">
      <c r="C1153" t="s">
        <v>2196</v>
      </c>
      <c r="D1153" s="104">
        <v>10000</v>
      </c>
      <c r="E1153">
        <v>0</v>
      </c>
      <c r="F1153">
        <v>0</v>
      </c>
      <c r="G1153" s="104">
        <v>10000</v>
      </c>
      <c r="H1153" s="104">
        <f t="shared" si="17"/>
        <v>0</v>
      </c>
    </row>
    <row r="1154" spans="2:8" x14ac:dyDescent="0.25">
      <c r="C1154" t="s">
        <v>2126</v>
      </c>
      <c r="D1154" s="104">
        <v>3315.35</v>
      </c>
      <c r="E1154">
        <v>0</v>
      </c>
      <c r="F1154">
        <v>0</v>
      </c>
      <c r="G1154" s="104">
        <v>3315.35</v>
      </c>
      <c r="H1154" s="104">
        <f t="shared" si="17"/>
        <v>0</v>
      </c>
    </row>
    <row r="1155" spans="2:8" x14ac:dyDescent="0.25">
      <c r="B1155" t="s">
        <v>1587</v>
      </c>
      <c r="D1155" s="104">
        <v>992765229.57000005</v>
      </c>
      <c r="E1155">
        <v>0</v>
      </c>
      <c r="F1155">
        <v>0</v>
      </c>
      <c r="G1155" s="104">
        <v>992765229.57000005</v>
      </c>
      <c r="H1155" s="832">
        <f t="shared" si="17"/>
        <v>0</v>
      </c>
    </row>
    <row r="1156" spans="2:8" x14ac:dyDescent="0.25">
      <c r="H1156" s="104"/>
    </row>
    <row r="1157" spans="2:8" x14ac:dyDescent="0.25">
      <c r="B1157">
        <v>19999991</v>
      </c>
      <c r="C1157" t="s">
        <v>269</v>
      </c>
      <c r="H1157" s="104"/>
    </row>
    <row r="1158" spans="2:8" x14ac:dyDescent="0.25">
      <c r="C1158" t="s">
        <v>2188</v>
      </c>
      <c r="D1158" s="104">
        <v>-955801563.98000002</v>
      </c>
      <c r="E1158">
        <v>0</v>
      </c>
      <c r="F1158">
        <v>0</v>
      </c>
      <c r="G1158" s="104">
        <v>-955801563.98000002</v>
      </c>
      <c r="H1158" s="104">
        <f t="shared" ref="H1158:H1219" si="18">G1158-D1158</f>
        <v>0</v>
      </c>
    </row>
    <row r="1159" spans="2:8" x14ac:dyDescent="0.25">
      <c r="C1159" t="s">
        <v>2095</v>
      </c>
      <c r="D1159" s="104">
        <v>-3431500</v>
      </c>
      <c r="E1159">
        <v>0</v>
      </c>
      <c r="F1159">
        <v>0</v>
      </c>
      <c r="G1159" s="104">
        <v>-3431500</v>
      </c>
      <c r="H1159" s="104">
        <f t="shared" si="18"/>
        <v>0</v>
      </c>
    </row>
    <row r="1160" spans="2:8" x14ac:dyDescent="0.25">
      <c r="C1160" t="s">
        <v>1814</v>
      </c>
      <c r="D1160" s="104">
        <v>-44475840.68</v>
      </c>
      <c r="E1160">
        <v>0</v>
      </c>
      <c r="F1160">
        <v>0</v>
      </c>
      <c r="G1160" s="104">
        <v>-44475840.68</v>
      </c>
      <c r="H1160" s="104">
        <f t="shared" si="18"/>
        <v>0</v>
      </c>
    </row>
    <row r="1161" spans="2:8" x14ac:dyDescent="0.25">
      <c r="C1161" t="s">
        <v>2148</v>
      </c>
      <c r="D1161">
        <v>0</v>
      </c>
      <c r="E1161">
        <v>0</v>
      </c>
      <c r="F1161" s="104">
        <v>631166.64</v>
      </c>
      <c r="G1161" s="104">
        <v>-631166.64</v>
      </c>
      <c r="H1161" s="104">
        <f t="shared" si="18"/>
        <v>-631166.64</v>
      </c>
    </row>
    <row r="1162" spans="2:8" x14ac:dyDescent="0.25">
      <c r="C1162" t="s">
        <v>2162</v>
      </c>
      <c r="D1162" s="104">
        <v>-22500</v>
      </c>
      <c r="E1162">
        <v>0</v>
      </c>
      <c r="F1162">
        <v>0</v>
      </c>
      <c r="G1162" s="104">
        <v>-22500</v>
      </c>
      <c r="H1162" s="104">
        <f t="shared" si="18"/>
        <v>0</v>
      </c>
    </row>
    <row r="1163" spans="2:8" x14ac:dyDescent="0.25">
      <c r="C1163" t="s">
        <v>2190</v>
      </c>
      <c r="D1163" s="104">
        <v>-5462373.96</v>
      </c>
      <c r="E1163">
        <v>0</v>
      </c>
      <c r="F1163">
        <v>0</v>
      </c>
      <c r="G1163" s="104">
        <v>-5462373.96</v>
      </c>
      <c r="H1163" s="104">
        <f t="shared" si="18"/>
        <v>0</v>
      </c>
    </row>
    <row r="1164" spans="2:8" x14ac:dyDescent="0.25">
      <c r="C1164" t="s">
        <v>2191</v>
      </c>
      <c r="D1164" s="104">
        <v>-112939.19</v>
      </c>
      <c r="E1164">
        <v>0</v>
      </c>
      <c r="F1164">
        <v>0</v>
      </c>
      <c r="G1164" s="104">
        <v>-112939.19</v>
      </c>
      <c r="H1164" s="104">
        <f t="shared" si="18"/>
        <v>0</v>
      </c>
    </row>
    <row r="1165" spans="2:8" x14ac:dyDescent="0.25">
      <c r="C1165" t="s">
        <v>2163</v>
      </c>
      <c r="D1165" s="104">
        <v>-101955</v>
      </c>
      <c r="E1165">
        <v>0</v>
      </c>
      <c r="F1165">
        <v>0</v>
      </c>
      <c r="G1165" s="104">
        <v>-101955</v>
      </c>
      <c r="H1165" s="104">
        <f t="shared" si="18"/>
        <v>0</v>
      </c>
    </row>
    <row r="1166" spans="2:8" x14ac:dyDescent="0.25">
      <c r="C1166" t="s">
        <v>2194</v>
      </c>
      <c r="D1166" s="104">
        <v>-1070089.29</v>
      </c>
      <c r="E1166">
        <v>0</v>
      </c>
      <c r="F1166">
        <v>0</v>
      </c>
      <c r="G1166" s="104">
        <v>-1070089.29</v>
      </c>
      <c r="H1166" s="104">
        <f t="shared" si="18"/>
        <v>0</v>
      </c>
    </row>
    <row r="1167" spans="2:8" x14ac:dyDescent="0.25">
      <c r="B1167" t="s">
        <v>1587</v>
      </c>
      <c r="D1167" s="104">
        <v>-1010478762.1</v>
      </c>
      <c r="E1167">
        <v>0</v>
      </c>
      <c r="F1167" s="104">
        <v>631166.64</v>
      </c>
      <c r="G1167" s="104">
        <v>-1011109928.74</v>
      </c>
      <c r="H1167" s="832">
        <f t="shared" si="18"/>
        <v>-631166.63999998569</v>
      </c>
    </row>
    <row r="1168" spans="2:8" x14ac:dyDescent="0.25">
      <c r="H1168" s="104"/>
    </row>
    <row r="1169" spans="2:8" x14ac:dyDescent="0.25">
      <c r="B1169">
        <v>20101050</v>
      </c>
      <c r="C1169" t="s">
        <v>271</v>
      </c>
      <c r="H1169" s="104"/>
    </row>
    <row r="1170" spans="2:8" x14ac:dyDescent="0.25">
      <c r="C1170" t="s">
        <v>2197</v>
      </c>
      <c r="D1170" s="104">
        <v>4538160.51</v>
      </c>
      <c r="E1170" s="104">
        <v>4538160.51</v>
      </c>
      <c r="F1170">
        <v>0</v>
      </c>
      <c r="G1170">
        <v>0</v>
      </c>
      <c r="H1170" s="104">
        <f t="shared" si="18"/>
        <v>-4538160.51</v>
      </c>
    </row>
    <row r="1171" spans="2:8" x14ac:dyDescent="0.25">
      <c r="C1171" t="s">
        <v>2198</v>
      </c>
      <c r="D1171" s="104">
        <v>130038535.11</v>
      </c>
      <c r="E1171">
        <v>0</v>
      </c>
      <c r="F1171">
        <v>0</v>
      </c>
      <c r="G1171" s="104">
        <v>130038535.11</v>
      </c>
      <c r="H1171" s="104">
        <f t="shared" si="18"/>
        <v>0</v>
      </c>
    </row>
    <row r="1172" spans="2:8" x14ac:dyDescent="0.25">
      <c r="C1172" t="s">
        <v>2199</v>
      </c>
      <c r="D1172" s="104">
        <v>8829219.25</v>
      </c>
      <c r="E1172">
        <v>0</v>
      </c>
      <c r="F1172">
        <v>0</v>
      </c>
      <c r="G1172" s="104">
        <v>8829219.25</v>
      </c>
      <c r="H1172" s="104">
        <f t="shared" si="18"/>
        <v>0</v>
      </c>
    </row>
    <row r="1173" spans="2:8" x14ac:dyDescent="0.25">
      <c r="C1173" t="s">
        <v>2200</v>
      </c>
      <c r="D1173" s="104">
        <v>317752395.88</v>
      </c>
      <c r="E1173">
        <v>0</v>
      </c>
      <c r="F1173">
        <v>0</v>
      </c>
      <c r="G1173" s="104">
        <v>317752395.88</v>
      </c>
      <c r="H1173" s="104">
        <f t="shared" si="18"/>
        <v>0</v>
      </c>
    </row>
    <row r="1174" spans="2:8" x14ac:dyDescent="0.25">
      <c r="B1174" t="s">
        <v>1587</v>
      </c>
      <c r="D1174" s="104">
        <v>461158310.75</v>
      </c>
      <c r="E1174" s="104">
        <v>4538160.51</v>
      </c>
      <c r="F1174">
        <v>0</v>
      </c>
      <c r="G1174" s="104">
        <v>456620150.24000001</v>
      </c>
      <c r="H1174" s="832">
        <f t="shared" si="18"/>
        <v>-4538160.5099999905</v>
      </c>
    </row>
    <row r="1175" spans="2:8" x14ac:dyDescent="0.25">
      <c r="H1175" s="104"/>
    </row>
    <row r="1176" spans="2:8" x14ac:dyDescent="0.25">
      <c r="B1176">
        <v>20102040</v>
      </c>
      <c r="C1176" t="s">
        <v>2201</v>
      </c>
      <c r="H1176" s="104"/>
    </row>
    <row r="1177" spans="2:8" x14ac:dyDescent="0.25">
      <c r="C1177" t="s">
        <v>2197</v>
      </c>
      <c r="D1177" s="104">
        <v>4051929</v>
      </c>
      <c r="E1177" s="104">
        <v>4051929</v>
      </c>
      <c r="F1177">
        <v>0</v>
      </c>
      <c r="G1177">
        <v>0</v>
      </c>
      <c r="H1177" s="104">
        <f t="shared" si="18"/>
        <v>-4051929</v>
      </c>
    </row>
    <row r="1178" spans="2:8" x14ac:dyDescent="0.25">
      <c r="C1178" t="s">
        <v>2200</v>
      </c>
      <c r="D1178">
        <v>0</v>
      </c>
      <c r="E1178">
        <v>0</v>
      </c>
      <c r="F1178">
        <v>0</v>
      </c>
      <c r="G1178">
        <v>0</v>
      </c>
      <c r="H1178" s="104">
        <f t="shared" si="18"/>
        <v>0</v>
      </c>
    </row>
    <row r="1179" spans="2:8" x14ac:dyDescent="0.25">
      <c r="C1179" t="s">
        <v>2202</v>
      </c>
      <c r="D1179" s="104">
        <v>140000000</v>
      </c>
      <c r="E1179">
        <v>0</v>
      </c>
      <c r="F1179">
        <v>0</v>
      </c>
      <c r="G1179" s="104">
        <v>140000000</v>
      </c>
      <c r="H1179" s="104">
        <f t="shared" si="18"/>
        <v>0</v>
      </c>
    </row>
    <row r="1180" spans="2:8" x14ac:dyDescent="0.25">
      <c r="B1180" t="s">
        <v>1587</v>
      </c>
      <c r="D1180" s="104">
        <v>144051929</v>
      </c>
      <c r="E1180" s="104">
        <v>4051929</v>
      </c>
      <c r="F1180">
        <v>0</v>
      </c>
      <c r="G1180" s="104">
        <v>140000000</v>
      </c>
      <c r="H1180" s="832">
        <f t="shared" si="18"/>
        <v>-4051929</v>
      </c>
    </row>
    <row r="1181" spans="2:8" x14ac:dyDescent="0.25">
      <c r="H1181" s="104"/>
    </row>
    <row r="1182" spans="2:8" x14ac:dyDescent="0.25">
      <c r="B1182">
        <v>20201010</v>
      </c>
      <c r="C1182" t="s">
        <v>2203</v>
      </c>
      <c r="H1182" s="104"/>
    </row>
    <row r="1183" spans="2:8" x14ac:dyDescent="0.25">
      <c r="B1183">
        <v>20201010</v>
      </c>
      <c r="C1183" t="s">
        <v>2203</v>
      </c>
      <c r="D1183" s="104">
        <v>267026.96000000002</v>
      </c>
      <c r="E1183" s="104">
        <v>17734172</v>
      </c>
      <c r="F1183" s="104">
        <v>18511155.670000002</v>
      </c>
      <c r="G1183" s="104">
        <v>1044010.63</v>
      </c>
      <c r="H1183" s="104">
        <f t="shared" si="18"/>
        <v>776983.66999999993</v>
      </c>
    </row>
    <row r="1184" spans="2:8" x14ac:dyDescent="0.25">
      <c r="B1184">
        <v>202010101</v>
      </c>
      <c r="C1184" t="s">
        <v>296</v>
      </c>
      <c r="H1184" s="104">
        <f t="shared" si="18"/>
        <v>0</v>
      </c>
    </row>
    <row r="1185" spans="2:8" x14ac:dyDescent="0.25">
      <c r="C1185" t="s">
        <v>1955</v>
      </c>
      <c r="D1185" s="104">
        <v>540831.03</v>
      </c>
      <c r="E1185" s="104">
        <v>5256766.76</v>
      </c>
      <c r="F1185" s="104">
        <v>5555728.6699999999</v>
      </c>
      <c r="G1185" s="104">
        <v>839792.94</v>
      </c>
      <c r="H1185" s="104">
        <f t="shared" si="18"/>
        <v>298961.90999999992</v>
      </c>
    </row>
    <row r="1186" spans="2:8" x14ac:dyDescent="0.25">
      <c r="B1186" t="s">
        <v>1587</v>
      </c>
      <c r="D1186" s="104">
        <v>540831.03</v>
      </c>
      <c r="E1186" s="104">
        <v>5256766.76</v>
      </c>
      <c r="F1186" s="104">
        <v>5555728.6699999999</v>
      </c>
      <c r="G1186" s="104">
        <v>839792.94</v>
      </c>
      <c r="H1186" s="832">
        <f t="shared" si="18"/>
        <v>298961.90999999992</v>
      </c>
    </row>
    <row r="1187" spans="2:8" x14ac:dyDescent="0.25">
      <c r="H1187" s="104"/>
    </row>
    <row r="1188" spans="2:8" x14ac:dyDescent="0.25">
      <c r="B1188">
        <v>202010102</v>
      </c>
      <c r="C1188" t="s">
        <v>302</v>
      </c>
      <c r="H1188" s="104"/>
    </row>
    <row r="1189" spans="2:8" x14ac:dyDescent="0.25">
      <c r="C1189" t="s">
        <v>1955</v>
      </c>
      <c r="D1189" s="104">
        <v>130961.26</v>
      </c>
      <c r="E1189" s="104">
        <v>4282765.84</v>
      </c>
      <c r="F1189" s="104">
        <v>4469530.3</v>
      </c>
      <c r="G1189" s="104">
        <v>317725.71999999997</v>
      </c>
      <c r="H1189" s="104">
        <f t="shared" si="18"/>
        <v>186764.45999999996</v>
      </c>
    </row>
    <row r="1190" spans="2:8" x14ac:dyDescent="0.25">
      <c r="C1190" t="s">
        <v>1954</v>
      </c>
      <c r="D1190">
        <v>519.41999999999996</v>
      </c>
      <c r="E1190" s="104">
        <v>1321.52</v>
      </c>
      <c r="F1190">
        <v>802.1</v>
      </c>
      <c r="G1190">
        <v>0</v>
      </c>
      <c r="H1190" s="104">
        <f t="shared" si="18"/>
        <v>-519.41999999999996</v>
      </c>
    </row>
    <row r="1191" spans="2:8" x14ac:dyDescent="0.25">
      <c r="B1191" t="s">
        <v>1587</v>
      </c>
      <c r="D1191" s="104">
        <v>131480.68</v>
      </c>
      <c r="E1191" s="104">
        <v>4284087.3600000003</v>
      </c>
      <c r="F1191" s="104">
        <v>4470332.4000000004</v>
      </c>
      <c r="G1191" s="104">
        <v>317725.71999999997</v>
      </c>
      <c r="H1191" s="832">
        <f t="shared" si="18"/>
        <v>186245.03999999998</v>
      </c>
    </row>
    <row r="1192" spans="2:8" x14ac:dyDescent="0.25">
      <c r="H1192" s="104"/>
    </row>
    <row r="1193" spans="2:8" x14ac:dyDescent="0.25">
      <c r="B1193">
        <v>202010103</v>
      </c>
      <c r="C1193" t="s">
        <v>308</v>
      </c>
      <c r="H1193" s="104"/>
    </row>
    <row r="1194" spans="2:8" x14ac:dyDescent="0.25">
      <c r="C1194" t="s">
        <v>1955</v>
      </c>
      <c r="D1194" s="104">
        <v>4968.34</v>
      </c>
      <c r="E1194" s="104">
        <v>127974.13</v>
      </c>
      <c r="F1194" s="104">
        <v>160276.76</v>
      </c>
      <c r="G1194" s="104">
        <v>37270.97</v>
      </c>
      <c r="H1194" s="104">
        <f t="shared" si="18"/>
        <v>32302.63</v>
      </c>
    </row>
    <row r="1195" spans="2:8" x14ac:dyDescent="0.25">
      <c r="C1195" t="s">
        <v>1954</v>
      </c>
      <c r="D1195">
        <v>0</v>
      </c>
      <c r="E1195">
        <v>132.1</v>
      </c>
      <c r="F1195">
        <v>132.1</v>
      </c>
      <c r="G1195">
        <v>0</v>
      </c>
      <c r="H1195" s="104">
        <f t="shared" si="18"/>
        <v>0</v>
      </c>
    </row>
    <row r="1196" spans="2:8" x14ac:dyDescent="0.25">
      <c r="B1196" t="s">
        <v>1587</v>
      </c>
      <c r="D1196" s="104">
        <v>4968.34</v>
      </c>
      <c r="E1196" s="104">
        <v>128106.23</v>
      </c>
      <c r="F1196" s="104">
        <v>160408.85999999999</v>
      </c>
      <c r="G1196" s="104">
        <v>37270.97</v>
      </c>
      <c r="H1196" s="832">
        <f t="shared" si="18"/>
        <v>32302.63</v>
      </c>
    </row>
    <row r="1197" spans="2:8" x14ac:dyDescent="0.25">
      <c r="H1197" s="104"/>
    </row>
    <row r="1198" spans="2:8" x14ac:dyDescent="0.25">
      <c r="B1198">
        <v>202010104</v>
      </c>
      <c r="C1198" t="s">
        <v>301</v>
      </c>
      <c r="H1198" s="104"/>
    </row>
    <row r="1199" spans="2:8" x14ac:dyDescent="0.25">
      <c r="C1199" t="s">
        <v>1954</v>
      </c>
      <c r="D1199">
        <v>0</v>
      </c>
      <c r="E1199" s="104">
        <v>2634.92</v>
      </c>
      <c r="F1199" s="104">
        <v>2634.92</v>
      </c>
      <c r="G1199">
        <v>0</v>
      </c>
      <c r="H1199" s="104">
        <f t="shared" si="18"/>
        <v>0</v>
      </c>
    </row>
    <row r="1200" spans="2:8" x14ac:dyDescent="0.25">
      <c r="C1200" t="s">
        <v>1955</v>
      </c>
      <c r="D1200" s="104">
        <v>-408922.91</v>
      </c>
      <c r="E1200" s="104">
        <v>8062576.7300000004</v>
      </c>
      <c r="F1200" s="104">
        <v>8322050.8200000003</v>
      </c>
      <c r="G1200" s="104">
        <v>-149448.82</v>
      </c>
      <c r="H1200" s="104">
        <f t="shared" si="18"/>
        <v>259474.08999999997</v>
      </c>
    </row>
    <row r="1201" spans="2:8" x14ac:dyDescent="0.25">
      <c r="B1201" t="s">
        <v>1587</v>
      </c>
      <c r="D1201" s="104">
        <v>-408922.91</v>
      </c>
      <c r="E1201" s="104">
        <v>8065211.6500000004</v>
      </c>
      <c r="F1201" s="104">
        <v>8324685.7400000002</v>
      </c>
      <c r="G1201" s="104">
        <v>-149448.82</v>
      </c>
      <c r="H1201" s="832">
        <f t="shared" si="18"/>
        <v>259474.08999999997</v>
      </c>
    </row>
    <row r="1202" spans="2:8" x14ac:dyDescent="0.25">
      <c r="H1202" s="104"/>
    </row>
    <row r="1203" spans="2:8" x14ac:dyDescent="0.25">
      <c r="B1203">
        <v>20201020</v>
      </c>
      <c r="C1203" t="s">
        <v>313</v>
      </c>
      <c r="H1203" s="104"/>
    </row>
    <row r="1204" spans="2:8" x14ac:dyDescent="0.25">
      <c r="C1204" t="s">
        <v>2204</v>
      </c>
      <c r="D1204" s="104">
        <v>506531.28</v>
      </c>
      <c r="E1204" s="104">
        <v>6219935.25</v>
      </c>
      <c r="F1204" s="104">
        <v>6283428.7400000002</v>
      </c>
      <c r="G1204" s="104">
        <v>570024.77</v>
      </c>
      <c r="H1204" s="104">
        <f t="shared" si="18"/>
        <v>63493.489999999991</v>
      </c>
    </row>
    <row r="1205" spans="2:8" x14ac:dyDescent="0.25">
      <c r="C1205" t="s">
        <v>2205</v>
      </c>
      <c r="D1205" s="104">
        <v>121878.24</v>
      </c>
      <c r="E1205" s="104">
        <v>1683405.51</v>
      </c>
      <c r="F1205" s="104">
        <v>1693140.09</v>
      </c>
      <c r="G1205" s="104">
        <v>131612.82</v>
      </c>
      <c r="H1205" s="104">
        <f t="shared" si="18"/>
        <v>9734.5800000000017</v>
      </c>
    </row>
    <row r="1206" spans="2:8" x14ac:dyDescent="0.25">
      <c r="C1206" t="s">
        <v>2206</v>
      </c>
      <c r="D1206">
        <v>0</v>
      </c>
      <c r="E1206">
        <v>0</v>
      </c>
      <c r="F1206">
        <v>0</v>
      </c>
      <c r="G1206">
        <v>0</v>
      </c>
      <c r="H1206" s="104">
        <f t="shared" si="18"/>
        <v>0</v>
      </c>
    </row>
    <row r="1207" spans="2:8" x14ac:dyDescent="0.25">
      <c r="C1207" t="s">
        <v>2166</v>
      </c>
      <c r="D1207">
        <v>0</v>
      </c>
      <c r="E1207">
        <v>0</v>
      </c>
      <c r="F1207">
        <v>0</v>
      </c>
      <c r="G1207">
        <v>0</v>
      </c>
      <c r="H1207" s="104">
        <f t="shared" si="18"/>
        <v>0</v>
      </c>
    </row>
    <row r="1208" spans="2:8" x14ac:dyDescent="0.25">
      <c r="C1208" t="s">
        <v>2207</v>
      </c>
      <c r="D1208">
        <v>0</v>
      </c>
      <c r="E1208">
        <v>100</v>
      </c>
      <c r="F1208">
        <v>100</v>
      </c>
      <c r="G1208">
        <v>0</v>
      </c>
      <c r="H1208" s="104">
        <f t="shared" si="18"/>
        <v>0</v>
      </c>
    </row>
    <row r="1209" spans="2:8" x14ac:dyDescent="0.25">
      <c r="B1209" t="s">
        <v>1587</v>
      </c>
      <c r="D1209" s="104">
        <v>628409.52</v>
      </c>
      <c r="E1209" s="104">
        <v>7903440.7599999998</v>
      </c>
      <c r="F1209" s="104">
        <v>7976668.8300000001</v>
      </c>
      <c r="G1209" s="104">
        <v>701637.59</v>
      </c>
      <c r="H1209" s="832">
        <f t="shared" si="18"/>
        <v>73228.069999999949</v>
      </c>
    </row>
    <row r="1210" spans="2:8" x14ac:dyDescent="0.25">
      <c r="H1210" s="104"/>
    </row>
    <row r="1211" spans="2:8" x14ac:dyDescent="0.25">
      <c r="B1211">
        <v>20201030</v>
      </c>
      <c r="C1211" t="s">
        <v>323</v>
      </c>
      <c r="H1211" s="104"/>
    </row>
    <row r="1212" spans="2:8" x14ac:dyDescent="0.25">
      <c r="C1212" t="s">
        <v>2208</v>
      </c>
      <c r="D1212" s="104">
        <v>15200</v>
      </c>
      <c r="E1212" s="104">
        <v>194200</v>
      </c>
      <c r="F1212" s="104">
        <v>193400</v>
      </c>
      <c r="G1212" s="104">
        <v>14400</v>
      </c>
      <c r="H1212" s="104">
        <f t="shared" si="18"/>
        <v>-800</v>
      </c>
    </row>
    <row r="1213" spans="2:8" x14ac:dyDescent="0.25">
      <c r="C1213" t="s">
        <v>2209</v>
      </c>
      <c r="D1213" s="104">
        <v>7218.01</v>
      </c>
      <c r="E1213" s="104">
        <v>62822.28</v>
      </c>
      <c r="F1213" s="104">
        <v>58314.42</v>
      </c>
      <c r="G1213" s="104">
        <v>2710.15</v>
      </c>
      <c r="H1213" s="104">
        <f t="shared" si="18"/>
        <v>-4507.8600000000006</v>
      </c>
    </row>
    <row r="1214" spans="2:8" x14ac:dyDescent="0.25">
      <c r="C1214" t="s">
        <v>2210</v>
      </c>
      <c r="D1214" s="104">
        <v>6400</v>
      </c>
      <c r="E1214" s="104">
        <v>137565.29999999999</v>
      </c>
      <c r="F1214" s="104">
        <v>147692.85</v>
      </c>
      <c r="G1214" s="104">
        <v>16527.55</v>
      </c>
      <c r="H1214" s="104">
        <f t="shared" si="18"/>
        <v>10127.549999999999</v>
      </c>
    </row>
    <row r="1215" spans="2:8" x14ac:dyDescent="0.25">
      <c r="C1215" t="s">
        <v>2211</v>
      </c>
      <c r="D1215">
        <v>0</v>
      </c>
      <c r="E1215" s="104">
        <v>5705.19</v>
      </c>
      <c r="F1215" s="104">
        <v>6339.1</v>
      </c>
      <c r="G1215">
        <v>633.91</v>
      </c>
      <c r="H1215" s="104">
        <f t="shared" si="18"/>
        <v>633.91</v>
      </c>
    </row>
    <row r="1216" spans="2:8" x14ac:dyDescent="0.25">
      <c r="B1216" t="s">
        <v>1587</v>
      </c>
      <c r="D1216" s="104">
        <v>28818.01</v>
      </c>
      <c r="E1216" s="104">
        <v>400292.77</v>
      </c>
      <c r="F1216" s="104">
        <v>405746.37</v>
      </c>
      <c r="G1216" s="104">
        <v>34271.61</v>
      </c>
      <c r="H1216" s="832">
        <f t="shared" si="18"/>
        <v>5453.6000000000022</v>
      </c>
    </row>
    <row r="1217" spans="2:8" x14ac:dyDescent="0.25">
      <c r="H1217" s="104"/>
    </row>
    <row r="1218" spans="2:8" x14ac:dyDescent="0.25">
      <c r="B1218">
        <v>20201040</v>
      </c>
      <c r="C1218" t="s">
        <v>317</v>
      </c>
      <c r="H1218" s="104"/>
    </row>
    <row r="1219" spans="2:8" x14ac:dyDescent="0.25">
      <c r="C1219" t="s">
        <v>2207</v>
      </c>
      <c r="D1219" s="104">
        <v>66774.64</v>
      </c>
      <c r="E1219" s="104">
        <v>880073.24</v>
      </c>
      <c r="F1219" s="104">
        <v>892534.32</v>
      </c>
      <c r="G1219" s="104">
        <v>79235.72</v>
      </c>
      <c r="H1219" s="104">
        <f t="shared" si="18"/>
        <v>12461.080000000002</v>
      </c>
    </row>
    <row r="1220" spans="2:8" x14ac:dyDescent="0.25">
      <c r="B1220" t="s">
        <v>1587</v>
      </c>
      <c r="D1220" s="104">
        <v>66774.64</v>
      </c>
      <c r="E1220" s="104">
        <v>880073.24</v>
      </c>
      <c r="F1220" s="104">
        <v>892534.32</v>
      </c>
      <c r="G1220" s="104">
        <v>79235.72</v>
      </c>
      <c r="H1220" s="832">
        <f t="shared" ref="H1220:H1283" si="19">G1220-D1220</f>
        <v>12461.080000000002</v>
      </c>
    </row>
    <row r="1221" spans="2:8" x14ac:dyDescent="0.25">
      <c r="H1221" s="104"/>
    </row>
    <row r="1222" spans="2:8" x14ac:dyDescent="0.25">
      <c r="B1222">
        <v>20201120</v>
      </c>
      <c r="C1222" t="s">
        <v>298</v>
      </c>
      <c r="H1222" s="104"/>
    </row>
    <row r="1223" spans="2:8" x14ac:dyDescent="0.25">
      <c r="C1223" t="s">
        <v>1954</v>
      </c>
      <c r="D1223" s="104">
        <v>54850706.310000002</v>
      </c>
      <c r="E1223" s="104">
        <v>55987649.960000001</v>
      </c>
      <c r="F1223" s="104">
        <v>1136943.6499999999</v>
      </c>
      <c r="G1223">
        <v>0</v>
      </c>
      <c r="H1223" s="104">
        <f t="shared" si="19"/>
        <v>-54850706.310000002</v>
      </c>
    </row>
    <row r="1224" spans="2:8" x14ac:dyDescent="0.25">
      <c r="C1224" t="s">
        <v>1955</v>
      </c>
      <c r="D1224" s="104">
        <v>141267.9</v>
      </c>
      <c r="E1224" s="104">
        <v>409309.05</v>
      </c>
      <c r="F1224" s="104">
        <v>268041.15000000002</v>
      </c>
      <c r="G1224">
        <v>0</v>
      </c>
      <c r="H1224" s="104">
        <f t="shared" si="19"/>
        <v>-141267.9</v>
      </c>
    </row>
    <row r="1225" spans="2:8" x14ac:dyDescent="0.25">
      <c r="B1225" t="s">
        <v>1587</v>
      </c>
      <c r="D1225" s="104">
        <v>54991974.210000001</v>
      </c>
      <c r="E1225" s="104">
        <v>56396959.009999998</v>
      </c>
      <c r="F1225" s="104">
        <v>1404984.8</v>
      </c>
      <c r="G1225">
        <v>0</v>
      </c>
      <c r="H1225" s="832">
        <f t="shared" si="19"/>
        <v>-54991974.210000001</v>
      </c>
    </row>
    <row r="1226" spans="2:8" x14ac:dyDescent="0.25">
      <c r="H1226" s="104"/>
    </row>
    <row r="1227" spans="2:8" x14ac:dyDescent="0.25">
      <c r="B1227">
        <v>20201130</v>
      </c>
      <c r="C1227" t="s">
        <v>339</v>
      </c>
      <c r="H1227" s="104"/>
    </row>
    <row r="1228" spans="2:8" x14ac:dyDescent="0.25">
      <c r="C1228" t="s">
        <v>1955</v>
      </c>
      <c r="D1228">
        <v>0</v>
      </c>
      <c r="E1228">
        <v>0</v>
      </c>
      <c r="F1228" s="104">
        <v>9972792</v>
      </c>
      <c r="G1228" s="104">
        <v>9972792</v>
      </c>
      <c r="H1228" s="104">
        <f t="shared" si="19"/>
        <v>9972792</v>
      </c>
    </row>
    <row r="1229" spans="2:8" x14ac:dyDescent="0.25">
      <c r="C1229" t="s">
        <v>1724</v>
      </c>
      <c r="D1229" s="104">
        <v>5582909</v>
      </c>
      <c r="E1229" s="104">
        <v>5582909</v>
      </c>
      <c r="F1229">
        <v>0</v>
      </c>
      <c r="G1229">
        <v>0</v>
      </c>
      <c r="H1229" s="104">
        <f t="shared" si="19"/>
        <v>-5582909</v>
      </c>
    </row>
    <row r="1230" spans="2:8" x14ac:dyDescent="0.25">
      <c r="B1230" t="s">
        <v>1587</v>
      </c>
      <c r="D1230" s="104">
        <v>5582909</v>
      </c>
      <c r="E1230" s="104">
        <v>5582909</v>
      </c>
      <c r="F1230" s="104">
        <v>9972792</v>
      </c>
      <c r="G1230" s="104">
        <v>9972792</v>
      </c>
      <c r="H1230" s="832">
        <f t="shared" si="19"/>
        <v>4389883</v>
      </c>
    </row>
    <row r="1231" spans="2:8" x14ac:dyDescent="0.25">
      <c r="H1231" s="104"/>
    </row>
    <row r="1232" spans="2:8" x14ac:dyDescent="0.25">
      <c r="B1232">
        <v>20401010</v>
      </c>
      <c r="C1232" t="s">
        <v>934</v>
      </c>
      <c r="D1232" s="104">
        <v>16414236.23</v>
      </c>
      <c r="E1232" s="104">
        <v>21851491.050000001</v>
      </c>
      <c r="F1232" s="104">
        <v>2092659.78</v>
      </c>
      <c r="G1232" s="104">
        <v>-3344595.04</v>
      </c>
      <c r="H1232" s="104">
        <f t="shared" si="19"/>
        <v>-19758831.27</v>
      </c>
    </row>
    <row r="1233" spans="2:8" x14ac:dyDescent="0.25">
      <c r="B1233" t="s">
        <v>2212</v>
      </c>
      <c r="C1233" t="s">
        <v>327</v>
      </c>
      <c r="H1233" s="104"/>
    </row>
    <row r="1234" spans="2:8" x14ac:dyDescent="0.25">
      <c r="C1234" t="s">
        <v>2005</v>
      </c>
      <c r="D1234" s="104">
        <v>21248705.629999999</v>
      </c>
      <c r="E1234" s="104">
        <v>21416197.809999999</v>
      </c>
      <c r="F1234" s="104">
        <v>167492.18</v>
      </c>
      <c r="G1234">
        <v>0</v>
      </c>
      <c r="H1234" s="104">
        <f t="shared" si="19"/>
        <v>-21248705.629999999</v>
      </c>
    </row>
    <row r="1235" spans="2:8" x14ac:dyDescent="0.25">
      <c r="C1235" t="s">
        <v>2213</v>
      </c>
      <c r="D1235" s="104">
        <v>1775360.46</v>
      </c>
      <c r="E1235">
        <v>0</v>
      </c>
      <c r="F1235">
        <v>0</v>
      </c>
      <c r="G1235" s="104">
        <v>1775360.46</v>
      </c>
      <c r="H1235" s="104">
        <f t="shared" si="19"/>
        <v>0</v>
      </c>
    </row>
    <row r="1236" spans="2:8" x14ac:dyDescent="0.25">
      <c r="C1236" t="s">
        <v>2214</v>
      </c>
      <c r="D1236" s="104">
        <v>7749679.5</v>
      </c>
      <c r="E1236">
        <v>0</v>
      </c>
      <c r="F1236">
        <v>0</v>
      </c>
      <c r="G1236" s="104">
        <v>7749679.5</v>
      </c>
      <c r="H1236" s="104">
        <f t="shared" si="19"/>
        <v>0</v>
      </c>
    </row>
    <row r="1237" spans="2:8" x14ac:dyDescent="0.25">
      <c r="C1237" t="s">
        <v>1814</v>
      </c>
      <c r="D1237">
        <v>0</v>
      </c>
      <c r="E1237">
        <v>0</v>
      </c>
      <c r="F1237">
        <v>0</v>
      </c>
      <c r="G1237">
        <v>0</v>
      </c>
      <c r="H1237" s="104">
        <f t="shared" si="19"/>
        <v>0</v>
      </c>
    </row>
    <row r="1238" spans="2:8" x14ac:dyDescent="0.25">
      <c r="C1238" t="s">
        <v>2215</v>
      </c>
      <c r="D1238">
        <v>0</v>
      </c>
      <c r="E1238">
        <v>0</v>
      </c>
      <c r="F1238" s="104">
        <v>1275000</v>
      </c>
      <c r="G1238" s="104">
        <v>1275000</v>
      </c>
      <c r="H1238" s="104">
        <f t="shared" si="19"/>
        <v>1275000</v>
      </c>
    </row>
    <row r="1239" spans="2:8" x14ac:dyDescent="0.25">
      <c r="C1239" t="s">
        <v>2216</v>
      </c>
      <c r="D1239">
        <v>0</v>
      </c>
      <c r="E1239">
        <v>0</v>
      </c>
      <c r="F1239" s="104">
        <v>146950</v>
      </c>
      <c r="G1239" s="104">
        <v>146950</v>
      </c>
      <c r="H1239" s="104">
        <f t="shared" si="19"/>
        <v>146950</v>
      </c>
    </row>
    <row r="1240" spans="2:8" x14ac:dyDescent="0.25">
      <c r="C1240" t="s">
        <v>2217</v>
      </c>
      <c r="D1240" s="104">
        <v>244221.74</v>
      </c>
      <c r="E1240">
        <v>0</v>
      </c>
      <c r="F1240" s="104">
        <v>9673.1</v>
      </c>
      <c r="G1240" s="104">
        <v>253894.84</v>
      </c>
      <c r="H1240" s="104">
        <f t="shared" si="19"/>
        <v>9673.1000000000058</v>
      </c>
    </row>
    <row r="1241" spans="2:8" x14ac:dyDescent="0.25">
      <c r="C1241" t="s">
        <v>2218</v>
      </c>
      <c r="D1241">
        <v>0</v>
      </c>
      <c r="E1241">
        <v>0</v>
      </c>
      <c r="F1241" s="104">
        <v>3999.12</v>
      </c>
      <c r="G1241" s="104">
        <v>3999.12</v>
      </c>
      <c r="H1241" s="104">
        <f t="shared" si="19"/>
        <v>3999.12</v>
      </c>
    </row>
    <row r="1242" spans="2:8" x14ac:dyDescent="0.25">
      <c r="C1242" t="s">
        <v>2219</v>
      </c>
      <c r="D1242">
        <v>0</v>
      </c>
      <c r="E1242">
        <v>0</v>
      </c>
      <c r="F1242" s="104">
        <v>4155</v>
      </c>
      <c r="G1242" s="104">
        <v>4155</v>
      </c>
      <c r="H1242" s="104">
        <f t="shared" si="19"/>
        <v>4155</v>
      </c>
    </row>
    <row r="1243" spans="2:8" x14ac:dyDescent="0.25">
      <c r="C1243" t="s">
        <v>2220</v>
      </c>
      <c r="D1243">
        <v>0</v>
      </c>
      <c r="E1243">
        <v>0</v>
      </c>
      <c r="F1243" s="104">
        <v>1574.72</v>
      </c>
      <c r="G1243" s="104">
        <v>1574.72</v>
      </c>
      <c r="H1243" s="104">
        <f t="shared" si="19"/>
        <v>1574.72</v>
      </c>
    </row>
    <row r="1244" spans="2:8" x14ac:dyDescent="0.25">
      <c r="C1244" t="s">
        <v>2221</v>
      </c>
      <c r="D1244">
        <v>0</v>
      </c>
      <c r="E1244" s="104">
        <v>435293.24</v>
      </c>
      <c r="F1244" s="104">
        <v>434896.14</v>
      </c>
      <c r="G1244">
        <v>-397.1</v>
      </c>
      <c r="H1244" s="104">
        <f t="shared" si="19"/>
        <v>-397.1</v>
      </c>
    </row>
    <row r="1245" spans="2:8" x14ac:dyDescent="0.25">
      <c r="C1245" t="s">
        <v>2222</v>
      </c>
      <c r="D1245" s="104">
        <v>2334</v>
      </c>
      <c r="E1245">
        <v>0</v>
      </c>
      <c r="F1245" s="104">
        <v>16596.5</v>
      </c>
      <c r="G1245" s="104">
        <v>18930.5</v>
      </c>
      <c r="H1245" s="104">
        <f t="shared" si="19"/>
        <v>16596.5</v>
      </c>
    </row>
    <row r="1246" spans="2:8" x14ac:dyDescent="0.25">
      <c r="C1246" t="s">
        <v>2223</v>
      </c>
      <c r="D1246">
        <v>0</v>
      </c>
      <c r="E1246">
        <v>0</v>
      </c>
      <c r="F1246" s="104">
        <v>1000</v>
      </c>
      <c r="G1246" s="104">
        <v>1000</v>
      </c>
      <c r="H1246" s="104">
        <f t="shared" si="19"/>
        <v>1000</v>
      </c>
    </row>
    <row r="1247" spans="2:8" x14ac:dyDescent="0.25">
      <c r="C1247" t="s">
        <v>2224</v>
      </c>
      <c r="D1247">
        <v>0</v>
      </c>
      <c r="E1247">
        <v>0</v>
      </c>
      <c r="F1247" s="104">
        <v>21873.02</v>
      </c>
      <c r="G1247" s="104">
        <v>21873.02</v>
      </c>
      <c r="H1247" s="104">
        <f t="shared" si="19"/>
        <v>21873.02</v>
      </c>
    </row>
    <row r="1248" spans="2:8" x14ac:dyDescent="0.25">
      <c r="B1248" t="s">
        <v>1587</v>
      </c>
      <c r="D1248" s="104">
        <v>31020301.329999998</v>
      </c>
      <c r="E1248" s="104">
        <v>21851491.050000001</v>
      </c>
      <c r="F1248" s="104">
        <v>2083209.78</v>
      </c>
      <c r="G1248" s="104">
        <v>11252020.060000001</v>
      </c>
      <c r="H1248" s="832">
        <f t="shared" si="19"/>
        <v>-19768281.269999996</v>
      </c>
    </row>
    <row r="1249" spans="2:8" x14ac:dyDescent="0.25">
      <c r="H1249" s="104"/>
    </row>
    <row r="1250" spans="2:8" x14ac:dyDescent="0.25">
      <c r="B1250" t="s">
        <v>2225</v>
      </c>
      <c r="C1250" t="s">
        <v>337</v>
      </c>
      <c r="H1250" s="104"/>
    </row>
    <row r="1251" spans="2:8" x14ac:dyDescent="0.25">
      <c r="C1251" t="s">
        <v>2226</v>
      </c>
      <c r="D1251" s="104">
        <v>99239.58</v>
      </c>
      <c r="E1251">
        <v>0</v>
      </c>
      <c r="F1251">
        <v>0</v>
      </c>
      <c r="G1251" s="104">
        <v>99239.58</v>
      </c>
      <c r="H1251" s="104">
        <f t="shared" si="19"/>
        <v>0</v>
      </c>
    </row>
    <row r="1252" spans="2:8" x14ac:dyDescent="0.25">
      <c r="C1252" t="s">
        <v>2222</v>
      </c>
      <c r="D1252">
        <v>0</v>
      </c>
      <c r="E1252">
        <v>0</v>
      </c>
      <c r="F1252" s="104">
        <v>9450</v>
      </c>
      <c r="G1252" s="104">
        <v>9450</v>
      </c>
      <c r="H1252" s="104">
        <f t="shared" si="19"/>
        <v>9450</v>
      </c>
    </row>
    <row r="1253" spans="2:8" x14ac:dyDescent="0.25">
      <c r="B1253" t="s">
        <v>1587</v>
      </c>
      <c r="D1253" s="104">
        <v>99239.58</v>
      </c>
      <c r="E1253">
        <v>0</v>
      </c>
      <c r="F1253" s="104">
        <v>9450</v>
      </c>
      <c r="G1253" s="104">
        <v>108689.58</v>
      </c>
      <c r="H1253" s="832">
        <f t="shared" si="19"/>
        <v>9450</v>
      </c>
    </row>
    <row r="1254" spans="2:8" x14ac:dyDescent="0.25">
      <c r="H1254" s="104"/>
    </row>
    <row r="1255" spans="2:8" x14ac:dyDescent="0.25">
      <c r="B1255">
        <v>20401040</v>
      </c>
      <c r="C1255" t="s">
        <v>2227</v>
      </c>
      <c r="D1255" s="104">
        <v>43063963.5</v>
      </c>
      <c r="E1255" s="104">
        <v>1153330.51</v>
      </c>
      <c r="F1255" s="104">
        <v>7421385.4000000004</v>
      </c>
      <c r="G1255" s="104">
        <v>49332018.390000001</v>
      </c>
      <c r="H1255" s="104">
        <f t="shared" si="19"/>
        <v>6268054.8900000006</v>
      </c>
    </row>
    <row r="1256" spans="2:8" x14ac:dyDescent="0.25">
      <c r="B1256" t="s">
        <v>2228</v>
      </c>
      <c r="C1256" t="s">
        <v>284</v>
      </c>
      <c r="H1256" s="104"/>
    </row>
    <row r="1257" spans="2:8" x14ac:dyDescent="0.25">
      <c r="C1257" t="s">
        <v>2229</v>
      </c>
      <c r="D1257">
        <v>0</v>
      </c>
      <c r="E1257">
        <v>0</v>
      </c>
      <c r="F1257" s="104">
        <v>17172</v>
      </c>
      <c r="G1257" s="104">
        <v>17172</v>
      </c>
      <c r="H1257" s="104">
        <f t="shared" si="19"/>
        <v>17172</v>
      </c>
    </row>
    <row r="1258" spans="2:8" x14ac:dyDescent="0.25">
      <c r="C1258" t="s">
        <v>2230</v>
      </c>
      <c r="D1258" s="104">
        <v>19500</v>
      </c>
      <c r="E1258">
        <v>0</v>
      </c>
      <c r="F1258">
        <v>0</v>
      </c>
      <c r="G1258" s="104">
        <v>19500</v>
      </c>
      <c r="H1258" s="104">
        <f t="shared" si="19"/>
        <v>0</v>
      </c>
    </row>
    <row r="1259" spans="2:8" x14ac:dyDescent="0.25">
      <c r="C1259" t="s">
        <v>2231</v>
      </c>
      <c r="D1259">
        <v>0</v>
      </c>
      <c r="E1259">
        <v>0</v>
      </c>
      <c r="F1259" s="104">
        <v>15000</v>
      </c>
      <c r="G1259" s="104">
        <v>15000</v>
      </c>
      <c r="H1259" s="104">
        <f t="shared" si="19"/>
        <v>15000</v>
      </c>
    </row>
    <row r="1260" spans="2:8" x14ac:dyDescent="0.25">
      <c r="C1260" t="s">
        <v>2219</v>
      </c>
      <c r="D1260" s="104">
        <v>39750</v>
      </c>
      <c r="E1260">
        <v>0</v>
      </c>
      <c r="F1260">
        <v>0</v>
      </c>
      <c r="G1260" s="104">
        <v>39750</v>
      </c>
      <c r="H1260" s="104">
        <f t="shared" si="19"/>
        <v>0</v>
      </c>
    </row>
    <row r="1261" spans="2:8" x14ac:dyDescent="0.25">
      <c r="C1261" t="s">
        <v>2221</v>
      </c>
      <c r="D1261">
        <v>0</v>
      </c>
      <c r="E1261" s="104">
        <v>54578.77</v>
      </c>
      <c r="F1261" s="104">
        <v>54578.77</v>
      </c>
      <c r="G1261">
        <v>0</v>
      </c>
      <c r="H1261" s="104">
        <f t="shared" si="19"/>
        <v>0</v>
      </c>
    </row>
    <row r="1262" spans="2:8" x14ac:dyDescent="0.25">
      <c r="C1262" t="s">
        <v>2232</v>
      </c>
      <c r="D1262">
        <v>0</v>
      </c>
      <c r="E1262">
        <v>0</v>
      </c>
      <c r="F1262" s="104">
        <v>16795</v>
      </c>
      <c r="G1262" s="104">
        <v>16795</v>
      </c>
      <c r="H1262" s="104">
        <f t="shared" si="19"/>
        <v>16795</v>
      </c>
    </row>
    <row r="1263" spans="2:8" x14ac:dyDescent="0.25">
      <c r="C1263" t="s">
        <v>2233</v>
      </c>
      <c r="D1263" s="104">
        <v>41973.75</v>
      </c>
      <c r="E1263">
        <v>0</v>
      </c>
      <c r="F1263" s="104">
        <v>24808</v>
      </c>
      <c r="G1263" s="104">
        <v>66781.75</v>
      </c>
      <c r="H1263" s="104">
        <f t="shared" si="19"/>
        <v>24808</v>
      </c>
    </row>
    <row r="1264" spans="2:8" x14ac:dyDescent="0.25">
      <c r="C1264" t="s">
        <v>2234</v>
      </c>
      <c r="D1264" s="104">
        <v>46250.400000000001</v>
      </c>
      <c r="E1264">
        <v>0</v>
      </c>
      <c r="F1264">
        <v>0</v>
      </c>
      <c r="G1264" s="104">
        <v>46250.400000000001</v>
      </c>
      <c r="H1264" s="104">
        <f t="shared" si="19"/>
        <v>0</v>
      </c>
    </row>
    <row r="1265" spans="2:8" x14ac:dyDescent="0.25">
      <c r="C1265" t="s">
        <v>2235</v>
      </c>
      <c r="D1265" s="104">
        <v>124999.84</v>
      </c>
      <c r="E1265">
        <v>0</v>
      </c>
      <c r="F1265">
        <v>0</v>
      </c>
      <c r="G1265" s="104">
        <v>124999.84</v>
      </c>
      <c r="H1265" s="104">
        <f t="shared" si="19"/>
        <v>0</v>
      </c>
    </row>
    <row r="1266" spans="2:8" x14ac:dyDescent="0.25">
      <c r="C1266" t="s">
        <v>2236</v>
      </c>
      <c r="D1266" s="104">
        <v>54578.77</v>
      </c>
      <c r="E1266">
        <v>0</v>
      </c>
      <c r="F1266">
        <v>0</v>
      </c>
      <c r="G1266" s="104">
        <v>54578.77</v>
      </c>
      <c r="H1266" s="104">
        <f t="shared" si="19"/>
        <v>0</v>
      </c>
    </row>
    <row r="1267" spans="2:8" x14ac:dyDescent="0.25">
      <c r="C1267" t="s">
        <v>2237</v>
      </c>
      <c r="D1267">
        <v>0</v>
      </c>
      <c r="E1267">
        <v>0</v>
      </c>
      <c r="F1267" s="104">
        <v>18400</v>
      </c>
      <c r="G1267" s="104">
        <v>18400</v>
      </c>
      <c r="H1267" s="104">
        <f t="shared" si="19"/>
        <v>18400</v>
      </c>
    </row>
    <row r="1268" spans="2:8" x14ac:dyDescent="0.25">
      <c r="C1268" t="s">
        <v>2238</v>
      </c>
      <c r="D1268" s="104">
        <v>829951.74</v>
      </c>
      <c r="E1268" s="104">
        <v>829951.74</v>
      </c>
      <c r="F1268">
        <v>0</v>
      </c>
      <c r="G1268">
        <v>0</v>
      </c>
      <c r="H1268" s="104">
        <f t="shared" si="19"/>
        <v>-829951.74</v>
      </c>
    </row>
    <row r="1269" spans="2:8" x14ac:dyDescent="0.25">
      <c r="C1269" t="s">
        <v>2239</v>
      </c>
      <c r="D1269" s="104">
        <v>15500</v>
      </c>
      <c r="E1269">
        <v>0</v>
      </c>
      <c r="F1269">
        <v>0</v>
      </c>
      <c r="G1269" s="104">
        <v>15500</v>
      </c>
      <c r="H1269" s="104">
        <f t="shared" si="19"/>
        <v>0</v>
      </c>
    </row>
    <row r="1270" spans="2:8" x14ac:dyDescent="0.25">
      <c r="C1270" t="s">
        <v>2240</v>
      </c>
      <c r="D1270">
        <v>0</v>
      </c>
      <c r="E1270" s="104">
        <v>138800</v>
      </c>
      <c r="F1270" s="104">
        <v>138800</v>
      </c>
      <c r="G1270">
        <v>0</v>
      </c>
      <c r="H1270" s="104">
        <f t="shared" si="19"/>
        <v>0</v>
      </c>
    </row>
    <row r="1271" spans="2:8" x14ac:dyDescent="0.25">
      <c r="C1271" t="s">
        <v>2241</v>
      </c>
      <c r="D1271">
        <v>0</v>
      </c>
      <c r="E1271">
        <v>0</v>
      </c>
      <c r="F1271" s="104">
        <v>9632</v>
      </c>
      <c r="G1271" s="104">
        <v>9632</v>
      </c>
      <c r="H1271" s="104">
        <f t="shared" si="19"/>
        <v>9632</v>
      </c>
    </row>
    <row r="1272" spans="2:8" x14ac:dyDescent="0.25">
      <c r="B1272" t="s">
        <v>1587</v>
      </c>
      <c r="D1272" s="104">
        <v>1172504.5</v>
      </c>
      <c r="E1272" s="104">
        <v>1023330.51</v>
      </c>
      <c r="F1272" s="104">
        <v>295185.77</v>
      </c>
      <c r="G1272" s="104">
        <v>444359.76</v>
      </c>
      <c r="H1272" s="832">
        <f t="shared" si="19"/>
        <v>-728144.74</v>
      </c>
    </row>
    <row r="1273" spans="2:8" x14ac:dyDescent="0.25">
      <c r="H1273" s="104"/>
    </row>
    <row r="1274" spans="2:8" x14ac:dyDescent="0.25">
      <c r="B1274" t="s">
        <v>2242</v>
      </c>
      <c r="C1274" t="s">
        <v>331</v>
      </c>
      <c r="H1274" s="104"/>
    </row>
    <row r="1275" spans="2:8" x14ac:dyDescent="0.25">
      <c r="C1275" t="s">
        <v>1897</v>
      </c>
      <c r="D1275" s="104">
        <v>209317.47</v>
      </c>
      <c r="E1275">
        <v>0</v>
      </c>
      <c r="F1275">
        <v>0</v>
      </c>
      <c r="G1275" s="104">
        <v>209317.47</v>
      </c>
      <c r="H1275" s="104">
        <f t="shared" si="19"/>
        <v>0</v>
      </c>
    </row>
    <row r="1276" spans="2:8" x14ac:dyDescent="0.25">
      <c r="C1276" t="s">
        <v>1820</v>
      </c>
      <c r="D1276" s="104">
        <v>2259416.67</v>
      </c>
      <c r="E1276">
        <v>0</v>
      </c>
      <c r="F1276">
        <v>0</v>
      </c>
      <c r="G1276" s="104">
        <v>2259416.67</v>
      </c>
      <c r="H1276" s="104">
        <f t="shared" si="19"/>
        <v>0</v>
      </c>
    </row>
    <row r="1277" spans="2:8" x14ac:dyDescent="0.25">
      <c r="C1277" t="s">
        <v>1821</v>
      </c>
      <c r="D1277" s="104">
        <v>1168779.97</v>
      </c>
      <c r="E1277">
        <v>0</v>
      </c>
      <c r="F1277">
        <v>0</v>
      </c>
      <c r="G1277" s="104">
        <v>1168779.97</v>
      </c>
      <c r="H1277" s="104">
        <f t="shared" si="19"/>
        <v>0</v>
      </c>
    </row>
    <row r="1278" spans="2:8" x14ac:dyDescent="0.25">
      <c r="C1278" t="s">
        <v>1822</v>
      </c>
      <c r="D1278" s="104">
        <v>185824.52</v>
      </c>
      <c r="E1278">
        <v>0</v>
      </c>
      <c r="F1278">
        <v>0</v>
      </c>
      <c r="G1278" s="104">
        <v>185824.52</v>
      </c>
      <c r="H1278" s="104">
        <f t="shared" si="19"/>
        <v>0</v>
      </c>
    </row>
    <row r="1279" spans="2:8" x14ac:dyDescent="0.25">
      <c r="C1279" t="s">
        <v>1823</v>
      </c>
      <c r="D1279" s="104">
        <v>728125.09</v>
      </c>
      <c r="E1279">
        <v>0</v>
      </c>
      <c r="F1279">
        <v>0</v>
      </c>
      <c r="G1279" s="104">
        <v>728125.09</v>
      </c>
      <c r="H1279" s="104">
        <f t="shared" si="19"/>
        <v>0</v>
      </c>
    </row>
    <row r="1280" spans="2:8" x14ac:dyDescent="0.25">
      <c r="C1280" t="s">
        <v>2197</v>
      </c>
      <c r="D1280" s="104">
        <v>377438.12</v>
      </c>
      <c r="E1280">
        <v>0</v>
      </c>
      <c r="F1280">
        <v>0</v>
      </c>
      <c r="G1280" s="104">
        <v>377438.12</v>
      </c>
      <c r="H1280" s="104">
        <f t="shared" si="19"/>
        <v>0</v>
      </c>
    </row>
    <row r="1281" spans="3:8" x14ac:dyDescent="0.25">
      <c r="C1281" t="s">
        <v>2243</v>
      </c>
      <c r="D1281" s="104">
        <v>1351827.07</v>
      </c>
      <c r="E1281">
        <v>0</v>
      </c>
      <c r="F1281">
        <v>0</v>
      </c>
      <c r="G1281" s="104">
        <v>1351827.07</v>
      </c>
      <c r="H1281" s="104">
        <f t="shared" si="19"/>
        <v>0</v>
      </c>
    </row>
    <row r="1282" spans="3:8" x14ac:dyDescent="0.25">
      <c r="C1282" t="s">
        <v>2244</v>
      </c>
      <c r="D1282" s="104">
        <v>1333213.3</v>
      </c>
      <c r="E1282">
        <v>0</v>
      </c>
      <c r="F1282">
        <v>0</v>
      </c>
      <c r="G1282" s="104">
        <v>1333213.3</v>
      </c>
      <c r="H1282" s="104">
        <f t="shared" si="19"/>
        <v>0</v>
      </c>
    </row>
    <row r="1283" spans="3:8" x14ac:dyDescent="0.25">
      <c r="C1283" t="s">
        <v>1825</v>
      </c>
      <c r="D1283" s="104">
        <v>18750</v>
      </c>
      <c r="E1283">
        <v>0</v>
      </c>
      <c r="F1283">
        <v>0</v>
      </c>
      <c r="G1283" s="104">
        <v>18750</v>
      </c>
      <c r="H1283" s="104">
        <f t="shared" si="19"/>
        <v>0</v>
      </c>
    </row>
    <row r="1284" spans="3:8" x14ac:dyDescent="0.25">
      <c r="C1284" t="s">
        <v>1826</v>
      </c>
      <c r="D1284" s="104">
        <v>726404.85</v>
      </c>
      <c r="E1284">
        <v>0</v>
      </c>
      <c r="F1284">
        <v>0</v>
      </c>
      <c r="G1284" s="104">
        <v>726404.85</v>
      </c>
      <c r="H1284" s="104">
        <f t="shared" ref="H1284:H1347" si="20">G1284-D1284</f>
        <v>0</v>
      </c>
    </row>
    <row r="1285" spans="3:8" x14ac:dyDescent="0.25">
      <c r="C1285" t="s">
        <v>1855</v>
      </c>
      <c r="D1285" s="104">
        <v>4444444.01</v>
      </c>
      <c r="E1285">
        <v>0</v>
      </c>
      <c r="F1285">
        <v>0</v>
      </c>
      <c r="G1285" s="104">
        <v>4444444.01</v>
      </c>
      <c r="H1285" s="104">
        <f t="shared" si="20"/>
        <v>0</v>
      </c>
    </row>
    <row r="1286" spans="3:8" x14ac:dyDescent="0.25">
      <c r="C1286" t="s">
        <v>1828</v>
      </c>
      <c r="D1286" s="104">
        <v>443410.9</v>
      </c>
      <c r="E1286">
        <v>0</v>
      </c>
      <c r="F1286">
        <v>0</v>
      </c>
      <c r="G1286" s="104">
        <v>443410.9</v>
      </c>
      <c r="H1286" s="104">
        <f t="shared" si="20"/>
        <v>0</v>
      </c>
    </row>
    <row r="1287" spans="3:8" x14ac:dyDescent="0.25">
      <c r="C1287" t="s">
        <v>1787</v>
      </c>
      <c r="D1287" s="104">
        <v>1047036.28</v>
      </c>
      <c r="E1287">
        <v>0</v>
      </c>
      <c r="F1287" s="104">
        <v>151998.38</v>
      </c>
      <c r="G1287" s="104">
        <v>1199034.6599999999</v>
      </c>
      <c r="H1287" s="104">
        <f t="shared" si="20"/>
        <v>151998.37999999989</v>
      </c>
    </row>
    <row r="1288" spans="3:8" x14ac:dyDescent="0.25">
      <c r="C1288" t="s">
        <v>1768</v>
      </c>
      <c r="D1288" s="104">
        <v>110790</v>
      </c>
      <c r="E1288">
        <v>0</v>
      </c>
      <c r="F1288">
        <v>0</v>
      </c>
      <c r="G1288" s="104">
        <v>110790</v>
      </c>
      <c r="H1288" s="104">
        <f t="shared" si="20"/>
        <v>0</v>
      </c>
    </row>
    <row r="1289" spans="3:8" x14ac:dyDescent="0.25">
      <c r="C1289" t="s">
        <v>1857</v>
      </c>
      <c r="D1289" s="104">
        <v>80296.899999999994</v>
      </c>
      <c r="E1289">
        <v>0</v>
      </c>
      <c r="F1289">
        <v>0</v>
      </c>
      <c r="G1289" s="104">
        <v>80296.899999999994</v>
      </c>
      <c r="H1289" s="104">
        <f t="shared" si="20"/>
        <v>0</v>
      </c>
    </row>
    <row r="1290" spans="3:8" x14ac:dyDescent="0.25">
      <c r="C1290" t="s">
        <v>2226</v>
      </c>
      <c r="D1290" s="104">
        <v>6454587.8899999997</v>
      </c>
      <c r="E1290">
        <v>0</v>
      </c>
      <c r="F1290">
        <v>0</v>
      </c>
      <c r="G1290" s="104">
        <v>6454587.8899999997</v>
      </c>
      <c r="H1290" s="104">
        <f t="shared" si="20"/>
        <v>0</v>
      </c>
    </row>
    <row r="1291" spans="3:8" x14ac:dyDescent="0.25">
      <c r="C1291" t="s">
        <v>1830</v>
      </c>
      <c r="D1291" s="104">
        <v>442181</v>
      </c>
      <c r="E1291">
        <v>0</v>
      </c>
      <c r="F1291">
        <v>0</v>
      </c>
      <c r="G1291" s="104">
        <v>442181</v>
      </c>
      <c r="H1291" s="104">
        <f t="shared" si="20"/>
        <v>0</v>
      </c>
    </row>
    <row r="1292" spans="3:8" x14ac:dyDescent="0.25">
      <c r="C1292" t="s">
        <v>1835</v>
      </c>
      <c r="D1292" s="104">
        <v>82764</v>
      </c>
      <c r="E1292">
        <v>0</v>
      </c>
      <c r="F1292">
        <v>0</v>
      </c>
      <c r="G1292" s="104">
        <v>82764</v>
      </c>
      <c r="H1292" s="104">
        <f t="shared" si="20"/>
        <v>0</v>
      </c>
    </row>
    <row r="1293" spans="3:8" x14ac:dyDescent="0.25">
      <c r="C1293" t="s">
        <v>1841</v>
      </c>
      <c r="D1293">
        <v>0</v>
      </c>
      <c r="E1293">
        <v>0</v>
      </c>
      <c r="F1293">
        <v>0</v>
      </c>
      <c r="G1293">
        <v>0</v>
      </c>
      <c r="H1293" s="104">
        <f t="shared" si="20"/>
        <v>0</v>
      </c>
    </row>
    <row r="1294" spans="3:8" x14ac:dyDescent="0.25">
      <c r="C1294" t="s">
        <v>1859</v>
      </c>
      <c r="D1294" s="104">
        <v>50486.400000000001</v>
      </c>
      <c r="E1294">
        <v>0</v>
      </c>
      <c r="F1294">
        <v>0</v>
      </c>
      <c r="G1294" s="104">
        <v>50486.400000000001</v>
      </c>
      <c r="H1294" s="104">
        <f t="shared" si="20"/>
        <v>0</v>
      </c>
    </row>
    <row r="1295" spans="3:8" x14ac:dyDescent="0.25">
      <c r="C1295" t="s">
        <v>1842</v>
      </c>
      <c r="D1295" s="104">
        <v>1200000</v>
      </c>
      <c r="E1295">
        <v>0</v>
      </c>
      <c r="F1295">
        <v>0</v>
      </c>
      <c r="G1295" s="104">
        <v>1200000</v>
      </c>
      <c r="H1295" s="104">
        <f t="shared" si="20"/>
        <v>0</v>
      </c>
    </row>
    <row r="1296" spans="3:8" x14ac:dyDescent="0.25">
      <c r="C1296" t="s">
        <v>1844</v>
      </c>
      <c r="D1296" s="104">
        <v>130830.72</v>
      </c>
      <c r="E1296">
        <v>0</v>
      </c>
      <c r="F1296" s="104">
        <v>88865.279999999999</v>
      </c>
      <c r="G1296" s="104">
        <v>219696</v>
      </c>
      <c r="H1296" s="104">
        <f t="shared" si="20"/>
        <v>88865.279999999999</v>
      </c>
    </row>
    <row r="1297" spans="3:8" x14ac:dyDescent="0.25">
      <c r="C1297" t="s">
        <v>1845</v>
      </c>
      <c r="D1297" s="104">
        <v>37620</v>
      </c>
      <c r="E1297">
        <v>0</v>
      </c>
      <c r="F1297">
        <v>0</v>
      </c>
      <c r="G1297" s="104">
        <v>37620</v>
      </c>
      <c r="H1297" s="104">
        <f t="shared" si="20"/>
        <v>0</v>
      </c>
    </row>
    <row r="1298" spans="3:8" x14ac:dyDescent="0.25">
      <c r="C1298" t="s">
        <v>1860</v>
      </c>
      <c r="D1298" s="104">
        <v>359064</v>
      </c>
      <c r="E1298">
        <v>0</v>
      </c>
      <c r="F1298">
        <v>0</v>
      </c>
      <c r="G1298" s="104">
        <v>359064</v>
      </c>
      <c r="H1298" s="104">
        <f t="shared" si="20"/>
        <v>0</v>
      </c>
    </row>
    <row r="1299" spans="3:8" x14ac:dyDescent="0.25">
      <c r="C1299" t="s">
        <v>2245</v>
      </c>
      <c r="D1299" s="104">
        <v>1840</v>
      </c>
      <c r="E1299">
        <v>0</v>
      </c>
      <c r="F1299">
        <v>0</v>
      </c>
      <c r="G1299" s="104">
        <v>1840</v>
      </c>
      <c r="H1299" s="104">
        <f t="shared" si="20"/>
        <v>0</v>
      </c>
    </row>
    <row r="1300" spans="3:8" x14ac:dyDescent="0.25">
      <c r="C1300" t="s">
        <v>1846</v>
      </c>
      <c r="D1300" s="104">
        <v>96000</v>
      </c>
      <c r="E1300">
        <v>0</v>
      </c>
      <c r="F1300">
        <v>0</v>
      </c>
      <c r="G1300" s="104">
        <v>96000</v>
      </c>
      <c r="H1300" s="104">
        <f t="shared" si="20"/>
        <v>0</v>
      </c>
    </row>
    <row r="1301" spans="3:8" x14ac:dyDescent="0.25">
      <c r="C1301" t="s">
        <v>1849</v>
      </c>
      <c r="D1301" s="104">
        <v>110037</v>
      </c>
      <c r="E1301">
        <v>0</v>
      </c>
      <c r="F1301">
        <v>0</v>
      </c>
      <c r="G1301" s="104">
        <v>110037</v>
      </c>
      <c r="H1301" s="104">
        <f t="shared" si="20"/>
        <v>0</v>
      </c>
    </row>
    <row r="1302" spans="3:8" x14ac:dyDescent="0.25">
      <c r="C1302" t="s">
        <v>1850</v>
      </c>
      <c r="D1302" s="104">
        <v>415950</v>
      </c>
      <c r="E1302">
        <v>0</v>
      </c>
      <c r="F1302">
        <v>0</v>
      </c>
      <c r="G1302" s="104">
        <v>415950</v>
      </c>
      <c r="H1302" s="104">
        <f t="shared" si="20"/>
        <v>0</v>
      </c>
    </row>
    <row r="1303" spans="3:8" x14ac:dyDescent="0.25">
      <c r="C1303" t="s">
        <v>1851</v>
      </c>
      <c r="D1303" s="104">
        <v>120000</v>
      </c>
      <c r="E1303" s="104">
        <v>120000</v>
      </c>
      <c r="F1303" s="104">
        <v>33000</v>
      </c>
      <c r="G1303" s="104">
        <v>33000</v>
      </c>
      <c r="H1303" s="104">
        <f t="shared" si="20"/>
        <v>-87000</v>
      </c>
    </row>
    <row r="1304" spans="3:8" x14ac:dyDescent="0.25">
      <c r="C1304" t="s">
        <v>2246</v>
      </c>
      <c r="D1304">
        <v>0</v>
      </c>
      <c r="E1304">
        <v>0</v>
      </c>
      <c r="F1304" s="104">
        <v>1964.29</v>
      </c>
      <c r="G1304" s="104">
        <v>1964.29</v>
      </c>
      <c r="H1304" s="104">
        <f t="shared" si="20"/>
        <v>1964.29</v>
      </c>
    </row>
    <row r="1305" spans="3:8" x14ac:dyDescent="0.25">
      <c r="C1305" t="s">
        <v>1853</v>
      </c>
      <c r="D1305" s="104">
        <v>76919.34</v>
      </c>
      <c r="E1305">
        <v>0</v>
      </c>
      <c r="F1305">
        <v>0</v>
      </c>
      <c r="G1305" s="104">
        <v>76919.34</v>
      </c>
      <c r="H1305" s="104">
        <f t="shared" si="20"/>
        <v>0</v>
      </c>
    </row>
    <row r="1306" spans="3:8" x14ac:dyDescent="0.25">
      <c r="C1306" t="s">
        <v>1865</v>
      </c>
      <c r="D1306" s="104">
        <v>10000</v>
      </c>
      <c r="E1306">
        <v>0</v>
      </c>
      <c r="F1306">
        <v>0</v>
      </c>
      <c r="G1306" s="104">
        <v>10000</v>
      </c>
      <c r="H1306" s="104">
        <f t="shared" si="20"/>
        <v>0</v>
      </c>
    </row>
    <row r="1307" spans="3:8" x14ac:dyDescent="0.25">
      <c r="C1307" t="s">
        <v>1866</v>
      </c>
      <c r="D1307" s="104">
        <v>70000</v>
      </c>
      <c r="E1307">
        <v>0</v>
      </c>
      <c r="F1307">
        <v>0</v>
      </c>
      <c r="G1307" s="104">
        <v>70000</v>
      </c>
      <c r="H1307" s="104">
        <f t="shared" si="20"/>
        <v>0</v>
      </c>
    </row>
    <row r="1308" spans="3:8" x14ac:dyDescent="0.25">
      <c r="C1308" t="s">
        <v>1869</v>
      </c>
      <c r="D1308" s="104">
        <v>6033120</v>
      </c>
      <c r="E1308">
        <v>0</v>
      </c>
      <c r="F1308">
        <v>0</v>
      </c>
      <c r="G1308" s="104">
        <v>6033120</v>
      </c>
      <c r="H1308" s="104">
        <f t="shared" si="20"/>
        <v>0</v>
      </c>
    </row>
    <row r="1309" spans="3:8" x14ac:dyDescent="0.25">
      <c r="C1309" t="s">
        <v>1870</v>
      </c>
      <c r="D1309" s="104">
        <v>145464</v>
      </c>
      <c r="E1309">
        <v>0</v>
      </c>
      <c r="F1309">
        <v>0</v>
      </c>
      <c r="G1309" s="104">
        <v>145464</v>
      </c>
      <c r="H1309" s="104">
        <f t="shared" si="20"/>
        <v>0</v>
      </c>
    </row>
    <row r="1310" spans="3:8" x14ac:dyDescent="0.25">
      <c r="C1310" t="s">
        <v>1871</v>
      </c>
      <c r="D1310" s="104">
        <v>31944.48</v>
      </c>
      <c r="E1310">
        <v>0</v>
      </c>
      <c r="F1310">
        <v>0</v>
      </c>
      <c r="G1310" s="104">
        <v>31944.48</v>
      </c>
      <c r="H1310" s="104">
        <f t="shared" si="20"/>
        <v>0</v>
      </c>
    </row>
    <row r="1311" spans="3:8" x14ac:dyDescent="0.25">
      <c r="C1311" t="s">
        <v>1873</v>
      </c>
      <c r="D1311" s="104">
        <v>5000037.12</v>
      </c>
      <c r="E1311">
        <v>0</v>
      </c>
      <c r="F1311" s="104">
        <v>586080</v>
      </c>
      <c r="G1311" s="104">
        <v>5586117.1200000001</v>
      </c>
      <c r="H1311" s="104">
        <f t="shared" si="20"/>
        <v>586080</v>
      </c>
    </row>
    <row r="1312" spans="3:8" x14ac:dyDescent="0.25">
      <c r="C1312" t="s">
        <v>1874</v>
      </c>
      <c r="D1312" s="104">
        <v>478147.5</v>
      </c>
      <c r="E1312">
        <v>0</v>
      </c>
      <c r="F1312" s="104">
        <v>256744.5</v>
      </c>
      <c r="G1312" s="104">
        <v>734892</v>
      </c>
      <c r="H1312" s="104">
        <f t="shared" si="20"/>
        <v>256744.5</v>
      </c>
    </row>
    <row r="1313" spans="2:8" x14ac:dyDescent="0.25">
      <c r="C1313" t="s">
        <v>1876</v>
      </c>
      <c r="D1313" s="104">
        <v>4480</v>
      </c>
      <c r="E1313">
        <v>0</v>
      </c>
      <c r="F1313" s="104">
        <v>4748.8</v>
      </c>
      <c r="G1313" s="104">
        <v>9228.7999999999993</v>
      </c>
      <c r="H1313" s="104">
        <f t="shared" si="20"/>
        <v>4748.7999999999993</v>
      </c>
    </row>
    <row r="1314" spans="2:8" x14ac:dyDescent="0.25">
      <c r="C1314" t="s">
        <v>1877</v>
      </c>
      <c r="D1314" s="104">
        <v>44642.86</v>
      </c>
      <c r="E1314">
        <v>0</v>
      </c>
      <c r="F1314" s="104">
        <v>7357.14</v>
      </c>
      <c r="G1314" s="104">
        <v>52000</v>
      </c>
      <c r="H1314" s="104">
        <f t="shared" si="20"/>
        <v>7357.1399999999994</v>
      </c>
    </row>
    <row r="1315" spans="2:8" x14ac:dyDescent="0.25">
      <c r="C1315" t="s">
        <v>2247</v>
      </c>
      <c r="D1315" s="104">
        <v>10000</v>
      </c>
      <c r="E1315" s="104">
        <v>10000</v>
      </c>
      <c r="F1315">
        <v>0</v>
      </c>
      <c r="G1315">
        <v>0</v>
      </c>
      <c r="H1315" s="104">
        <f t="shared" si="20"/>
        <v>-10000</v>
      </c>
    </row>
    <row r="1316" spans="2:8" x14ac:dyDescent="0.25">
      <c r="C1316" t="s">
        <v>1880</v>
      </c>
      <c r="D1316">
        <v>0</v>
      </c>
      <c r="E1316">
        <v>0</v>
      </c>
      <c r="F1316" s="104">
        <v>51662.84</v>
      </c>
      <c r="G1316" s="104">
        <v>51662.84</v>
      </c>
      <c r="H1316" s="104">
        <f t="shared" si="20"/>
        <v>51662.84</v>
      </c>
    </row>
    <row r="1317" spans="2:8" x14ac:dyDescent="0.25">
      <c r="C1317" t="s">
        <v>1882</v>
      </c>
      <c r="D1317" s="104">
        <v>10000</v>
      </c>
      <c r="E1317">
        <v>0</v>
      </c>
      <c r="F1317">
        <v>600</v>
      </c>
      <c r="G1317" s="104">
        <v>10600</v>
      </c>
      <c r="H1317" s="104">
        <f t="shared" si="20"/>
        <v>600</v>
      </c>
    </row>
    <row r="1318" spans="2:8" x14ac:dyDescent="0.25">
      <c r="C1318" t="s">
        <v>1883</v>
      </c>
      <c r="D1318">
        <v>0</v>
      </c>
      <c r="E1318">
        <v>0</v>
      </c>
      <c r="F1318" s="104">
        <v>500000</v>
      </c>
      <c r="G1318" s="104">
        <v>500000</v>
      </c>
      <c r="H1318" s="104">
        <f t="shared" si="20"/>
        <v>500000</v>
      </c>
    </row>
    <row r="1319" spans="2:8" x14ac:dyDescent="0.25">
      <c r="C1319" t="s">
        <v>1884</v>
      </c>
      <c r="D1319">
        <v>0</v>
      </c>
      <c r="E1319">
        <v>0</v>
      </c>
      <c r="F1319" s="104">
        <v>232992</v>
      </c>
      <c r="G1319" s="104">
        <v>232992</v>
      </c>
      <c r="H1319" s="104">
        <f t="shared" si="20"/>
        <v>232992</v>
      </c>
    </row>
    <row r="1320" spans="2:8" x14ac:dyDescent="0.25">
      <c r="C1320" t="s">
        <v>1885</v>
      </c>
      <c r="D1320">
        <v>0</v>
      </c>
      <c r="E1320">
        <v>0</v>
      </c>
      <c r="F1320" s="104">
        <v>52368</v>
      </c>
      <c r="G1320" s="104">
        <v>52368</v>
      </c>
      <c r="H1320" s="104">
        <f t="shared" si="20"/>
        <v>52368</v>
      </c>
    </row>
    <row r="1321" spans="2:8" x14ac:dyDescent="0.25">
      <c r="C1321" t="s">
        <v>1886</v>
      </c>
      <c r="D1321">
        <v>0</v>
      </c>
      <c r="E1321">
        <v>0</v>
      </c>
      <c r="F1321" s="104">
        <v>213000</v>
      </c>
      <c r="G1321" s="104">
        <v>213000</v>
      </c>
      <c r="H1321" s="104">
        <f t="shared" si="20"/>
        <v>213000</v>
      </c>
    </row>
    <row r="1322" spans="2:8" x14ac:dyDescent="0.25">
      <c r="C1322" t="s">
        <v>1888</v>
      </c>
      <c r="D1322">
        <v>0</v>
      </c>
      <c r="E1322">
        <v>0</v>
      </c>
      <c r="F1322" s="104">
        <v>294780</v>
      </c>
      <c r="G1322" s="104">
        <v>294780</v>
      </c>
      <c r="H1322" s="104">
        <f t="shared" si="20"/>
        <v>294780</v>
      </c>
    </row>
    <row r="1323" spans="2:8" x14ac:dyDescent="0.25">
      <c r="C1323" t="s">
        <v>2248</v>
      </c>
      <c r="D1323">
        <v>0</v>
      </c>
      <c r="E1323">
        <v>0</v>
      </c>
      <c r="F1323" s="104">
        <v>4650038.4000000004</v>
      </c>
      <c r="G1323" s="104">
        <v>4650038.4000000004</v>
      </c>
      <c r="H1323" s="104">
        <f t="shared" si="20"/>
        <v>4650038.4000000004</v>
      </c>
    </row>
    <row r="1324" spans="2:8" x14ac:dyDescent="0.25">
      <c r="B1324" t="s">
        <v>1587</v>
      </c>
      <c r="D1324" s="104">
        <v>35901191.460000001</v>
      </c>
      <c r="E1324" s="104">
        <v>130000</v>
      </c>
      <c r="F1324" s="104">
        <v>7126199.6299999999</v>
      </c>
      <c r="G1324" s="104">
        <v>42897391.090000004</v>
      </c>
      <c r="H1324" s="832">
        <f t="shared" si="20"/>
        <v>6996199.6300000027</v>
      </c>
    </row>
    <row r="1325" spans="2:8" x14ac:dyDescent="0.25">
      <c r="H1325" s="104"/>
    </row>
    <row r="1326" spans="2:8" x14ac:dyDescent="0.25">
      <c r="B1326">
        <v>20501030</v>
      </c>
      <c r="C1326" t="s">
        <v>2249</v>
      </c>
      <c r="H1326" s="104"/>
    </row>
    <row r="1327" spans="2:8" x14ac:dyDescent="0.25">
      <c r="C1327" t="s">
        <v>1954</v>
      </c>
      <c r="D1327" s="104">
        <v>1910150.51</v>
      </c>
      <c r="E1327">
        <v>0</v>
      </c>
      <c r="F1327">
        <v>0</v>
      </c>
      <c r="G1327" s="104">
        <v>1910150.51</v>
      </c>
      <c r="H1327" s="104">
        <f t="shared" si="20"/>
        <v>0</v>
      </c>
    </row>
    <row r="1328" spans="2:8" x14ac:dyDescent="0.25">
      <c r="C1328" t="s">
        <v>1955</v>
      </c>
      <c r="D1328" s="104">
        <v>-54660554.43</v>
      </c>
      <c r="E1328" s="104">
        <v>27835993.710000001</v>
      </c>
      <c r="F1328" s="104">
        <v>84158554.739999995</v>
      </c>
      <c r="G1328" s="104">
        <v>1662006.6</v>
      </c>
      <c r="H1328" s="104">
        <f t="shared" si="20"/>
        <v>56322561.030000001</v>
      </c>
    </row>
    <row r="1329" spans="2:8" x14ac:dyDescent="0.25">
      <c r="C1329" t="s">
        <v>2250</v>
      </c>
      <c r="D1329" s="104">
        <v>7213717.6900000004</v>
      </c>
      <c r="E1329" s="104">
        <v>3800979</v>
      </c>
      <c r="F1329" s="104">
        <v>3980586</v>
      </c>
      <c r="G1329" s="104">
        <v>7393324.6900000004</v>
      </c>
      <c r="H1329" s="104">
        <f t="shared" si="20"/>
        <v>179607</v>
      </c>
    </row>
    <row r="1330" spans="2:8" x14ac:dyDescent="0.25">
      <c r="B1330" t="s">
        <v>1587</v>
      </c>
      <c r="D1330" s="104">
        <v>-45536686.229999997</v>
      </c>
      <c r="E1330" s="104">
        <v>31636972.710000001</v>
      </c>
      <c r="F1330" s="104">
        <v>88139140.739999995</v>
      </c>
      <c r="G1330" s="104">
        <v>10965481.800000001</v>
      </c>
      <c r="H1330" s="832">
        <f t="shared" si="20"/>
        <v>56502168.030000001</v>
      </c>
    </row>
    <row r="1331" spans="2:8" x14ac:dyDescent="0.25">
      <c r="H1331" s="104"/>
    </row>
    <row r="1332" spans="2:8" x14ac:dyDescent="0.25">
      <c r="B1332">
        <v>20501990</v>
      </c>
      <c r="C1332" t="s">
        <v>2251</v>
      </c>
      <c r="H1332" s="104"/>
    </row>
    <row r="1333" spans="2:8" x14ac:dyDescent="0.25">
      <c r="B1333">
        <v>20502010</v>
      </c>
      <c r="C1333" t="s">
        <v>291</v>
      </c>
      <c r="H1333" s="104"/>
    </row>
    <row r="1334" spans="2:8" x14ac:dyDescent="0.25">
      <c r="C1334" t="s">
        <v>2252</v>
      </c>
      <c r="D1334" s="104">
        <v>2072033.21</v>
      </c>
      <c r="E1334" s="104">
        <v>13157410.800000001</v>
      </c>
      <c r="F1334" s="104">
        <v>13302453.140000001</v>
      </c>
      <c r="G1334" s="104">
        <v>2217075.5499999998</v>
      </c>
      <c r="H1334" s="104">
        <f t="shared" si="20"/>
        <v>145042.33999999985</v>
      </c>
    </row>
    <row r="1335" spans="2:8" x14ac:dyDescent="0.25">
      <c r="C1335" t="s">
        <v>2253</v>
      </c>
      <c r="D1335" s="104">
        <v>4005348.79</v>
      </c>
      <c r="E1335" s="104">
        <v>7547539.4199999999</v>
      </c>
      <c r="F1335" s="104">
        <v>7547539.4299999997</v>
      </c>
      <c r="G1335" s="104">
        <v>4005348.8</v>
      </c>
      <c r="H1335" s="104">
        <f t="shared" si="20"/>
        <v>9.9999997764825821E-3</v>
      </c>
    </row>
    <row r="1336" spans="2:8" x14ac:dyDescent="0.25">
      <c r="C1336" t="s">
        <v>1868</v>
      </c>
      <c r="D1336" s="104">
        <v>3720833.65</v>
      </c>
      <c r="E1336" s="104">
        <v>6697500.6600000001</v>
      </c>
      <c r="F1336" s="104">
        <v>5953333.9699999997</v>
      </c>
      <c r="G1336" s="104">
        <v>2976666.96</v>
      </c>
      <c r="H1336" s="104">
        <f t="shared" si="20"/>
        <v>-744166.69</v>
      </c>
    </row>
    <row r="1337" spans="2:8" x14ac:dyDescent="0.25">
      <c r="C1337" t="s">
        <v>2254</v>
      </c>
      <c r="D1337">
        <v>0</v>
      </c>
      <c r="E1337">
        <v>0</v>
      </c>
      <c r="F1337">
        <v>0</v>
      </c>
      <c r="G1337">
        <v>0</v>
      </c>
      <c r="H1337" s="104">
        <f t="shared" si="20"/>
        <v>0</v>
      </c>
    </row>
    <row r="1338" spans="2:8" x14ac:dyDescent="0.25">
      <c r="C1338" t="s">
        <v>1786</v>
      </c>
      <c r="D1338">
        <v>0</v>
      </c>
      <c r="E1338">
        <v>0</v>
      </c>
      <c r="F1338">
        <v>0</v>
      </c>
      <c r="G1338">
        <v>0</v>
      </c>
      <c r="H1338" s="104">
        <f t="shared" si="20"/>
        <v>0</v>
      </c>
    </row>
    <row r="1339" spans="2:8" x14ac:dyDescent="0.25">
      <c r="C1339" t="s">
        <v>1830</v>
      </c>
      <c r="D1339" s="104">
        <v>16032.02</v>
      </c>
      <c r="E1339">
        <v>0</v>
      </c>
      <c r="F1339">
        <v>0</v>
      </c>
      <c r="G1339" s="104">
        <v>16032.02</v>
      </c>
      <c r="H1339" s="104">
        <f t="shared" si="20"/>
        <v>0</v>
      </c>
    </row>
    <row r="1340" spans="2:8" x14ac:dyDescent="0.25">
      <c r="C1340" t="s">
        <v>1844</v>
      </c>
      <c r="D1340">
        <v>0</v>
      </c>
      <c r="E1340">
        <v>0</v>
      </c>
      <c r="F1340">
        <v>0</v>
      </c>
      <c r="G1340">
        <v>0</v>
      </c>
      <c r="H1340" s="104">
        <f t="shared" si="20"/>
        <v>0</v>
      </c>
    </row>
    <row r="1341" spans="2:8" x14ac:dyDescent="0.25">
      <c r="C1341" t="s">
        <v>1852</v>
      </c>
      <c r="D1341">
        <v>0</v>
      </c>
      <c r="E1341">
        <v>0</v>
      </c>
      <c r="F1341">
        <v>0</v>
      </c>
      <c r="G1341">
        <v>0</v>
      </c>
      <c r="H1341" s="104">
        <f t="shared" si="20"/>
        <v>0</v>
      </c>
    </row>
    <row r="1342" spans="2:8" x14ac:dyDescent="0.25">
      <c r="C1342" t="s">
        <v>1853</v>
      </c>
      <c r="D1342" s="104">
        <v>1008.86</v>
      </c>
      <c r="E1342" s="104">
        <v>1008.86</v>
      </c>
      <c r="F1342">
        <v>0</v>
      </c>
      <c r="G1342">
        <v>0</v>
      </c>
      <c r="H1342" s="104">
        <f t="shared" si="20"/>
        <v>-1008.86</v>
      </c>
    </row>
    <row r="1343" spans="2:8" x14ac:dyDescent="0.25">
      <c r="C1343" t="s">
        <v>1866</v>
      </c>
      <c r="D1343" s="104">
        <v>21152.6</v>
      </c>
      <c r="E1343" s="104">
        <v>21152.6</v>
      </c>
      <c r="F1343">
        <v>0</v>
      </c>
      <c r="G1343">
        <v>0</v>
      </c>
      <c r="H1343" s="104">
        <f t="shared" si="20"/>
        <v>-21152.6</v>
      </c>
    </row>
    <row r="1344" spans="2:8" x14ac:dyDescent="0.25">
      <c r="C1344" t="s">
        <v>1871</v>
      </c>
      <c r="D1344">
        <v>0</v>
      </c>
      <c r="E1344">
        <v>0</v>
      </c>
      <c r="F1344">
        <v>0</v>
      </c>
      <c r="G1344">
        <v>0</v>
      </c>
      <c r="H1344" s="104">
        <f t="shared" si="20"/>
        <v>0</v>
      </c>
    </row>
    <row r="1345" spans="2:8" x14ac:dyDescent="0.25">
      <c r="C1345" t="s">
        <v>1873</v>
      </c>
      <c r="D1345" s="104">
        <v>29249.39</v>
      </c>
      <c r="E1345">
        <v>0</v>
      </c>
      <c r="F1345">
        <v>0</v>
      </c>
      <c r="G1345" s="104">
        <v>29249.39</v>
      </c>
      <c r="H1345" s="104">
        <f t="shared" si="20"/>
        <v>0</v>
      </c>
    </row>
    <row r="1346" spans="2:8" x14ac:dyDescent="0.25">
      <c r="C1346" t="s">
        <v>1877</v>
      </c>
      <c r="D1346">
        <v>0</v>
      </c>
      <c r="E1346">
        <v>0</v>
      </c>
      <c r="F1346" s="104">
        <v>182000</v>
      </c>
      <c r="G1346" s="104">
        <v>182000</v>
      </c>
      <c r="H1346" s="104">
        <f t="shared" si="20"/>
        <v>182000</v>
      </c>
    </row>
    <row r="1347" spans="2:8" x14ac:dyDescent="0.25">
      <c r="C1347" t="s">
        <v>1881</v>
      </c>
      <c r="D1347" s="104">
        <v>15262.46</v>
      </c>
      <c r="E1347">
        <v>0</v>
      </c>
      <c r="F1347">
        <v>0</v>
      </c>
      <c r="G1347" s="104">
        <v>15262.46</v>
      </c>
      <c r="H1347" s="104">
        <f t="shared" si="20"/>
        <v>0</v>
      </c>
    </row>
    <row r="1348" spans="2:8" x14ac:dyDescent="0.25">
      <c r="C1348" t="s">
        <v>2248</v>
      </c>
      <c r="D1348">
        <v>0</v>
      </c>
      <c r="E1348" s="104">
        <v>4151820</v>
      </c>
      <c r="F1348" s="104">
        <v>20759100</v>
      </c>
      <c r="G1348" s="104">
        <v>16607280</v>
      </c>
      <c r="H1348" s="104">
        <f t="shared" ref="H1348:H1411" si="21">G1348-D1348</f>
        <v>16607280</v>
      </c>
    </row>
    <row r="1349" spans="2:8" x14ac:dyDescent="0.25">
      <c r="B1349" t="s">
        <v>1587</v>
      </c>
      <c r="D1349" s="104">
        <v>9880920.9800000004</v>
      </c>
      <c r="E1349" s="104">
        <v>31576432.34</v>
      </c>
      <c r="F1349" s="104">
        <v>47744426.539999999</v>
      </c>
      <c r="G1349" s="104">
        <v>26048915.18</v>
      </c>
      <c r="H1349" s="832">
        <f t="shared" si="21"/>
        <v>16167994.199999999</v>
      </c>
    </row>
    <row r="1350" spans="2:8" x14ac:dyDescent="0.25">
      <c r="H1350" s="104"/>
    </row>
    <row r="1351" spans="2:8" x14ac:dyDescent="0.25">
      <c r="B1351">
        <v>20601020</v>
      </c>
      <c r="C1351" t="s">
        <v>793</v>
      </c>
      <c r="H1351" s="104"/>
    </row>
    <row r="1352" spans="2:8" x14ac:dyDescent="0.25">
      <c r="C1352" t="s">
        <v>2255</v>
      </c>
      <c r="D1352" s="104">
        <v>-6410961.9299999997</v>
      </c>
      <c r="E1352" s="104">
        <v>1220389.3600000001</v>
      </c>
      <c r="F1352" s="104">
        <v>3278037.4</v>
      </c>
      <c r="G1352" s="104">
        <v>-4353313.8899999997</v>
      </c>
      <c r="H1352" s="104">
        <f t="shared" si="21"/>
        <v>2057648.04</v>
      </c>
    </row>
    <row r="1353" spans="2:8" x14ac:dyDescent="0.25">
      <c r="B1353" t="s">
        <v>1587</v>
      </c>
      <c r="D1353" s="104">
        <v>-6410961.9299999997</v>
      </c>
      <c r="E1353" s="104">
        <v>1220389.3600000001</v>
      </c>
      <c r="F1353" s="104">
        <v>3278037.4</v>
      </c>
      <c r="G1353" s="104">
        <v>-4353313.8899999997</v>
      </c>
      <c r="H1353" s="832">
        <f t="shared" si="21"/>
        <v>2057648.04</v>
      </c>
    </row>
    <row r="1354" spans="2:8" x14ac:dyDescent="0.25">
      <c r="H1354" s="104"/>
    </row>
    <row r="1355" spans="2:8" x14ac:dyDescent="0.25">
      <c r="B1355">
        <v>20601990</v>
      </c>
      <c r="C1355" t="s">
        <v>755</v>
      </c>
      <c r="H1355" s="104"/>
    </row>
    <row r="1356" spans="2:8" x14ac:dyDescent="0.25">
      <c r="C1356" t="s">
        <v>2256</v>
      </c>
      <c r="D1356" s="104">
        <v>-310052055.29000002</v>
      </c>
      <c r="E1356">
        <v>0</v>
      </c>
      <c r="F1356" s="104">
        <v>3754705.8</v>
      </c>
      <c r="G1356" s="104">
        <v>-306297349.49000001</v>
      </c>
      <c r="H1356" s="104">
        <f t="shared" si="21"/>
        <v>3754705.8000000119</v>
      </c>
    </row>
    <row r="1357" spans="2:8" x14ac:dyDescent="0.25">
      <c r="B1357" t="s">
        <v>1587</v>
      </c>
      <c r="D1357" s="104">
        <v>-310052055.29000002</v>
      </c>
      <c r="E1357">
        <v>0</v>
      </c>
      <c r="F1357" s="104">
        <v>3754705.8</v>
      </c>
      <c r="G1357" s="104">
        <v>-306297349.49000001</v>
      </c>
      <c r="H1357" s="832">
        <f t="shared" si="21"/>
        <v>3754705.8000000119</v>
      </c>
    </row>
    <row r="1358" spans="2:8" x14ac:dyDescent="0.25">
      <c r="H1358" s="104"/>
    </row>
    <row r="1359" spans="2:8" x14ac:dyDescent="0.25">
      <c r="B1359">
        <v>20901010</v>
      </c>
      <c r="C1359" t="s">
        <v>1064</v>
      </c>
      <c r="D1359" s="104">
        <v>-5390148983.2399998</v>
      </c>
      <c r="E1359" s="104">
        <v>962821904.40999997</v>
      </c>
      <c r="F1359" s="104">
        <v>2073884121.8399999</v>
      </c>
      <c r="G1359" s="104">
        <v>-4279086765.8099999</v>
      </c>
      <c r="H1359" s="104">
        <f t="shared" si="21"/>
        <v>1111062217.4299998</v>
      </c>
    </row>
    <row r="1360" spans="2:8" x14ac:dyDescent="0.25">
      <c r="B1360" t="s">
        <v>2257</v>
      </c>
      <c r="C1360" t="s">
        <v>282</v>
      </c>
      <c r="H1360" s="104"/>
    </row>
    <row r="1361" spans="2:8" x14ac:dyDescent="0.25">
      <c r="C1361" t="s">
        <v>2258</v>
      </c>
      <c r="D1361" s="104">
        <v>5948430091.6999998</v>
      </c>
      <c r="E1361" s="104">
        <v>962821904.40999997</v>
      </c>
      <c r="F1361" s="104">
        <v>2073884121.8399999</v>
      </c>
      <c r="G1361" s="104">
        <v>7059492309.1300001</v>
      </c>
      <c r="H1361" s="104">
        <f t="shared" si="21"/>
        <v>1111062217.4300003</v>
      </c>
    </row>
    <row r="1362" spans="2:8" x14ac:dyDescent="0.25">
      <c r="B1362" t="s">
        <v>1587</v>
      </c>
      <c r="D1362" s="104">
        <v>5948430091.6999998</v>
      </c>
      <c r="E1362" s="104">
        <v>962821904.40999997</v>
      </c>
      <c r="F1362" s="104">
        <v>2073884121.8399999</v>
      </c>
      <c r="G1362" s="104">
        <v>7059492309.1300001</v>
      </c>
      <c r="H1362" s="832">
        <f t="shared" si="21"/>
        <v>1111062217.4300003</v>
      </c>
    </row>
    <row r="1363" spans="2:8" x14ac:dyDescent="0.25">
      <c r="H1363" s="104"/>
    </row>
    <row r="1364" spans="2:8" x14ac:dyDescent="0.25">
      <c r="B1364" t="s">
        <v>2259</v>
      </c>
      <c r="C1364" t="s">
        <v>344</v>
      </c>
      <c r="H1364" s="104"/>
    </row>
    <row r="1365" spans="2:8" x14ac:dyDescent="0.25">
      <c r="B1365">
        <v>29999990</v>
      </c>
      <c r="C1365" t="s">
        <v>2260</v>
      </c>
      <c r="D1365" s="104">
        <v>322793071.75999999</v>
      </c>
      <c r="E1365" s="104">
        <v>30418013.850000001</v>
      </c>
      <c r="F1365" s="104">
        <v>55039827.350000001</v>
      </c>
      <c r="G1365" s="104">
        <v>347414885.25999999</v>
      </c>
      <c r="H1365" s="104">
        <f t="shared" si="21"/>
        <v>24621813.5</v>
      </c>
    </row>
    <row r="1366" spans="2:8" x14ac:dyDescent="0.25">
      <c r="B1366" t="s">
        <v>2261</v>
      </c>
      <c r="C1366" t="s">
        <v>272</v>
      </c>
      <c r="H1366" s="104"/>
    </row>
    <row r="1367" spans="2:8" x14ac:dyDescent="0.25">
      <c r="C1367" t="s">
        <v>2035</v>
      </c>
      <c r="D1367" s="104">
        <v>28213.16</v>
      </c>
      <c r="E1367" s="104">
        <v>28213.16</v>
      </c>
      <c r="F1367">
        <v>0</v>
      </c>
      <c r="G1367">
        <v>0</v>
      </c>
      <c r="H1367" s="104">
        <f t="shared" si="21"/>
        <v>-28213.16</v>
      </c>
    </row>
    <row r="1368" spans="2:8" x14ac:dyDescent="0.25">
      <c r="C1368" t="s">
        <v>1975</v>
      </c>
      <c r="D1368" s="104">
        <v>1558.17</v>
      </c>
      <c r="E1368" s="104">
        <v>1558.17</v>
      </c>
      <c r="F1368">
        <v>0</v>
      </c>
      <c r="G1368">
        <v>0</v>
      </c>
      <c r="H1368" s="104">
        <f t="shared" si="21"/>
        <v>-1558.17</v>
      </c>
    </row>
    <row r="1369" spans="2:8" x14ac:dyDescent="0.25">
      <c r="C1369" t="s">
        <v>2025</v>
      </c>
      <c r="D1369" s="104">
        <v>1700</v>
      </c>
      <c r="E1369" s="104">
        <v>1700</v>
      </c>
      <c r="F1369" s="104">
        <v>2000</v>
      </c>
      <c r="G1369" s="104">
        <v>2000</v>
      </c>
      <c r="H1369" s="104">
        <f t="shared" si="21"/>
        <v>300</v>
      </c>
    </row>
    <row r="1370" spans="2:8" x14ac:dyDescent="0.25">
      <c r="C1370" t="s">
        <v>2032</v>
      </c>
      <c r="D1370">
        <v>0</v>
      </c>
      <c r="E1370">
        <v>0</v>
      </c>
      <c r="F1370" s="104">
        <v>5000</v>
      </c>
      <c r="G1370" s="104">
        <v>5000</v>
      </c>
      <c r="H1370" s="104">
        <f t="shared" si="21"/>
        <v>5000</v>
      </c>
    </row>
    <row r="1371" spans="2:8" x14ac:dyDescent="0.25">
      <c r="C1371" t="s">
        <v>1819</v>
      </c>
      <c r="D1371" s="104">
        <v>30260</v>
      </c>
      <c r="E1371" s="104">
        <v>30260</v>
      </c>
      <c r="F1371">
        <v>0</v>
      </c>
      <c r="G1371">
        <v>0</v>
      </c>
      <c r="H1371" s="104">
        <f t="shared" si="21"/>
        <v>-30260</v>
      </c>
    </row>
    <row r="1372" spans="2:8" x14ac:dyDescent="0.25">
      <c r="C1372" t="s">
        <v>2262</v>
      </c>
      <c r="D1372">
        <v>0</v>
      </c>
      <c r="E1372">
        <v>0</v>
      </c>
      <c r="F1372">
        <v>0</v>
      </c>
      <c r="G1372">
        <v>0</v>
      </c>
      <c r="H1372" s="104">
        <f t="shared" si="21"/>
        <v>0</v>
      </c>
    </row>
    <row r="1373" spans="2:8" x14ac:dyDescent="0.25">
      <c r="C1373" t="s">
        <v>2250</v>
      </c>
      <c r="D1373">
        <v>0</v>
      </c>
      <c r="E1373" s="104">
        <v>7781565</v>
      </c>
      <c r="F1373" s="104">
        <v>7781565</v>
      </c>
      <c r="G1373">
        <v>0</v>
      </c>
      <c r="H1373" s="104">
        <f t="shared" si="21"/>
        <v>0</v>
      </c>
    </row>
    <row r="1374" spans="2:8" x14ac:dyDescent="0.25">
      <c r="C1374" t="s">
        <v>2263</v>
      </c>
      <c r="D1374" s="104">
        <v>585000</v>
      </c>
      <c r="E1374" s="104">
        <v>540000</v>
      </c>
      <c r="F1374" s="104">
        <v>540000</v>
      </c>
      <c r="G1374" s="104">
        <v>585000</v>
      </c>
      <c r="H1374" s="104">
        <f t="shared" si="21"/>
        <v>0</v>
      </c>
    </row>
    <row r="1375" spans="2:8" x14ac:dyDescent="0.25">
      <c r="C1375" t="s">
        <v>2264</v>
      </c>
      <c r="D1375" s="104">
        <v>231230.36</v>
      </c>
      <c r="E1375" s="104">
        <v>36069.57</v>
      </c>
      <c r="F1375" s="104">
        <v>39111.25</v>
      </c>
      <c r="G1375" s="104">
        <v>234272.04</v>
      </c>
      <c r="H1375" s="104">
        <f t="shared" si="21"/>
        <v>3041.6800000000221</v>
      </c>
    </row>
    <row r="1376" spans="2:8" x14ac:dyDescent="0.25">
      <c r="C1376" t="s">
        <v>2161</v>
      </c>
      <c r="D1376">
        <v>270</v>
      </c>
      <c r="E1376">
        <v>270</v>
      </c>
      <c r="F1376">
        <v>0</v>
      </c>
      <c r="G1376">
        <v>0</v>
      </c>
      <c r="H1376" s="104">
        <f t="shared" si="21"/>
        <v>-270</v>
      </c>
    </row>
    <row r="1377" spans="3:8" x14ac:dyDescent="0.25">
      <c r="C1377" t="s">
        <v>1754</v>
      </c>
      <c r="D1377" s="104">
        <v>-234940.41</v>
      </c>
      <c r="E1377" s="104">
        <v>784710.6</v>
      </c>
      <c r="F1377" s="104">
        <v>1025241</v>
      </c>
      <c r="G1377" s="104">
        <v>5589.99</v>
      </c>
      <c r="H1377" s="104">
        <f t="shared" si="21"/>
        <v>240530.4</v>
      </c>
    </row>
    <row r="1378" spans="3:8" x14ac:dyDescent="0.25">
      <c r="C1378" t="s">
        <v>2265</v>
      </c>
      <c r="D1378">
        <v>0</v>
      </c>
      <c r="E1378">
        <v>0</v>
      </c>
      <c r="F1378">
        <v>0</v>
      </c>
      <c r="G1378">
        <v>0</v>
      </c>
      <c r="H1378" s="104">
        <f t="shared" si="21"/>
        <v>0</v>
      </c>
    </row>
    <row r="1379" spans="3:8" x14ac:dyDescent="0.25">
      <c r="C1379" t="s">
        <v>2266</v>
      </c>
      <c r="D1379" s="104">
        <v>71500</v>
      </c>
      <c r="E1379" s="104">
        <v>71500</v>
      </c>
      <c r="F1379">
        <v>0</v>
      </c>
      <c r="G1379">
        <v>0</v>
      </c>
      <c r="H1379" s="104">
        <f t="shared" si="21"/>
        <v>-71500</v>
      </c>
    </row>
    <row r="1380" spans="3:8" x14ac:dyDescent="0.25">
      <c r="C1380" t="s">
        <v>2267</v>
      </c>
      <c r="D1380" s="104">
        <v>200000</v>
      </c>
      <c r="E1380" s="104">
        <v>200000</v>
      </c>
      <c r="F1380">
        <v>0</v>
      </c>
      <c r="G1380">
        <v>0</v>
      </c>
      <c r="H1380" s="104">
        <f t="shared" si="21"/>
        <v>-200000</v>
      </c>
    </row>
    <row r="1381" spans="3:8" x14ac:dyDescent="0.25">
      <c r="C1381" t="s">
        <v>2268</v>
      </c>
      <c r="D1381">
        <v>0</v>
      </c>
      <c r="E1381">
        <v>0</v>
      </c>
      <c r="F1381">
        <v>0</v>
      </c>
      <c r="G1381">
        <v>0</v>
      </c>
      <c r="H1381" s="104">
        <f t="shared" si="21"/>
        <v>0</v>
      </c>
    </row>
    <row r="1382" spans="3:8" x14ac:dyDescent="0.25">
      <c r="C1382" t="s">
        <v>1814</v>
      </c>
      <c r="D1382">
        <v>0</v>
      </c>
      <c r="E1382">
        <v>0</v>
      </c>
      <c r="F1382">
        <v>0</v>
      </c>
      <c r="G1382">
        <v>0</v>
      </c>
      <c r="H1382" s="104">
        <f t="shared" si="21"/>
        <v>0</v>
      </c>
    </row>
    <row r="1383" spans="3:8" x14ac:dyDescent="0.25">
      <c r="C1383" t="s">
        <v>2269</v>
      </c>
      <c r="D1383">
        <v>0</v>
      </c>
      <c r="E1383">
        <v>0</v>
      </c>
      <c r="F1383">
        <v>0</v>
      </c>
      <c r="G1383">
        <v>0</v>
      </c>
      <c r="H1383" s="104">
        <f t="shared" si="21"/>
        <v>0</v>
      </c>
    </row>
    <row r="1384" spans="3:8" x14ac:dyDescent="0.25">
      <c r="C1384" t="s">
        <v>2270</v>
      </c>
      <c r="D1384">
        <v>0</v>
      </c>
      <c r="E1384">
        <v>0</v>
      </c>
      <c r="F1384">
        <v>0</v>
      </c>
      <c r="G1384">
        <v>0</v>
      </c>
      <c r="H1384" s="104">
        <f t="shared" si="21"/>
        <v>0</v>
      </c>
    </row>
    <row r="1385" spans="3:8" x14ac:dyDescent="0.25">
      <c r="C1385" t="s">
        <v>2073</v>
      </c>
      <c r="D1385">
        <v>0</v>
      </c>
      <c r="E1385" s="104">
        <v>2597</v>
      </c>
      <c r="F1385" s="104">
        <v>2597</v>
      </c>
      <c r="G1385">
        <v>0</v>
      </c>
      <c r="H1385" s="104">
        <f t="shared" si="21"/>
        <v>0</v>
      </c>
    </row>
    <row r="1386" spans="3:8" x14ac:dyDescent="0.25">
      <c r="C1386" t="s">
        <v>2271</v>
      </c>
      <c r="D1386">
        <v>0</v>
      </c>
      <c r="E1386">
        <v>0</v>
      </c>
      <c r="F1386" s="104">
        <v>53764.04</v>
      </c>
      <c r="G1386" s="104">
        <v>53764.04</v>
      </c>
      <c r="H1386" s="104">
        <f t="shared" si="21"/>
        <v>53764.04</v>
      </c>
    </row>
    <row r="1387" spans="3:8" x14ac:dyDescent="0.25">
      <c r="C1387" t="s">
        <v>2022</v>
      </c>
      <c r="D1387">
        <v>0</v>
      </c>
      <c r="E1387">
        <v>0</v>
      </c>
      <c r="F1387" s="104">
        <v>69000</v>
      </c>
      <c r="G1387" s="104">
        <v>69000</v>
      </c>
      <c r="H1387" s="104">
        <f t="shared" si="21"/>
        <v>69000</v>
      </c>
    </row>
    <row r="1388" spans="3:8" x14ac:dyDescent="0.25">
      <c r="C1388" t="s">
        <v>1723</v>
      </c>
      <c r="D1388">
        <v>0</v>
      </c>
      <c r="E1388">
        <v>0</v>
      </c>
      <c r="F1388" s="104">
        <v>3424.81</v>
      </c>
      <c r="G1388" s="104">
        <v>3424.81</v>
      </c>
      <c r="H1388" s="104">
        <f t="shared" si="21"/>
        <v>3424.81</v>
      </c>
    </row>
    <row r="1389" spans="3:8" x14ac:dyDescent="0.25">
      <c r="C1389" t="s">
        <v>2028</v>
      </c>
      <c r="D1389">
        <v>0</v>
      </c>
      <c r="E1389">
        <v>0</v>
      </c>
      <c r="F1389" s="104">
        <v>1000</v>
      </c>
      <c r="G1389" s="104">
        <v>1000</v>
      </c>
      <c r="H1389" s="104">
        <f t="shared" si="21"/>
        <v>1000</v>
      </c>
    </row>
    <row r="1390" spans="3:8" x14ac:dyDescent="0.25">
      <c r="C1390" t="s">
        <v>2031</v>
      </c>
      <c r="D1390" s="104">
        <v>2000</v>
      </c>
      <c r="E1390" s="104">
        <v>3486.75</v>
      </c>
      <c r="F1390" s="104">
        <v>8486.75</v>
      </c>
      <c r="G1390" s="104">
        <v>7000</v>
      </c>
      <c r="H1390" s="104">
        <f t="shared" si="21"/>
        <v>5000</v>
      </c>
    </row>
    <row r="1391" spans="3:8" x14ac:dyDescent="0.25">
      <c r="C1391" t="s">
        <v>2033</v>
      </c>
      <c r="D1391">
        <v>0</v>
      </c>
      <c r="E1391">
        <v>100</v>
      </c>
      <c r="F1391">
        <v>0</v>
      </c>
      <c r="G1391">
        <v>-100</v>
      </c>
      <c r="H1391" s="104">
        <f t="shared" si="21"/>
        <v>-100</v>
      </c>
    </row>
    <row r="1392" spans="3:8" x14ac:dyDescent="0.25">
      <c r="C1392" t="s">
        <v>2272</v>
      </c>
      <c r="D1392" s="104">
        <v>11371.32</v>
      </c>
      <c r="E1392" s="104">
        <v>11371.32</v>
      </c>
      <c r="F1392">
        <v>0</v>
      </c>
      <c r="G1392">
        <v>0</v>
      </c>
      <c r="H1392" s="104">
        <f t="shared" si="21"/>
        <v>-11371.32</v>
      </c>
    </row>
    <row r="1393" spans="3:8" x14ac:dyDescent="0.25">
      <c r="C1393" t="s">
        <v>2273</v>
      </c>
      <c r="D1393" s="104">
        <v>66666.66</v>
      </c>
      <c r="E1393" s="104">
        <v>66666.66</v>
      </c>
      <c r="F1393">
        <v>0</v>
      </c>
      <c r="G1393">
        <v>0</v>
      </c>
      <c r="H1393" s="104">
        <f t="shared" si="21"/>
        <v>-66666.66</v>
      </c>
    </row>
    <row r="1394" spans="3:8" x14ac:dyDescent="0.25">
      <c r="C1394" t="s">
        <v>1979</v>
      </c>
      <c r="D1394" s="104">
        <v>14116.52</v>
      </c>
      <c r="E1394" s="104">
        <v>14116.52</v>
      </c>
      <c r="F1394">
        <v>0</v>
      </c>
      <c r="G1394">
        <v>0</v>
      </c>
      <c r="H1394" s="104">
        <f t="shared" si="21"/>
        <v>-14116.52</v>
      </c>
    </row>
    <row r="1395" spans="3:8" x14ac:dyDescent="0.25">
      <c r="C1395" t="s">
        <v>2061</v>
      </c>
      <c r="D1395">
        <v>0</v>
      </c>
      <c r="E1395">
        <v>0</v>
      </c>
      <c r="F1395" s="104">
        <v>21159.67</v>
      </c>
      <c r="G1395" s="104">
        <v>21159.67</v>
      </c>
      <c r="H1395" s="104">
        <f t="shared" si="21"/>
        <v>21159.67</v>
      </c>
    </row>
    <row r="1396" spans="3:8" x14ac:dyDescent="0.25">
      <c r="C1396" t="s">
        <v>2062</v>
      </c>
      <c r="D1396" s="104">
        <v>1000</v>
      </c>
      <c r="E1396" s="104">
        <v>1000</v>
      </c>
      <c r="F1396" s="104">
        <v>1000</v>
      </c>
      <c r="G1396" s="104">
        <v>1000</v>
      </c>
      <c r="H1396" s="104">
        <f t="shared" si="21"/>
        <v>0</v>
      </c>
    </row>
    <row r="1397" spans="3:8" x14ac:dyDescent="0.25">
      <c r="C1397" t="s">
        <v>2274</v>
      </c>
      <c r="D1397" s="104">
        <v>10416.67</v>
      </c>
      <c r="E1397" s="104">
        <v>10416.67</v>
      </c>
      <c r="F1397">
        <v>0</v>
      </c>
      <c r="G1397">
        <v>0</v>
      </c>
      <c r="H1397" s="104">
        <f t="shared" si="21"/>
        <v>-10416.67</v>
      </c>
    </row>
    <row r="1398" spans="3:8" x14ac:dyDescent="0.25">
      <c r="C1398" t="s">
        <v>2275</v>
      </c>
      <c r="D1398">
        <v>0</v>
      </c>
      <c r="E1398">
        <v>0</v>
      </c>
      <c r="F1398" s="104">
        <v>12946.43</v>
      </c>
      <c r="G1398" s="104">
        <v>12946.43</v>
      </c>
      <c r="H1398" s="104">
        <f t="shared" si="21"/>
        <v>12946.43</v>
      </c>
    </row>
    <row r="1399" spans="3:8" x14ac:dyDescent="0.25">
      <c r="C1399" t="s">
        <v>2276</v>
      </c>
      <c r="D1399">
        <v>0</v>
      </c>
      <c r="E1399">
        <v>0</v>
      </c>
      <c r="F1399">
        <v>0</v>
      </c>
      <c r="G1399">
        <v>0</v>
      </c>
      <c r="H1399" s="104">
        <f t="shared" si="21"/>
        <v>0</v>
      </c>
    </row>
    <row r="1400" spans="3:8" x14ac:dyDescent="0.25">
      <c r="C1400" t="s">
        <v>1958</v>
      </c>
      <c r="D1400" s="104">
        <v>25352.93</v>
      </c>
      <c r="E1400" s="104">
        <v>25352.93</v>
      </c>
      <c r="F1400" s="104">
        <v>30311.02</v>
      </c>
      <c r="G1400" s="104">
        <v>30311.02</v>
      </c>
      <c r="H1400" s="104">
        <f t="shared" si="21"/>
        <v>4958.09</v>
      </c>
    </row>
    <row r="1401" spans="3:8" x14ac:dyDescent="0.25">
      <c r="C1401" t="s">
        <v>1857</v>
      </c>
      <c r="D1401" s="104">
        <v>8481.25</v>
      </c>
      <c r="E1401" s="104">
        <v>8481.25</v>
      </c>
      <c r="F1401" s="104">
        <v>8918.9599999999991</v>
      </c>
      <c r="G1401" s="104">
        <v>8918.9599999999991</v>
      </c>
      <c r="H1401" s="104">
        <f t="shared" si="21"/>
        <v>437.70999999999913</v>
      </c>
    </row>
    <row r="1402" spans="3:8" x14ac:dyDescent="0.25">
      <c r="C1402" t="s">
        <v>1895</v>
      </c>
      <c r="D1402" s="104">
        <v>1148713.99</v>
      </c>
      <c r="E1402" s="104">
        <v>1148713.99</v>
      </c>
      <c r="F1402" s="104">
        <v>1278198.04</v>
      </c>
      <c r="G1402" s="104">
        <v>1278198.04</v>
      </c>
      <c r="H1402" s="104">
        <f t="shared" si="21"/>
        <v>129484.05000000005</v>
      </c>
    </row>
    <row r="1403" spans="3:8" x14ac:dyDescent="0.25">
      <c r="C1403" t="s">
        <v>2277</v>
      </c>
      <c r="D1403" s="104">
        <v>75000</v>
      </c>
      <c r="E1403" s="104">
        <v>75000</v>
      </c>
      <c r="F1403">
        <v>0</v>
      </c>
      <c r="G1403">
        <v>0</v>
      </c>
      <c r="H1403" s="104">
        <f t="shared" si="21"/>
        <v>-75000</v>
      </c>
    </row>
    <row r="1404" spans="3:8" x14ac:dyDescent="0.25">
      <c r="C1404" t="s">
        <v>2278</v>
      </c>
      <c r="D1404" s="104">
        <v>6120</v>
      </c>
      <c r="E1404" s="104">
        <v>6120</v>
      </c>
      <c r="F1404" s="104">
        <v>4896</v>
      </c>
      <c r="G1404" s="104">
        <v>4896</v>
      </c>
      <c r="H1404" s="104">
        <f t="shared" si="21"/>
        <v>-1224</v>
      </c>
    </row>
    <row r="1405" spans="3:8" x14ac:dyDescent="0.25">
      <c r="C1405" t="s">
        <v>2279</v>
      </c>
      <c r="D1405" s="104">
        <v>35574.120000000003</v>
      </c>
      <c r="E1405" s="104">
        <v>35574.120000000003</v>
      </c>
      <c r="F1405" s="104">
        <v>37126.65</v>
      </c>
      <c r="G1405" s="104">
        <v>37126.65</v>
      </c>
      <c r="H1405" s="104">
        <f t="shared" si="21"/>
        <v>1552.5299999999988</v>
      </c>
    </row>
    <row r="1406" spans="3:8" x14ac:dyDescent="0.25">
      <c r="C1406" t="s">
        <v>2280</v>
      </c>
      <c r="D1406">
        <v>0</v>
      </c>
      <c r="E1406">
        <v>0</v>
      </c>
      <c r="F1406" s="104">
        <v>15474</v>
      </c>
      <c r="G1406" s="104">
        <v>15474</v>
      </c>
      <c r="H1406" s="104">
        <f t="shared" si="21"/>
        <v>15474</v>
      </c>
    </row>
    <row r="1407" spans="3:8" x14ac:dyDescent="0.25">
      <c r="C1407" t="s">
        <v>2281</v>
      </c>
      <c r="D1407" s="104">
        <v>43109.38</v>
      </c>
      <c r="E1407" s="104">
        <v>43109.38</v>
      </c>
      <c r="F1407" s="104">
        <v>8245.32</v>
      </c>
      <c r="G1407" s="104">
        <v>8245.32</v>
      </c>
      <c r="H1407" s="104">
        <f t="shared" si="21"/>
        <v>-34864.06</v>
      </c>
    </row>
    <row r="1408" spans="3:8" x14ac:dyDescent="0.25">
      <c r="C1408" t="s">
        <v>2229</v>
      </c>
      <c r="D1408">
        <v>0</v>
      </c>
      <c r="E1408">
        <v>0</v>
      </c>
      <c r="F1408" s="104">
        <v>537000</v>
      </c>
      <c r="G1408" s="104">
        <v>537000</v>
      </c>
      <c r="H1408" s="104">
        <f t="shared" si="21"/>
        <v>537000</v>
      </c>
    </row>
    <row r="1409" spans="3:8" x14ac:dyDescent="0.25">
      <c r="C1409" t="s">
        <v>2282</v>
      </c>
      <c r="D1409" s="104">
        <v>104599.61</v>
      </c>
      <c r="E1409">
        <v>0</v>
      </c>
      <c r="F1409">
        <v>0</v>
      </c>
      <c r="G1409" s="104">
        <v>104599.61</v>
      </c>
      <c r="H1409" s="104">
        <f t="shared" si="21"/>
        <v>0</v>
      </c>
    </row>
    <row r="1410" spans="3:8" x14ac:dyDescent="0.25">
      <c r="C1410" t="s">
        <v>2283</v>
      </c>
      <c r="D1410" s="104">
        <v>6288.89</v>
      </c>
      <c r="E1410">
        <v>0</v>
      </c>
      <c r="F1410">
        <v>0</v>
      </c>
      <c r="G1410" s="104">
        <v>6288.89</v>
      </c>
      <c r="H1410" s="104">
        <f t="shared" si="21"/>
        <v>0</v>
      </c>
    </row>
    <row r="1411" spans="3:8" x14ac:dyDescent="0.25">
      <c r="C1411" t="s">
        <v>2284</v>
      </c>
      <c r="D1411" s="104">
        <v>29000</v>
      </c>
      <c r="E1411">
        <v>0</v>
      </c>
      <c r="F1411">
        <v>0</v>
      </c>
      <c r="G1411" s="104">
        <v>29000</v>
      </c>
      <c r="H1411" s="104">
        <f t="shared" si="21"/>
        <v>0</v>
      </c>
    </row>
    <row r="1412" spans="3:8" x14ac:dyDescent="0.25">
      <c r="C1412" t="s">
        <v>1898</v>
      </c>
      <c r="D1412" s="104">
        <v>2387087</v>
      </c>
      <c r="E1412">
        <v>0</v>
      </c>
      <c r="F1412" s="104">
        <v>254684</v>
      </c>
      <c r="G1412" s="104">
        <v>2641771</v>
      </c>
      <c r="H1412" s="104">
        <f t="shared" ref="H1412:H1475" si="22">G1412-D1412</f>
        <v>254684</v>
      </c>
    </row>
    <row r="1413" spans="3:8" x14ac:dyDescent="0.25">
      <c r="C1413" t="s">
        <v>2285</v>
      </c>
      <c r="D1413">
        <v>0</v>
      </c>
      <c r="E1413">
        <v>0</v>
      </c>
      <c r="F1413" s="104">
        <v>43473.21</v>
      </c>
      <c r="G1413" s="104">
        <v>43473.21</v>
      </c>
      <c r="H1413" s="104">
        <f t="shared" si="22"/>
        <v>43473.21</v>
      </c>
    </row>
    <row r="1414" spans="3:8" x14ac:dyDescent="0.25">
      <c r="C1414" t="s">
        <v>2286</v>
      </c>
      <c r="D1414">
        <v>0</v>
      </c>
      <c r="E1414">
        <v>0</v>
      </c>
      <c r="F1414" s="104">
        <v>6956250.0099999998</v>
      </c>
      <c r="G1414" s="104">
        <v>6956250.0099999998</v>
      </c>
      <c r="H1414" s="104">
        <f t="shared" si="22"/>
        <v>6956250.0099999998</v>
      </c>
    </row>
    <row r="1415" spans="3:8" x14ac:dyDescent="0.25">
      <c r="C1415" t="s">
        <v>2287</v>
      </c>
      <c r="D1415" s="104">
        <v>839976.12</v>
      </c>
      <c r="E1415" s="104">
        <v>839976.18</v>
      </c>
      <c r="F1415" s="104">
        <v>808874.24</v>
      </c>
      <c r="G1415" s="104">
        <v>808874.18</v>
      </c>
      <c r="H1415" s="104">
        <f t="shared" si="22"/>
        <v>-31101.939999999944</v>
      </c>
    </row>
    <row r="1416" spans="3:8" x14ac:dyDescent="0.25">
      <c r="C1416" t="s">
        <v>2136</v>
      </c>
      <c r="D1416" s="104">
        <v>2636728.23</v>
      </c>
      <c r="E1416">
        <v>0</v>
      </c>
      <c r="F1416" s="104">
        <v>11520024.460000001</v>
      </c>
      <c r="G1416" s="104">
        <v>14156752.689999999</v>
      </c>
      <c r="H1416" s="104">
        <f t="shared" si="22"/>
        <v>11520024.459999999</v>
      </c>
    </row>
    <row r="1417" spans="3:8" x14ac:dyDescent="0.25">
      <c r="C1417" t="s">
        <v>2288</v>
      </c>
      <c r="D1417" s="104">
        <v>114285.71</v>
      </c>
      <c r="E1417">
        <v>0</v>
      </c>
      <c r="F1417">
        <v>0</v>
      </c>
      <c r="G1417" s="104">
        <v>114285.71</v>
      </c>
      <c r="H1417" s="104">
        <f t="shared" si="22"/>
        <v>0</v>
      </c>
    </row>
    <row r="1418" spans="3:8" x14ac:dyDescent="0.25">
      <c r="C1418" t="s">
        <v>2289</v>
      </c>
      <c r="D1418">
        <v>0</v>
      </c>
      <c r="E1418">
        <v>0</v>
      </c>
      <c r="F1418" s="104">
        <v>51580.36</v>
      </c>
      <c r="G1418" s="104">
        <v>51580.36</v>
      </c>
      <c r="H1418" s="104">
        <f t="shared" si="22"/>
        <v>51580.36</v>
      </c>
    </row>
    <row r="1419" spans="3:8" x14ac:dyDescent="0.25">
      <c r="C1419" t="s">
        <v>2163</v>
      </c>
      <c r="D1419" s="104">
        <v>7820.98</v>
      </c>
      <c r="E1419">
        <v>0</v>
      </c>
      <c r="F1419">
        <v>0</v>
      </c>
      <c r="G1419" s="104">
        <v>7820.98</v>
      </c>
      <c r="H1419" s="104">
        <f t="shared" si="22"/>
        <v>0</v>
      </c>
    </row>
    <row r="1420" spans="3:8" x14ac:dyDescent="0.25">
      <c r="C1420" t="s">
        <v>2290</v>
      </c>
      <c r="D1420" s="104">
        <v>6970</v>
      </c>
      <c r="E1420" s="104">
        <v>6970</v>
      </c>
      <c r="F1420" s="104">
        <v>3068.5</v>
      </c>
      <c r="G1420" s="104">
        <v>3068.5</v>
      </c>
      <c r="H1420" s="104">
        <f t="shared" si="22"/>
        <v>-3901.5</v>
      </c>
    </row>
    <row r="1421" spans="3:8" x14ac:dyDescent="0.25">
      <c r="C1421" t="s">
        <v>2291</v>
      </c>
      <c r="D1421" s="104">
        <v>49862.5</v>
      </c>
      <c r="E1421">
        <v>0</v>
      </c>
      <c r="F1421">
        <v>0</v>
      </c>
      <c r="G1421" s="104">
        <v>49862.5</v>
      </c>
      <c r="H1421" s="104">
        <f t="shared" si="22"/>
        <v>0</v>
      </c>
    </row>
    <row r="1422" spans="3:8" x14ac:dyDescent="0.25">
      <c r="C1422" t="s">
        <v>2255</v>
      </c>
      <c r="D1422">
        <v>0</v>
      </c>
      <c r="E1422">
        <v>0</v>
      </c>
      <c r="F1422">
        <v>0</v>
      </c>
      <c r="G1422">
        <v>0</v>
      </c>
      <c r="H1422" s="104">
        <f t="shared" si="22"/>
        <v>0</v>
      </c>
    </row>
    <row r="1423" spans="3:8" x14ac:dyDescent="0.25">
      <c r="C1423" t="s">
        <v>2064</v>
      </c>
      <c r="D1423">
        <v>0</v>
      </c>
      <c r="E1423">
        <v>232.14</v>
      </c>
      <c r="F1423" s="104">
        <v>31226.97</v>
      </c>
      <c r="G1423" s="104">
        <v>30994.83</v>
      </c>
      <c r="H1423" s="104">
        <f t="shared" si="22"/>
        <v>30994.83</v>
      </c>
    </row>
    <row r="1424" spans="3:8" x14ac:dyDescent="0.25">
      <c r="C1424" t="s">
        <v>2065</v>
      </c>
      <c r="D1424" s="104">
        <v>1000</v>
      </c>
      <c r="E1424" s="104">
        <v>1000</v>
      </c>
      <c r="F1424" s="104">
        <v>1187.76</v>
      </c>
      <c r="G1424" s="104">
        <v>1187.76</v>
      </c>
      <c r="H1424" s="104">
        <f t="shared" si="22"/>
        <v>187.76</v>
      </c>
    </row>
    <row r="1425" spans="3:8" x14ac:dyDescent="0.25">
      <c r="C1425" t="s">
        <v>2066</v>
      </c>
      <c r="D1425" s="104">
        <v>1000</v>
      </c>
      <c r="E1425" s="104">
        <v>1000</v>
      </c>
      <c r="F1425" s="104">
        <v>2593.66</v>
      </c>
      <c r="G1425" s="104">
        <v>2593.66</v>
      </c>
      <c r="H1425" s="104">
        <f t="shared" si="22"/>
        <v>1593.6599999999999</v>
      </c>
    </row>
    <row r="1426" spans="3:8" x14ac:dyDescent="0.25">
      <c r="C1426" t="s">
        <v>2292</v>
      </c>
      <c r="D1426" s="104">
        <v>4935</v>
      </c>
      <c r="E1426">
        <v>0</v>
      </c>
      <c r="F1426" s="104">
        <v>7142.86</v>
      </c>
      <c r="G1426" s="104">
        <v>12077.86</v>
      </c>
      <c r="H1426" s="104">
        <f t="shared" si="22"/>
        <v>7142.8600000000006</v>
      </c>
    </row>
    <row r="1427" spans="3:8" x14ac:dyDescent="0.25">
      <c r="C1427" t="s">
        <v>2293</v>
      </c>
      <c r="D1427" s="104">
        <v>19328.330000000002</v>
      </c>
      <c r="E1427">
        <v>0</v>
      </c>
      <c r="F1427">
        <v>0</v>
      </c>
      <c r="G1427" s="104">
        <v>19328.330000000002</v>
      </c>
      <c r="H1427" s="104">
        <f t="shared" si="22"/>
        <v>0</v>
      </c>
    </row>
    <row r="1428" spans="3:8" x14ac:dyDescent="0.25">
      <c r="C1428" t="s">
        <v>2294</v>
      </c>
      <c r="D1428" s="104">
        <v>20000</v>
      </c>
      <c r="E1428" s="104">
        <v>20000</v>
      </c>
      <c r="F1428">
        <v>0</v>
      </c>
      <c r="G1428">
        <v>0</v>
      </c>
      <c r="H1428" s="104">
        <f t="shared" si="22"/>
        <v>-20000</v>
      </c>
    </row>
    <row r="1429" spans="3:8" x14ac:dyDescent="0.25">
      <c r="C1429" t="s">
        <v>1727</v>
      </c>
      <c r="D1429" s="104">
        <v>1000</v>
      </c>
      <c r="E1429" s="104">
        <v>1000</v>
      </c>
      <c r="F1429" s="104">
        <v>2997.53</v>
      </c>
      <c r="G1429" s="104">
        <v>2997.53</v>
      </c>
      <c r="H1429" s="104">
        <f t="shared" si="22"/>
        <v>1997.5300000000002</v>
      </c>
    </row>
    <row r="1430" spans="3:8" x14ac:dyDescent="0.25">
      <c r="C1430" t="s">
        <v>2295</v>
      </c>
      <c r="D1430">
        <v>0</v>
      </c>
      <c r="E1430">
        <v>0</v>
      </c>
      <c r="F1430">
        <v>0</v>
      </c>
      <c r="G1430">
        <v>0</v>
      </c>
      <c r="H1430" s="104">
        <f t="shared" si="22"/>
        <v>0</v>
      </c>
    </row>
    <row r="1431" spans="3:8" x14ac:dyDescent="0.25">
      <c r="C1431" t="s">
        <v>2296</v>
      </c>
      <c r="D1431" s="104">
        <v>11093.3</v>
      </c>
      <c r="E1431">
        <v>0</v>
      </c>
      <c r="F1431">
        <v>0</v>
      </c>
      <c r="G1431" s="104">
        <v>11093.3</v>
      </c>
      <c r="H1431" s="104">
        <f t="shared" si="22"/>
        <v>0</v>
      </c>
    </row>
    <row r="1432" spans="3:8" x14ac:dyDescent="0.25">
      <c r="C1432" t="s">
        <v>1981</v>
      </c>
      <c r="D1432" s="104">
        <v>793401.03</v>
      </c>
      <c r="E1432" s="104">
        <v>793401.03</v>
      </c>
      <c r="F1432">
        <v>0</v>
      </c>
      <c r="G1432">
        <v>0</v>
      </c>
      <c r="H1432" s="104">
        <f t="shared" si="22"/>
        <v>-793401.03</v>
      </c>
    </row>
    <row r="1433" spans="3:8" x14ac:dyDescent="0.25">
      <c r="C1433" t="s">
        <v>2297</v>
      </c>
      <c r="D1433" s="104">
        <v>1339038.3899999999</v>
      </c>
      <c r="E1433">
        <v>0</v>
      </c>
      <c r="F1433">
        <v>0</v>
      </c>
      <c r="G1433" s="104">
        <v>1339038.3899999999</v>
      </c>
      <c r="H1433" s="104">
        <f t="shared" si="22"/>
        <v>0</v>
      </c>
    </row>
    <row r="1434" spans="3:8" x14ac:dyDescent="0.25">
      <c r="C1434" t="s">
        <v>2298</v>
      </c>
      <c r="D1434" s="104">
        <v>1026</v>
      </c>
      <c r="E1434">
        <v>0</v>
      </c>
      <c r="F1434">
        <v>0</v>
      </c>
      <c r="G1434" s="104">
        <v>1026</v>
      </c>
      <c r="H1434" s="104">
        <f t="shared" si="22"/>
        <v>0</v>
      </c>
    </row>
    <row r="1435" spans="3:8" x14ac:dyDescent="0.25">
      <c r="C1435" t="s">
        <v>1872</v>
      </c>
      <c r="D1435" s="104">
        <v>110945.54</v>
      </c>
      <c r="E1435">
        <v>0</v>
      </c>
      <c r="F1435">
        <v>0</v>
      </c>
      <c r="G1435" s="104">
        <v>110945.54</v>
      </c>
      <c r="H1435" s="104">
        <f t="shared" si="22"/>
        <v>0</v>
      </c>
    </row>
    <row r="1436" spans="3:8" x14ac:dyDescent="0.25">
      <c r="C1436" t="s">
        <v>2067</v>
      </c>
      <c r="D1436" s="104">
        <v>16000</v>
      </c>
      <c r="E1436" s="104">
        <v>16000</v>
      </c>
      <c r="F1436" s="104">
        <v>4000</v>
      </c>
      <c r="G1436" s="104">
        <v>4000</v>
      </c>
      <c r="H1436" s="104">
        <f t="shared" si="22"/>
        <v>-12000</v>
      </c>
    </row>
    <row r="1437" spans="3:8" x14ac:dyDescent="0.25">
      <c r="C1437" t="s">
        <v>2299</v>
      </c>
      <c r="D1437" s="104">
        <v>5349892.08</v>
      </c>
      <c r="E1437" s="104">
        <v>5349892.08</v>
      </c>
      <c r="F1437" s="104">
        <v>7915668.9000000004</v>
      </c>
      <c r="G1437" s="104">
        <v>7915668.9000000004</v>
      </c>
      <c r="H1437" s="104">
        <f t="shared" si="22"/>
        <v>2565776.8200000003</v>
      </c>
    </row>
    <row r="1438" spans="3:8" x14ac:dyDescent="0.25">
      <c r="C1438" t="s">
        <v>1982</v>
      </c>
      <c r="D1438">
        <v>0</v>
      </c>
      <c r="E1438">
        <v>0</v>
      </c>
      <c r="F1438" s="104">
        <v>457782.95</v>
      </c>
      <c r="G1438" s="104">
        <v>457782.95</v>
      </c>
      <c r="H1438" s="104">
        <f t="shared" si="22"/>
        <v>457782.95</v>
      </c>
    </row>
    <row r="1439" spans="3:8" x14ac:dyDescent="0.25">
      <c r="C1439" t="s">
        <v>2171</v>
      </c>
      <c r="D1439" s="104">
        <v>21283.64</v>
      </c>
      <c r="E1439" s="104">
        <v>21283.64</v>
      </c>
      <c r="F1439" s="104">
        <v>40422.18</v>
      </c>
      <c r="G1439" s="104">
        <v>40422.18</v>
      </c>
      <c r="H1439" s="104">
        <f t="shared" si="22"/>
        <v>19138.54</v>
      </c>
    </row>
    <row r="1440" spans="3:8" x14ac:dyDescent="0.25">
      <c r="C1440" t="s">
        <v>2300</v>
      </c>
      <c r="D1440">
        <v>0</v>
      </c>
      <c r="E1440">
        <v>0</v>
      </c>
      <c r="F1440">
        <v>0</v>
      </c>
      <c r="G1440">
        <v>0</v>
      </c>
      <c r="H1440" s="104">
        <f t="shared" si="22"/>
        <v>0</v>
      </c>
    </row>
    <row r="1441" spans="3:8" x14ac:dyDescent="0.25">
      <c r="C1441" t="s">
        <v>2301</v>
      </c>
      <c r="D1441" s="104">
        <v>15184.4</v>
      </c>
      <c r="E1441" s="104">
        <v>15184.4</v>
      </c>
      <c r="F1441" s="104">
        <v>8565.9699999999993</v>
      </c>
      <c r="G1441" s="104">
        <v>8565.9699999999993</v>
      </c>
      <c r="H1441" s="104">
        <f t="shared" si="22"/>
        <v>-6618.43</v>
      </c>
    </row>
    <row r="1442" spans="3:8" x14ac:dyDescent="0.25">
      <c r="C1442" t="s">
        <v>2219</v>
      </c>
      <c r="D1442">
        <v>0</v>
      </c>
      <c r="E1442">
        <v>0</v>
      </c>
      <c r="F1442" s="104">
        <v>235734.15</v>
      </c>
      <c r="G1442" s="104">
        <v>235734.15</v>
      </c>
      <c r="H1442" s="104">
        <f t="shared" si="22"/>
        <v>235734.15</v>
      </c>
    </row>
    <row r="1443" spans="3:8" x14ac:dyDescent="0.25">
      <c r="C1443" t="s">
        <v>2302</v>
      </c>
      <c r="D1443" s="104">
        <v>15000</v>
      </c>
      <c r="E1443" s="104">
        <v>15000</v>
      </c>
      <c r="F1443">
        <v>0</v>
      </c>
      <c r="G1443">
        <v>0</v>
      </c>
      <c r="H1443" s="104">
        <f t="shared" si="22"/>
        <v>-15000</v>
      </c>
    </row>
    <row r="1444" spans="3:8" x14ac:dyDescent="0.25">
      <c r="C1444" t="s">
        <v>2303</v>
      </c>
      <c r="D1444" s="104">
        <v>2500</v>
      </c>
      <c r="E1444" s="104">
        <v>2500</v>
      </c>
      <c r="F1444" s="104">
        <v>18241.8</v>
      </c>
      <c r="G1444" s="104">
        <v>18241.8</v>
      </c>
      <c r="H1444" s="104">
        <f t="shared" si="22"/>
        <v>15741.8</v>
      </c>
    </row>
    <row r="1445" spans="3:8" x14ac:dyDescent="0.25">
      <c r="C1445" t="s">
        <v>2178</v>
      </c>
      <c r="D1445" s="104">
        <v>172864.11</v>
      </c>
      <c r="E1445" s="104">
        <v>172864.11</v>
      </c>
      <c r="F1445" s="104">
        <v>268989.12</v>
      </c>
      <c r="G1445" s="104">
        <v>268989.12</v>
      </c>
      <c r="H1445" s="104">
        <f t="shared" si="22"/>
        <v>96125.010000000009</v>
      </c>
    </row>
    <row r="1446" spans="3:8" x14ac:dyDescent="0.25">
      <c r="C1446" t="s">
        <v>2304</v>
      </c>
      <c r="D1446" s="104">
        <v>86388.5</v>
      </c>
      <c r="E1446" s="104">
        <v>86388.5</v>
      </c>
      <c r="F1446" s="104">
        <v>49188.47</v>
      </c>
      <c r="G1446" s="104">
        <v>49188.47</v>
      </c>
      <c r="H1446" s="104">
        <f t="shared" si="22"/>
        <v>-37200.03</v>
      </c>
    </row>
    <row r="1447" spans="3:8" x14ac:dyDescent="0.25">
      <c r="C1447" t="s">
        <v>1728</v>
      </c>
      <c r="D1447">
        <v>0</v>
      </c>
      <c r="E1447">
        <v>0</v>
      </c>
      <c r="F1447" s="104">
        <v>8485</v>
      </c>
      <c r="G1447" s="104">
        <v>8485</v>
      </c>
      <c r="H1447" s="104">
        <f t="shared" si="22"/>
        <v>8485</v>
      </c>
    </row>
    <row r="1448" spans="3:8" x14ac:dyDescent="0.25">
      <c r="C1448" t="s">
        <v>2305</v>
      </c>
      <c r="D1448" s="104">
        <v>107465.89</v>
      </c>
      <c r="E1448" s="104">
        <v>107465.89</v>
      </c>
      <c r="F1448">
        <v>0</v>
      </c>
      <c r="G1448">
        <v>0</v>
      </c>
      <c r="H1448" s="104">
        <f t="shared" si="22"/>
        <v>-107465.89</v>
      </c>
    </row>
    <row r="1449" spans="3:8" x14ac:dyDescent="0.25">
      <c r="C1449" t="s">
        <v>2220</v>
      </c>
      <c r="D1449" s="104">
        <v>44370</v>
      </c>
      <c r="E1449" s="104">
        <v>44370</v>
      </c>
      <c r="F1449" s="104">
        <v>32500</v>
      </c>
      <c r="G1449" s="104">
        <v>32500</v>
      </c>
      <c r="H1449" s="104">
        <f t="shared" si="22"/>
        <v>-11870</v>
      </c>
    </row>
    <row r="1450" spans="3:8" x14ac:dyDescent="0.25">
      <c r="C1450" t="s">
        <v>2306</v>
      </c>
      <c r="D1450">
        <v>0</v>
      </c>
      <c r="E1450">
        <v>0</v>
      </c>
      <c r="F1450" s="104">
        <v>20480</v>
      </c>
      <c r="G1450" s="104">
        <v>20480</v>
      </c>
      <c r="H1450" s="104">
        <f t="shared" si="22"/>
        <v>20480</v>
      </c>
    </row>
    <row r="1451" spans="3:8" x14ac:dyDescent="0.25">
      <c r="C1451" t="s">
        <v>2307</v>
      </c>
      <c r="D1451">
        <v>-0.12</v>
      </c>
      <c r="E1451">
        <v>0</v>
      </c>
      <c r="F1451">
        <v>0.12</v>
      </c>
      <c r="G1451">
        <v>0</v>
      </c>
      <c r="H1451" s="104">
        <f t="shared" si="22"/>
        <v>0.12</v>
      </c>
    </row>
    <row r="1452" spans="3:8" x14ac:dyDescent="0.25">
      <c r="C1452" t="s">
        <v>2308</v>
      </c>
      <c r="D1452">
        <v>0</v>
      </c>
      <c r="E1452" s="104">
        <v>4899103</v>
      </c>
      <c r="F1452" s="104">
        <v>4890444.3499999996</v>
      </c>
      <c r="G1452" s="104">
        <v>-8658.65</v>
      </c>
      <c r="H1452" s="104">
        <f t="shared" si="22"/>
        <v>-8658.65</v>
      </c>
    </row>
    <row r="1453" spans="3:8" x14ac:dyDescent="0.25">
      <c r="C1453" t="s">
        <v>2309</v>
      </c>
      <c r="D1453" s="104">
        <v>31250</v>
      </c>
      <c r="E1453" s="104">
        <v>31250</v>
      </c>
      <c r="F1453">
        <v>0</v>
      </c>
      <c r="G1453">
        <v>0</v>
      </c>
      <c r="H1453" s="104">
        <f t="shared" si="22"/>
        <v>-31250</v>
      </c>
    </row>
    <row r="1454" spans="3:8" x14ac:dyDescent="0.25">
      <c r="C1454" t="s">
        <v>1729</v>
      </c>
      <c r="D1454" s="104">
        <v>4000</v>
      </c>
      <c r="E1454" s="104">
        <v>4000</v>
      </c>
      <c r="F1454" s="104">
        <v>3000</v>
      </c>
      <c r="G1454" s="104">
        <v>3000</v>
      </c>
      <c r="H1454" s="104">
        <f t="shared" si="22"/>
        <v>-1000</v>
      </c>
    </row>
    <row r="1455" spans="3:8" x14ac:dyDescent="0.25">
      <c r="C1455" t="s">
        <v>2310</v>
      </c>
      <c r="D1455" s="104">
        <v>35359.86</v>
      </c>
      <c r="E1455">
        <v>0</v>
      </c>
      <c r="F1455">
        <v>0</v>
      </c>
      <c r="G1455" s="104">
        <v>35359.86</v>
      </c>
      <c r="H1455" s="104">
        <f t="shared" si="22"/>
        <v>0</v>
      </c>
    </row>
    <row r="1456" spans="3:8" x14ac:dyDescent="0.25">
      <c r="C1456" t="s">
        <v>2311</v>
      </c>
      <c r="D1456" s="104">
        <v>274172.42</v>
      </c>
      <c r="E1456">
        <v>0</v>
      </c>
      <c r="F1456">
        <v>0</v>
      </c>
      <c r="G1456" s="104">
        <v>274172.42</v>
      </c>
      <c r="H1456" s="104">
        <f t="shared" si="22"/>
        <v>0</v>
      </c>
    </row>
    <row r="1457" spans="3:8" x14ac:dyDescent="0.25">
      <c r="C1457" t="s">
        <v>2152</v>
      </c>
      <c r="D1457" s="104">
        <v>2000</v>
      </c>
      <c r="E1457" s="104">
        <v>2000</v>
      </c>
      <c r="F1457">
        <v>0</v>
      </c>
      <c r="G1457">
        <v>0</v>
      </c>
      <c r="H1457" s="104">
        <f t="shared" si="22"/>
        <v>-2000</v>
      </c>
    </row>
    <row r="1458" spans="3:8" x14ac:dyDescent="0.25">
      <c r="C1458" t="s">
        <v>2221</v>
      </c>
      <c r="D1458">
        <v>0</v>
      </c>
      <c r="E1458" s="104">
        <v>17900</v>
      </c>
      <c r="F1458" s="104">
        <v>17900</v>
      </c>
      <c r="G1458">
        <v>0</v>
      </c>
      <c r="H1458" s="104">
        <f t="shared" si="22"/>
        <v>0</v>
      </c>
    </row>
    <row r="1459" spans="3:8" x14ac:dyDescent="0.25">
      <c r="C1459" t="s">
        <v>2312</v>
      </c>
      <c r="D1459">
        <v>0</v>
      </c>
      <c r="E1459">
        <v>0</v>
      </c>
      <c r="F1459" s="104">
        <v>56765.62</v>
      </c>
      <c r="G1459" s="104">
        <v>56765.62</v>
      </c>
      <c r="H1459" s="104">
        <f t="shared" si="22"/>
        <v>56765.62</v>
      </c>
    </row>
    <row r="1460" spans="3:8" x14ac:dyDescent="0.25">
      <c r="C1460" t="s">
        <v>1730</v>
      </c>
      <c r="D1460" s="104">
        <v>4000</v>
      </c>
      <c r="E1460" s="104">
        <v>4000</v>
      </c>
      <c r="F1460" s="104">
        <v>4000</v>
      </c>
      <c r="G1460" s="104">
        <v>4000</v>
      </c>
      <c r="H1460" s="104">
        <f t="shared" si="22"/>
        <v>0</v>
      </c>
    </row>
    <row r="1461" spans="3:8" x14ac:dyDescent="0.25">
      <c r="C1461" t="s">
        <v>2313</v>
      </c>
      <c r="D1461" s="104">
        <v>15355.2</v>
      </c>
      <c r="E1461">
        <v>0</v>
      </c>
      <c r="F1461">
        <v>0</v>
      </c>
      <c r="G1461" s="104">
        <v>15355.2</v>
      </c>
      <c r="H1461" s="104">
        <f t="shared" si="22"/>
        <v>0</v>
      </c>
    </row>
    <row r="1462" spans="3:8" x14ac:dyDescent="0.25">
      <c r="C1462" t="s">
        <v>2232</v>
      </c>
      <c r="D1462">
        <v>0</v>
      </c>
      <c r="E1462">
        <v>0</v>
      </c>
      <c r="F1462" s="104">
        <v>299910.71000000002</v>
      </c>
      <c r="G1462" s="104">
        <v>299910.71000000002</v>
      </c>
      <c r="H1462" s="104">
        <f t="shared" si="22"/>
        <v>299910.71000000002</v>
      </c>
    </row>
    <row r="1463" spans="3:8" x14ac:dyDescent="0.25">
      <c r="C1463" t="s">
        <v>2314</v>
      </c>
      <c r="D1463" s="104">
        <v>120000</v>
      </c>
      <c r="E1463" s="104">
        <v>120000</v>
      </c>
      <c r="F1463">
        <v>0</v>
      </c>
      <c r="G1463">
        <v>0</v>
      </c>
      <c r="H1463" s="104">
        <f t="shared" si="22"/>
        <v>-120000</v>
      </c>
    </row>
    <row r="1464" spans="3:8" x14ac:dyDescent="0.25">
      <c r="C1464" t="s">
        <v>2315</v>
      </c>
      <c r="D1464">
        <v>0</v>
      </c>
      <c r="E1464">
        <v>0</v>
      </c>
      <c r="F1464" s="104">
        <v>60000</v>
      </c>
      <c r="G1464" s="104">
        <v>60000</v>
      </c>
      <c r="H1464" s="104">
        <f t="shared" si="22"/>
        <v>60000</v>
      </c>
    </row>
    <row r="1465" spans="3:8" x14ac:dyDescent="0.25">
      <c r="C1465" t="s">
        <v>2316</v>
      </c>
      <c r="D1465" s="104">
        <v>60260.66</v>
      </c>
      <c r="E1465" s="104">
        <v>60260.66</v>
      </c>
      <c r="F1465">
        <v>0</v>
      </c>
      <c r="G1465">
        <v>0</v>
      </c>
      <c r="H1465" s="104">
        <f t="shared" si="22"/>
        <v>-60260.66</v>
      </c>
    </row>
    <row r="1466" spans="3:8" x14ac:dyDescent="0.25">
      <c r="C1466" t="s">
        <v>2153</v>
      </c>
      <c r="D1466" s="104">
        <v>30000</v>
      </c>
      <c r="E1466">
        <v>0</v>
      </c>
      <c r="F1466" s="104">
        <v>24000</v>
      </c>
      <c r="G1466" s="104">
        <v>54000</v>
      </c>
      <c r="H1466" s="104">
        <f t="shared" si="22"/>
        <v>24000</v>
      </c>
    </row>
    <row r="1467" spans="3:8" x14ac:dyDescent="0.25">
      <c r="C1467" t="s">
        <v>2235</v>
      </c>
      <c r="D1467" s="104">
        <v>558035</v>
      </c>
      <c r="E1467" s="104">
        <v>558035</v>
      </c>
      <c r="F1467">
        <v>0</v>
      </c>
      <c r="G1467">
        <v>0</v>
      </c>
      <c r="H1467" s="104">
        <f t="shared" si="22"/>
        <v>-558035</v>
      </c>
    </row>
    <row r="1468" spans="3:8" x14ac:dyDescent="0.25">
      <c r="C1468" t="s">
        <v>2137</v>
      </c>
      <c r="D1468">
        <v>0</v>
      </c>
      <c r="E1468">
        <v>0</v>
      </c>
      <c r="F1468" s="104">
        <v>1034600</v>
      </c>
      <c r="G1468" s="104">
        <v>1034600</v>
      </c>
      <c r="H1468" s="104">
        <f t="shared" si="22"/>
        <v>1034600</v>
      </c>
    </row>
    <row r="1469" spans="3:8" x14ac:dyDescent="0.25">
      <c r="C1469" t="s">
        <v>2317</v>
      </c>
      <c r="D1469">
        <v>0</v>
      </c>
      <c r="E1469">
        <v>0</v>
      </c>
      <c r="F1469" s="104">
        <v>8305.5300000000007</v>
      </c>
      <c r="G1469" s="104">
        <v>8305.5300000000007</v>
      </c>
      <c r="H1469" s="104">
        <f t="shared" si="22"/>
        <v>8305.5300000000007</v>
      </c>
    </row>
    <row r="1470" spans="3:8" x14ac:dyDescent="0.25">
      <c r="C1470" t="s">
        <v>1738</v>
      </c>
      <c r="D1470">
        <v>0</v>
      </c>
      <c r="E1470">
        <v>0</v>
      </c>
      <c r="F1470" s="104">
        <v>14275.56</v>
      </c>
      <c r="G1470" s="104">
        <v>14275.56</v>
      </c>
      <c r="H1470" s="104">
        <f t="shared" si="22"/>
        <v>14275.56</v>
      </c>
    </row>
    <row r="1471" spans="3:8" x14ac:dyDescent="0.25">
      <c r="C1471" t="s">
        <v>2236</v>
      </c>
      <c r="D1471" s="104">
        <v>43025</v>
      </c>
      <c r="E1471" s="104">
        <v>17900</v>
      </c>
      <c r="F1471">
        <v>0</v>
      </c>
      <c r="G1471" s="104">
        <v>25125</v>
      </c>
      <c r="H1471" s="104">
        <f t="shared" si="22"/>
        <v>-17900</v>
      </c>
    </row>
    <row r="1472" spans="3:8" x14ac:dyDescent="0.25">
      <c r="C1472" t="s">
        <v>1984</v>
      </c>
      <c r="D1472" s="104">
        <v>10267.86</v>
      </c>
      <c r="E1472" s="104">
        <v>10267.86</v>
      </c>
      <c r="F1472">
        <v>0</v>
      </c>
      <c r="G1472">
        <v>0</v>
      </c>
      <c r="H1472" s="104">
        <f t="shared" si="22"/>
        <v>-10267.86</v>
      </c>
    </row>
    <row r="1473" spans="3:8" x14ac:dyDescent="0.25">
      <c r="C1473" t="s">
        <v>2318</v>
      </c>
      <c r="D1473" s="104">
        <v>4600</v>
      </c>
      <c r="E1473">
        <v>0</v>
      </c>
      <c r="F1473">
        <v>0</v>
      </c>
      <c r="G1473" s="104">
        <v>4600</v>
      </c>
      <c r="H1473" s="104">
        <f t="shared" si="22"/>
        <v>0</v>
      </c>
    </row>
    <row r="1474" spans="3:8" x14ac:dyDescent="0.25">
      <c r="C1474" t="s">
        <v>1731</v>
      </c>
      <c r="D1474">
        <v>0</v>
      </c>
      <c r="E1474">
        <v>0</v>
      </c>
      <c r="F1474" s="104">
        <v>2000</v>
      </c>
      <c r="G1474" s="104">
        <v>2000</v>
      </c>
      <c r="H1474" s="104">
        <f t="shared" si="22"/>
        <v>2000</v>
      </c>
    </row>
    <row r="1475" spans="3:8" x14ac:dyDescent="0.25">
      <c r="C1475" t="s">
        <v>2319</v>
      </c>
      <c r="D1475" s="104">
        <v>14742.98</v>
      </c>
      <c r="E1475">
        <v>0</v>
      </c>
      <c r="F1475">
        <v>0</v>
      </c>
      <c r="G1475" s="104">
        <v>14742.98</v>
      </c>
      <c r="H1475" s="104">
        <f t="shared" si="22"/>
        <v>0</v>
      </c>
    </row>
    <row r="1476" spans="3:8" x14ac:dyDescent="0.25">
      <c r="C1476" t="s">
        <v>1725</v>
      </c>
      <c r="D1476" s="104">
        <v>3000</v>
      </c>
      <c r="E1476" s="104">
        <v>3000</v>
      </c>
      <c r="F1476" s="104">
        <v>4000</v>
      </c>
      <c r="G1476" s="104">
        <v>4000</v>
      </c>
      <c r="H1476" s="104">
        <f t="shared" ref="H1476:H1539" si="23">G1476-D1476</f>
        <v>1000</v>
      </c>
    </row>
    <row r="1477" spans="3:8" x14ac:dyDescent="0.25">
      <c r="C1477" t="s">
        <v>2320</v>
      </c>
      <c r="D1477" s="104">
        <v>73348.23</v>
      </c>
      <c r="E1477" s="104">
        <v>73348.23</v>
      </c>
      <c r="F1477">
        <v>0</v>
      </c>
      <c r="G1477">
        <v>0</v>
      </c>
      <c r="H1477" s="104">
        <f t="shared" si="23"/>
        <v>-73348.23</v>
      </c>
    </row>
    <row r="1478" spans="3:8" x14ac:dyDescent="0.25">
      <c r="C1478" t="s">
        <v>2321</v>
      </c>
      <c r="D1478" s="104">
        <v>12238.55</v>
      </c>
      <c r="E1478" s="104">
        <v>12238.55</v>
      </c>
      <c r="F1478">
        <v>0</v>
      </c>
      <c r="G1478">
        <v>0</v>
      </c>
      <c r="H1478" s="104">
        <f t="shared" si="23"/>
        <v>-12238.55</v>
      </c>
    </row>
    <row r="1479" spans="3:8" x14ac:dyDescent="0.25">
      <c r="C1479" t="s">
        <v>2237</v>
      </c>
      <c r="D1479" s="104">
        <v>31250</v>
      </c>
      <c r="E1479" s="104">
        <v>31250</v>
      </c>
      <c r="F1479" s="104">
        <v>560491.06999999995</v>
      </c>
      <c r="G1479" s="104">
        <v>560491.06999999995</v>
      </c>
      <c r="H1479" s="104">
        <f t="shared" si="23"/>
        <v>529241.06999999995</v>
      </c>
    </row>
    <row r="1480" spans="3:8" x14ac:dyDescent="0.25">
      <c r="C1480" t="s">
        <v>2322</v>
      </c>
      <c r="D1480">
        <v>0</v>
      </c>
      <c r="E1480">
        <v>488.76</v>
      </c>
      <c r="F1480">
        <v>488.76</v>
      </c>
      <c r="G1480">
        <v>0</v>
      </c>
      <c r="H1480" s="104">
        <f t="shared" si="23"/>
        <v>0</v>
      </c>
    </row>
    <row r="1481" spans="3:8" x14ac:dyDescent="0.25">
      <c r="C1481" t="s">
        <v>2323</v>
      </c>
      <c r="D1481" s="104">
        <v>8000</v>
      </c>
      <c r="E1481" s="104">
        <v>8000</v>
      </c>
      <c r="F1481">
        <v>0</v>
      </c>
      <c r="G1481">
        <v>0</v>
      </c>
      <c r="H1481" s="104">
        <f t="shared" si="23"/>
        <v>-8000</v>
      </c>
    </row>
    <row r="1482" spans="3:8" x14ac:dyDescent="0.25">
      <c r="C1482" t="s">
        <v>2222</v>
      </c>
      <c r="D1482" s="104">
        <v>15754</v>
      </c>
      <c r="E1482" s="104">
        <v>7544</v>
      </c>
      <c r="F1482" s="104">
        <v>26980</v>
      </c>
      <c r="G1482" s="104">
        <v>35190</v>
      </c>
      <c r="H1482" s="104">
        <f t="shared" si="23"/>
        <v>19436</v>
      </c>
    </row>
    <row r="1483" spans="3:8" x14ac:dyDescent="0.25">
      <c r="C1483" t="s">
        <v>2071</v>
      </c>
      <c r="D1483" s="104">
        <v>420351.49</v>
      </c>
      <c r="E1483" s="104">
        <v>1102265.8700000001</v>
      </c>
      <c r="F1483" s="104">
        <v>681914.38</v>
      </c>
      <c r="G1483">
        <v>0</v>
      </c>
      <c r="H1483" s="104">
        <f t="shared" si="23"/>
        <v>-420351.49</v>
      </c>
    </row>
    <row r="1484" spans="3:8" x14ac:dyDescent="0.25">
      <c r="C1484" t="s">
        <v>2324</v>
      </c>
      <c r="D1484" s="104">
        <v>3688.45</v>
      </c>
      <c r="E1484" s="104">
        <v>3688.46</v>
      </c>
      <c r="F1484">
        <v>0.01</v>
      </c>
      <c r="G1484">
        <v>0</v>
      </c>
      <c r="H1484" s="104">
        <f t="shared" si="23"/>
        <v>-3688.45</v>
      </c>
    </row>
    <row r="1485" spans="3:8" x14ac:dyDescent="0.25">
      <c r="C1485" t="s">
        <v>2325</v>
      </c>
      <c r="D1485" s="104">
        <v>4562.68</v>
      </c>
      <c r="E1485" s="104">
        <v>4562.68</v>
      </c>
      <c r="F1485">
        <v>0</v>
      </c>
      <c r="G1485">
        <v>0</v>
      </c>
      <c r="H1485" s="104">
        <f t="shared" si="23"/>
        <v>-4562.68</v>
      </c>
    </row>
    <row r="1486" spans="3:8" x14ac:dyDescent="0.25">
      <c r="C1486" t="s">
        <v>1732</v>
      </c>
      <c r="D1486">
        <v>0</v>
      </c>
      <c r="E1486" s="104">
        <v>2137</v>
      </c>
      <c r="F1486" s="104">
        <v>2137</v>
      </c>
      <c r="G1486">
        <v>0</v>
      </c>
      <c r="H1486" s="104">
        <f t="shared" si="23"/>
        <v>0</v>
      </c>
    </row>
    <row r="1487" spans="3:8" x14ac:dyDescent="0.25">
      <c r="C1487" t="s">
        <v>2326</v>
      </c>
      <c r="D1487" s="104">
        <v>120000</v>
      </c>
      <c r="E1487">
        <v>0</v>
      </c>
      <c r="F1487">
        <v>0</v>
      </c>
      <c r="G1487" s="104">
        <v>120000</v>
      </c>
      <c r="H1487" s="104">
        <f t="shared" si="23"/>
        <v>0</v>
      </c>
    </row>
    <row r="1488" spans="3:8" x14ac:dyDescent="0.25">
      <c r="C1488" t="s">
        <v>2327</v>
      </c>
      <c r="D1488" s="104">
        <v>769088</v>
      </c>
      <c r="E1488" s="104">
        <v>769088</v>
      </c>
      <c r="F1488">
        <v>0</v>
      </c>
      <c r="G1488">
        <v>0</v>
      </c>
      <c r="H1488" s="104">
        <f t="shared" si="23"/>
        <v>-769088</v>
      </c>
    </row>
    <row r="1489" spans="3:8" x14ac:dyDescent="0.25">
      <c r="C1489" t="s">
        <v>2328</v>
      </c>
      <c r="D1489" s="104">
        <v>100892.86</v>
      </c>
      <c r="E1489" s="104">
        <v>100892.86</v>
      </c>
      <c r="F1489">
        <v>0</v>
      </c>
      <c r="G1489">
        <v>0</v>
      </c>
      <c r="H1489" s="104">
        <f t="shared" si="23"/>
        <v>-100892.86</v>
      </c>
    </row>
    <row r="1490" spans="3:8" x14ac:dyDescent="0.25">
      <c r="C1490" t="s">
        <v>2329</v>
      </c>
      <c r="D1490" s="104">
        <v>36080</v>
      </c>
      <c r="E1490" s="104">
        <v>36080</v>
      </c>
      <c r="F1490">
        <v>0</v>
      </c>
      <c r="G1490">
        <v>0</v>
      </c>
      <c r="H1490" s="104">
        <f t="shared" si="23"/>
        <v>-36080</v>
      </c>
    </row>
    <row r="1491" spans="3:8" x14ac:dyDescent="0.25">
      <c r="C1491" t="s">
        <v>2330</v>
      </c>
      <c r="D1491">
        <v>0</v>
      </c>
      <c r="E1491">
        <v>0</v>
      </c>
      <c r="F1491" s="104">
        <v>30954.36</v>
      </c>
      <c r="G1491" s="104">
        <v>30954.36</v>
      </c>
      <c r="H1491" s="104">
        <f t="shared" si="23"/>
        <v>30954.36</v>
      </c>
    </row>
    <row r="1492" spans="3:8" x14ac:dyDescent="0.25">
      <c r="C1492" t="s">
        <v>2331</v>
      </c>
      <c r="D1492" s="104">
        <v>126870</v>
      </c>
      <c r="E1492" s="104">
        <v>126870</v>
      </c>
      <c r="F1492">
        <v>0</v>
      </c>
      <c r="G1492">
        <v>0</v>
      </c>
      <c r="H1492" s="104">
        <f t="shared" si="23"/>
        <v>-126870</v>
      </c>
    </row>
    <row r="1493" spans="3:8" x14ac:dyDescent="0.25">
      <c r="C1493" t="s">
        <v>1733</v>
      </c>
      <c r="D1493">
        <v>0</v>
      </c>
      <c r="E1493" s="104">
        <v>7156.28</v>
      </c>
      <c r="F1493" s="104">
        <v>9125.92</v>
      </c>
      <c r="G1493" s="104">
        <v>1969.64</v>
      </c>
      <c r="H1493" s="104">
        <f t="shared" si="23"/>
        <v>1969.64</v>
      </c>
    </row>
    <row r="1494" spans="3:8" x14ac:dyDescent="0.25">
      <c r="C1494" t="s">
        <v>2332</v>
      </c>
      <c r="D1494">
        <v>0</v>
      </c>
      <c r="E1494">
        <v>0</v>
      </c>
      <c r="F1494" s="104">
        <v>11137.5</v>
      </c>
      <c r="G1494" s="104">
        <v>11137.5</v>
      </c>
      <c r="H1494" s="104">
        <f t="shared" si="23"/>
        <v>11137.5</v>
      </c>
    </row>
    <row r="1495" spans="3:8" x14ac:dyDescent="0.25">
      <c r="C1495" t="s">
        <v>1734</v>
      </c>
      <c r="D1495">
        <v>0</v>
      </c>
      <c r="E1495">
        <v>0</v>
      </c>
      <c r="F1495" s="104">
        <v>3727.24</v>
      </c>
      <c r="G1495" s="104">
        <v>3727.24</v>
      </c>
      <c r="H1495" s="104">
        <f t="shared" si="23"/>
        <v>3727.24</v>
      </c>
    </row>
    <row r="1496" spans="3:8" x14ac:dyDescent="0.25">
      <c r="C1496" t="s">
        <v>2333</v>
      </c>
      <c r="D1496">
        <v>0</v>
      </c>
      <c r="E1496">
        <v>0</v>
      </c>
      <c r="F1496" s="104">
        <v>5426</v>
      </c>
      <c r="G1496" s="104">
        <v>5426</v>
      </c>
      <c r="H1496" s="104">
        <f t="shared" si="23"/>
        <v>5426</v>
      </c>
    </row>
    <row r="1497" spans="3:8" x14ac:dyDescent="0.25">
      <c r="C1497" t="s">
        <v>2334</v>
      </c>
      <c r="D1497">
        <v>0</v>
      </c>
      <c r="E1497">
        <v>0</v>
      </c>
      <c r="F1497" s="104">
        <v>8391.9699999999993</v>
      </c>
      <c r="G1497" s="104">
        <v>8391.9699999999993</v>
      </c>
      <c r="H1497" s="104">
        <f t="shared" si="23"/>
        <v>8391.9699999999993</v>
      </c>
    </row>
    <row r="1498" spans="3:8" x14ac:dyDescent="0.25">
      <c r="C1498" t="s">
        <v>2335</v>
      </c>
      <c r="D1498">
        <v>0</v>
      </c>
      <c r="E1498">
        <v>0</v>
      </c>
      <c r="F1498" s="104">
        <v>6696.43</v>
      </c>
      <c r="G1498" s="104">
        <v>6696.43</v>
      </c>
      <c r="H1498" s="104">
        <f t="shared" si="23"/>
        <v>6696.43</v>
      </c>
    </row>
    <row r="1499" spans="3:8" x14ac:dyDescent="0.25">
      <c r="C1499" t="s">
        <v>2336</v>
      </c>
      <c r="D1499">
        <v>0</v>
      </c>
      <c r="E1499">
        <v>0</v>
      </c>
      <c r="F1499" s="104">
        <v>5028.8900000000003</v>
      </c>
      <c r="G1499" s="104">
        <v>5028.8900000000003</v>
      </c>
      <c r="H1499" s="104">
        <f t="shared" si="23"/>
        <v>5028.8900000000003</v>
      </c>
    </row>
    <row r="1500" spans="3:8" x14ac:dyDescent="0.25">
      <c r="C1500" t="s">
        <v>2154</v>
      </c>
      <c r="D1500">
        <v>0</v>
      </c>
      <c r="E1500">
        <v>0</v>
      </c>
      <c r="F1500" s="104">
        <v>47808.83</v>
      </c>
      <c r="G1500" s="104">
        <v>47808.83</v>
      </c>
      <c r="H1500" s="104">
        <f t="shared" si="23"/>
        <v>47808.83</v>
      </c>
    </row>
    <row r="1501" spans="3:8" x14ac:dyDescent="0.25">
      <c r="C1501" t="s">
        <v>2337</v>
      </c>
      <c r="D1501">
        <v>0</v>
      </c>
      <c r="E1501">
        <v>0</v>
      </c>
      <c r="F1501" s="104">
        <v>110532.97</v>
      </c>
      <c r="G1501" s="104">
        <v>110532.97</v>
      </c>
      <c r="H1501" s="104">
        <f t="shared" si="23"/>
        <v>110532.97</v>
      </c>
    </row>
    <row r="1502" spans="3:8" x14ac:dyDescent="0.25">
      <c r="C1502" t="s">
        <v>2338</v>
      </c>
      <c r="D1502">
        <v>0</v>
      </c>
      <c r="E1502">
        <v>0</v>
      </c>
      <c r="F1502" s="104">
        <v>13750.45</v>
      </c>
      <c r="G1502" s="104">
        <v>13750.45</v>
      </c>
      <c r="H1502" s="104">
        <f t="shared" si="23"/>
        <v>13750.45</v>
      </c>
    </row>
    <row r="1503" spans="3:8" x14ac:dyDescent="0.25">
      <c r="C1503" t="s">
        <v>2339</v>
      </c>
      <c r="D1503">
        <v>0</v>
      </c>
      <c r="E1503">
        <v>0</v>
      </c>
      <c r="F1503" s="104">
        <v>107256.23</v>
      </c>
      <c r="G1503" s="104">
        <v>107256.23</v>
      </c>
      <c r="H1503" s="104">
        <f t="shared" si="23"/>
        <v>107256.23</v>
      </c>
    </row>
    <row r="1504" spans="3:8" x14ac:dyDescent="0.25">
      <c r="C1504" t="s">
        <v>2340</v>
      </c>
      <c r="D1504">
        <v>0</v>
      </c>
      <c r="E1504">
        <v>0</v>
      </c>
      <c r="F1504">
        <v>236.61</v>
      </c>
      <c r="G1504">
        <v>236.61</v>
      </c>
      <c r="H1504" s="104">
        <f t="shared" si="23"/>
        <v>236.61</v>
      </c>
    </row>
    <row r="1505" spans="2:8" x14ac:dyDescent="0.25">
      <c r="C1505" t="s">
        <v>2341</v>
      </c>
      <c r="D1505">
        <v>0</v>
      </c>
      <c r="E1505">
        <v>0</v>
      </c>
      <c r="F1505" s="104">
        <v>7366.07</v>
      </c>
      <c r="G1505" s="104">
        <v>7366.07</v>
      </c>
      <c r="H1505" s="104">
        <f t="shared" si="23"/>
        <v>7366.07</v>
      </c>
    </row>
    <row r="1506" spans="2:8" x14ac:dyDescent="0.25">
      <c r="C1506" t="s">
        <v>2342</v>
      </c>
      <c r="D1506">
        <v>0</v>
      </c>
      <c r="E1506">
        <v>0</v>
      </c>
      <c r="F1506" s="104">
        <v>65250</v>
      </c>
      <c r="G1506" s="104">
        <v>65250</v>
      </c>
      <c r="H1506" s="104">
        <f t="shared" si="23"/>
        <v>65250</v>
      </c>
    </row>
    <row r="1507" spans="2:8" x14ac:dyDescent="0.25">
      <c r="C1507" t="s">
        <v>2343</v>
      </c>
      <c r="D1507">
        <v>0</v>
      </c>
      <c r="E1507">
        <v>0</v>
      </c>
      <c r="F1507" s="104">
        <v>13901.14</v>
      </c>
      <c r="G1507" s="104">
        <v>13901.14</v>
      </c>
      <c r="H1507" s="104">
        <f t="shared" si="23"/>
        <v>13901.14</v>
      </c>
    </row>
    <row r="1508" spans="2:8" x14ac:dyDescent="0.25">
      <c r="C1508" t="s">
        <v>2344</v>
      </c>
      <c r="D1508">
        <v>0</v>
      </c>
      <c r="E1508">
        <v>0</v>
      </c>
      <c r="F1508" s="104">
        <v>8222.5499999999993</v>
      </c>
      <c r="G1508" s="104">
        <v>8222.5499999999993</v>
      </c>
      <c r="H1508" s="104">
        <f t="shared" si="23"/>
        <v>8222.5499999999993</v>
      </c>
    </row>
    <row r="1509" spans="2:8" x14ac:dyDescent="0.25">
      <c r="C1509" t="s">
        <v>2345</v>
      </c>
      <c r="D1509">
        <v>0</v>
      </c>
      <c r="E1509">
        <v>0</v>
      </c>
      <c r="F1509" s="104">
        <v>30000</v>
      </c>
      <c r="G1509" s="104">
        <v>30000</v>
      </c>
      <c r="H1509" s="104">
        <f t="shared" si="23"/>
        <v>30000</v>
      </c>
    </row>
    <row r="1510" spans="2:8" x14ac:dyDescent="0.25">
      <c r="B1510" t="s">
        <v>1587</v>
      </c>
      <c r="D1510" s="104">
        <v>19611242.489999998</v>
      </c>
      <c r="E1510" s="104">
        <v>26435808.27</v>
      </c>
      <c r="F1510" s="104">
        <v>48405654.310000002</v>
      </c>
      <c r="G1510" s="104">
        <v>41581088.530000001</v>
      </c>
      <c r="H1510" s="832">
        <f t="shared" si="23"/>
        <v>21969846.040000003</v>
      </c>
    </row>
    <row r="1511" spans="2:8" x14ac:dyDescent="0.25">
      <c r="H1511" s="104"/>
    </row>
    <row r="1512" spans="2:8" x14ac:dyDescent="0.25">
      <c r="B1512" t="s">
        <v>2346</v>
      </c>
      <c r="C1512" t="s">
        <v>275</v>
      </c>
      <c r="H1512" s="104"/>
    </row>
    <row r="1513" spans="2:8" x14ac:dyDescent="0.25">
      <c r="C1513" t="s">
        <v>2268</v>
      </c>
      <c r="D1513" s="104">
        <v>80963.41</v>
      </c>
      <c r="E1513" s="104">
        <v>3839587.78</v>
      </c>
      <c r="F1513" s="104">
        <v>4460741.04</v>
      </c>
      <c r="G1513" s="104">
        <v>702116.67</v>
      </c>
      <c r="H1513" s="104">
        <f t="shared" si="23"/>
        <v>621153.26</v>
      </c>
    </row>
    <row r="1514" spans="2:8" x14ac:dyDescent="0.25">
      <c r="C1514" t="s">
        <v>1940</v>
      </c>
      <c r="D1514" s="104">
        <v>31597.39</v>
      </c>
      <c r="E1514">
        <v>0</v>
      </c>
      <c r="F1514">
        <v>0</v>
      </c>
      <c r="G1514" s="104">
        <v>31597.39</v>
      </c>
      <c r="H1514" s="104">
        <f t="shared" si="23"/>
        <v>0</v>
      </c>
    </row>
    <row r="1515" spans="2:8" x14ac:dyDescent="0.25">
      <c r="C1515" t="s">
        <v>2026</v>
      </c>
      <c r="D1515" s="104">
        <v>2944.54</v>
      </c>
      <c r="E1515">
        <v>0</v>
      </c>
      <c r="F1515">
        <v>0</v>
      </c>
      <c r="G1515" s="104">
        <v>2944.54</v>
      </c>
      <c r="H1515" s="104">
        <f t="shared" si="23"/>
        <v>0</v>
      </c>
    </row>
    <row r="1516" spans="2:8" x14ac:dyDescent="0.25">
      <c r="C1516" t="s">
        <v>1945</v>
      </c>
      <c r="D1516" s="104">
        <v>24839.29</v>
      </c>
      <c r="E1516">
        <v>0</v>
      </c>
      <c r="F1516">
        <v>0</v>
      </c>
      <c r="G1516" s="104">
        <v>24839.29</v>
      </c>
      <c r="H1516" s="104">
        <f t="shared" si="23"/>
        <v>0</v>
      </c>
    </row>
    <row r="1517" spans="2:8" x14ac:dyDescent="0.25">
      <c r="C1517" t="s">
        <v>2347</v>
      </c>
      <c r="D1517" s="104">
        <v>48992.04</v>
      </c>
      <c r="E1517">
        <v>0</v>
      </c>
      <c r="F1517">
        <v>0</v>
      </c>
      <c r="G1517" s="104">
        <v>48992.04</v>
      </c>
      <c r="H1517" s="104">
        <f t="shared" si="23"/>
        <v>0</v>
      </c>
    </row>
    <row r="1518" spans="2:8" x14ac:dyDescent="0.25">
      <c r="C1518" t="s">
        <v>1978</v>
      </c>
      <c r="D1518" s="104">
        <v>15965.71</v>
      </c>
      <c r="E1518">
        <v>0</v>
      </c>
      <c r="F1518">
        <v>0</v>
      </c>
      <c r="G1518" s="104">
        <v>15965.71</v>
      </c>
      <c r="H1518" s="104">
        <f t="shared" si="23"/>
        <v>0</v>
      </c>
    </row>
    <row r="1519" spans="2:8" x14ac:dyDescent="0.25">
      <c r="C1519" t="s">
        <v>2348</v>
      </c>
      <c r="D1519" s="104">
        <v>7546.56</v>
      </c>
      <c r="E1519">
        <v>0</v>
      </c>
      <c r="F1519">
        <v>0</v>
      </c>
      <c r="G1519" s="104">
        <v>7546.56</v>
      </c>
      <c r="H1519" s="104">
        <f t="shared" si="23"/>
        <v>0</v>
      </c>
    </row>
    <row r="1520" spans="2:8" x14ac:dyDescent="0.25">
      <c r="C1520" t="s">
        <v>2349</v>
      </c>
      <c r="D1520" s="104">
        <v>25000</v>
      </c>
      <c r="E1520">
        <v>0</v>
      </c>
      <c r="F1520">
        <v>0</v>
      </c>
      <c r="G1520" s="104">
        <v>25000</v>
      </c>
      <c r="H1520" s="104">
        <f t="shared" si="23"/>
        <v>0</v>
      </c>
    </row>
    <row r="1521" spans="2:8" x14ac:dyDescent="0.25">
      <c r="C1521" t="s">
        <v>2350</v>
      </c>
      <c r="D1521" s="104">
        <v>75000</v>
      </c>
      <c r="E1521">
        <v>0</v>
      </c>
      <c r="F1521">
        <v>0</v>
      </c>
      <c r="G1521" s="104">
        <v>75000</v>
      </c>
      <c r="H1521" s="104">
        <f t="shared" si="23"/>
        <v>0</v>
      </c>
    </row>
    <row r="1522" spans="2:8" x14ac:dyDescent="0.25">
      <c r="C1522" t="s">
        <v>2351</v>
      </c>
      <c r="D1522" s="104">
        <v>39732.720000000001</v>
      </c>
      <c r="E1522">
        <v>0</v>
      </c>
      <c r="F1522">
        <v>0</v>
      </c>
      <c r="G1522" s="104">
        <v>39732.720000000001</v>
      </c>
      <c r="H1522" s="104">
        <f t="shared" si="23"/>
        <v>0</v>
      </c>
    </row>
    <row r="1523" spans="2:8" x14ac:dyDescent="0.25">
      <c r="C1523" t="s">
        <v>2352</v>
      </c>
      <c r="D1523" s="104">
        <v>25000</v>
      </c>
      <c r="E1523">
        <v>0</v>
      </c>
      <c r="F1523">
        <v>0</v>
      </c>
      <c r="G1523" s="104">
        <v>25000</v>
      </c>
      <c r="H1523" s="104">
        <f t="shared" si="23"/>
        <v>0</v>
      </c>
    </row>
    <row r="1524" spans="2:8" x14ac:dyDescent="0.25">
      <c r="C1524" t="s">
        <v>2033</v>
      </c>
      <c r="D1524">
        <v>100</v>
      </c>
      <c r="E1524">
        <v>0</v>
      </c>
      <c r="F1524">
        <v>0</v>
      </c>
      <c r="G1524">
        <v>100</v>
      </c>
      <c r="H1524" s="104">
        <f t="shared" si="23"/>
        <v>0</v>
      </c>
    </row>
    <row r="1525" spans="2:8" x14ac:dyDescent="0.25">
      <c r="C1525" t="s">
        <v>2353</v>
      </c>
      <c r="D1525" s="104">
        <v>2800</v>
      </c>
      <c r="E1525">
        <v>0</v>
      </c>
      <c r="F1525">
        <v>0</v>
      </c>
      <c r="G1525" s="104">
        <v>2800</v>
      </c>
      <c r="H1525" s="104">
        <f t="shared" si="23"/>
        <v>0</v>
      </c>
    </row>
    <row r="1526" spans="2:8" x14ac:dyDescent="0.25">
      <c r="C1526" t="s">
        <v>2274</v>
      </c>
      <c r="D1526">
        <v>0</v>
      </c>
      <c r="E1526">
        <v>0</v>
      </c>
      <c r="F1526" s="104">
        <v>10416.67</v>
      </c>
      <c r="G1526" s="104">
        <v>10416.67</v>
      </c>
      <c r="H1526" s="104">
        <f t="shared" si="23"/>
        <v>10416.67</v>
      </c>
    </row>
    <row r="1527" spans="2:8" x14ac:dyDescent="0.25">
      <c r="C1527" t="s">
        <v>2354</v>
      </c>
      <c r="D1527">
        <v>0</v>
      </c>
      <c r="E1527">
        <v>0</v>
      </c>
      <c r="F1527" s="104">
        <v>22634.5</v>
      </c>
      <c r="G1527" s="104">
        <v>22634.5</v>
      </c>
      <c r="H1527" s="104">
        <f t="shared" si="23"/>
        <v>22634.5</v>
      </c>
    </row>
    <row r="1528" spans="2:8" x14ac:dyDescent="0.25">
      <c r="C1528" t="s">
        <v>2307</v>
      </c>
      <c r="D1528">
        <v>0</v>
      </c>
      <c r="E1528">
        <v>0.12</v>
      </c>
      <c r="F1528">
        <v>0.12</v>
      </c>
      <c r="G1528">
        <v>0</v>
      </c>
      <c r="H1528" s="104">
        <f t="shared" si="23"/>
        <v>0</v>
      </c>
    </row>
    <row r="1529" spans="2:8" x14ac:dyDescent="0.25">
      <c r="C1529" t="s">
        <v>1731</v>
      </c>
      <c r="D1529">
        <v>28</v>
      </c>
      <c r="E1529">
        <v>0</v>
      </c>
      <c r="F1529">
        <v>0</v>
      </c>
      <c r="G1529">
        <v>28</v>
      </c>
      <c r="H1529" s="104">
        <f t="shared" si="23"/>
        <v>0</v>
      </c>
    </row>
    <row r="1530" spans="2:8" x14ac:dyDescent="0.25">
      <c r="C1530" t="s">
        <v>2321</v>
      </c>
      <c r="D1530">
        <v>0.03</v>
      </c>
      <c r="E1530">
        <v>0</v>
      </c>
      <c r="F1530">
        <v>0</v>
      </c>
      <c r="G1530">
        <v>0.03</v>
      </c>
      <c r="H1530" s="104">
        <f t="shared" si="23"/>
        <v>0</v>
      </c>
    </row>
    <row r="1531" spans="2:8" x14ac:dyDescent="0.25">
      <c r="C1531" t="s">
        <v>2071</v>
      </c>
      <c r="D1531">
        <v>0</v>
      </c>
      <c r="E1531" s="104">
        <v>135434.57</v>
      </c>
      <c r="F1531" s="104">
        <v>135434.57</v>
      </c>
      <c r="G1531">
        <v>0</v>
      </c>
      <c r="H1531" s="104">
        <f t="shared" si="23"/>
        <v>0</v>
      </c>
    </row>
    <row r="1532" spans="2:8" x14ac:dyDescent="0.25">
      <c r="C1532" t="s">
        <v>2355</v>
      </c>
      <c r="D1532">
        <v>0</v>
      </c>
      <c r="E1532" s="104">
        <v>5138.6000000000004</v>
      </c>
      <c r="F1532" s="104">
        <v>1511451.25</v>
      </c>
      <c r="G1532" s="104">
        <v>1506312.65</v>
      </c>
      <c r="H1532" s="104">
        <f t="shared" si="23"/>
        <v>1506312.65</v>
      </c>
    </row>
    <row r="1533" spans="2:8" x14ac:dyDescent="0.25">
      <c r="C1533" t="s">
        <v>2356</v>
      </c>
      <c r="D1533">
        <v>0</v>
      </c>
      <c r="E1533" s="104">
        <v>2044.51</v>
      </c>
      <c r="F1533" s="104">
        <v>483494.89</v>
      </c>
      <c r="G1533" s="104">
        <v>481450.38</v>
      </c>
      <c r="H1533" s="104">
        <f t="shared" si="23"/>
        <v>481450.38</v>
      </c>
    </row>
    <row r="1534" spans="2:8" x14ac:dyDescent="0.25">
      <c r="C1534" t="s">
        <v>2155</v>
      </c>
      <c r="D1534">
        <v>0</v>
      </c>
      <c r="E1534">
        <v>0</v>
      </c>
      <c r="F1534" s="104">
        <v>10000</v>
      </c>
      <c r="G1534" s="104">
        <v>10000</v>
      </c>
      <c r="H1534" s="104">
        <f t="shared" si="23"/>
        <v>10000</v>
      </c>
    </row>
    <row r="1535" spans="2:8" x14ac:dyDescent="0.25">
      <c r="B1535" t="s">
        <v>1587</v>
      </c>
      <c r="D1535" s="104">
        <v>380509.69</v>
      </c>
      <c r="E1535" s="104">
        <v>3982205.58</v>
      </c>
      <c r="F1535" s="104">
        <v>6634173.04</v>
      </c>
      <c r="G1535" s="104">
        <v>3032477.15</v>
      </c>
      <c r="H1535" s="832">
        <f t="shared" si="23"/>
        <v>2651967.46</v>
      </c>
    </row>
    <row r="1536" spans="2:8" x14ac:dyDescent="0.25">
      <c r="H1536" s="104">
        <f t="shared" si="23"/>
        <v>0</v>
      </c>
    </row>
    <row r="1537" spans="2:8" x14ac:dyDescent="0.25">
      <c r="B1537">
        <v>30101020</v>
      </c>
      <c r="C1537" t="s">
        <v>348</v>
      </c>
      <c r="H1537" s="104">
        <f t="shared" si="23"/>
        <v>0</v>
      </c>
    </row>
    <row r="1538" spans="2:8" x14ac:dyDescent="0.25">
      <c r="C1538" t="s">
        <v>2357</v>
      </c>
      <c r="D1538" s="104">
        <v>8493703483.0699997</v>
      </c>
      <c r="E1538">
        <v>0</v>
      </c>
      <c r="F1538">
        <v>0</v>
      </c>
      <c r="G1538" s="104">
        <v>8493703483.0699997</v>
      </c>
      <c r="H1538" s="104">
        <f t="shared" si="23"/>
        <v>0</v>
      </c>
    </row>
    <row r="1539" spans="2:8" x14ac:dyDescent="0.25">
      <c r="B1539" t="s">
        <v>1587</v>
      </c>
      <c r="D1539" s="104">
        <v>8493703483.0699997</v>
      </c>
      <c r="E1539">
        <v>0</v>
      </c>
      <c r="F1539">
        <v>0</v>
      </c>
      <c r="G1539" s="104">
        <v>8493703483.0699997</v>
      </c>
      <c r="H1539" s="832">
        <f t="shared" si="23"/>
        <v>0</v>
      </c>
    </row>
    <row r="1540" spans="2:8" x14ac:dyDescent="0.25">
      <c r="H1540" s="104"/>
    </row>
    <row r="1541" spans="2:8" x14ac:dyDescent="0.25">
      <c r="B1541">
        <v>30101030</v>
      </c>
      <c r="C1541" t="s">
        <v>2358</v>
      </c>
      <c r="H1541" s="104"/>
    </row>
    <row r="1542" spans="2:8" x14ac:dyDescent="0.25">
      <c r="B1542">
        <v>30701010</v>
      </c>
      <c r="C1542" t="s">
        <v>352</v>
      </c>
      <c r="H1542" s="104"/>
    </row>
    <row r="1543" spans="2:8" x14ac:dyDescent="0.25">
      <c r="C1543" t="s">
        <v>2359</v>
      </c>
      <c r="D1543" s="104">
        <v>109100000</v>
      </c>
      <c r="E1543">
        <v>0</v>
      </c>
      <c r="F1543">
        <v>0</v>
      </c>
      <c r="G1543" s="104">
        <v>109100000</v>
      </c>
      <c r="H1543" s="104">
        <f t="shared" ref="H1543:H1603" si="24">G1543-D1543</f>
        <v>0</v>
      </c>
    </row>
    <row r="1544" spans="2:8" x14ac:dyDescent="0.25">
      <c r="C1544" t="s">
        <v>2360</v>
      </c>
      <c r="D1544" s="104">
        <v>18464501565.18</v>
      </c>
      <c r="E1544">
        <v>0</v>
      </c>
      <c r="F1544" s="104">
        <v>6394913910.9399996</v>
      </c>
      <c r="G1544" s="104">
        <v>24859415476.119999</v>
      </c>
      <c r="H1544" s="104">
        <f t="shared" si="24"/>
        <v>6394913910.9399986</v>
      </c>
    </row>
    <row r="1545" spans="2:8" x14ac:dyDescent="0.25">
      <c r="C1545" t="s">
        <v>2361</v>
      </c>
      <c r="D1545" s="104">
        <v>-1781299012.48</v>
      </c>
      <c r="E1545" s="104">
        <v>2494762.2400000002</v>
      </c>
      <c r="F1545" s="104">
        <v>464952.77</v>
      </c>
      <c r="G1545" s="104">
        <v>-1783328821.95</v>
      </c>
      <c r="H1545" s="104">
        <f t="shared" si="24"/>
        <v>-2029809.4700000286</v>
      </c>
    </row>
    <row r="1546" spans="2:8" x14ac:dyDescent="0.25">
      <c r="C1546" t="s">
        <v>2362</v>
      </c>
      <c r="D1546" s="104">
        <v>-33333.18</v>
      </c>
      <c r="E1546">
        <v>0</v>
      </c>
      <c r="F1546">
        <v>0</v>
      </c>
      <c r="G1546" s="104">
        <v>-33333.18</v>
      </c>
      <c r="H1546" s="104">
        <f t="shared" si="24"/>
        <v>0</v>
      </c>
    </row>
    <row r="1547" spans="2:8" x14ac:dyDescent="0.25">
      <c r="C1547" t="s">
        <v>1974</v>
      </c>
      <c r="D1547" s="104">
        <v>19354.84</v>
      </c>
      <c r="E1547">
        <v>0</v>
      </c>
      <c r="F1547">
        <v>0</v>
      </c>
      <c r="G1547" s="104">
        <v>19354.84</v>
      </c>
      <c r="H1547" s="104">
        <f t="shared" si="24"/>
        <v>0</v>
      </c>
    </row>
    <row r="1548" spans="2:8" x14ac:dyDescent="0.25">
      <c r="C1548" t="s">
        <v>2035</v>
      </c>
      <c r="D1548" s="104">
        <v>130548.9</v>
      </c>
      <c r="E1548">
        <v>0</v>
      </c>
      <c r="F1548">
        <v>0</v>
      </c>
      <c r="G1548" s="104">
        <v>130548.9</v>
      </c>
      <c r="H1548" s="104">
        <f t="shared" si="24"/>
        <v>0</v>
      </c>
    </row>
    <row r="1549" spans="2:8" x14ac:dyDescent="0.25">
      <c r="C1549" t="s">
        <v>2270</v>
      </c>
      <c r="D1549">
        <v>-0.01</v>
      </c>
      <c r="E1549">
        <v>0</v>
      </c>
      <c r="F1549">
        <v>0</v>
      </c>
      <c r="G1549">
        <v>-0.01</v>
      </c>
      <c r="H1549" s="104">
        <f t="shared" si="24"/>
        <v>0</v>
      </c>
    </row>
    <row r="1550" spans="2:8" x14ac:dyDescent="0.25">
      <c r="C1550" t="s">
        <v>2073</v>
      </c>
      <c r="D1550" s="104">
        <v>5676471.4699999997</v>
      </c>
      <c r="E1550">
        <v>0.04</v>
      </c>
      <c r="F1550">
        <v>0.01</v>
      </c>
      <c r="G1550" s="104">
        <v>5676471.4400000004</v>
      </c>
      <c r="H1550" s="104">
        <f t="shared" si="24"/>
        <v>-2.9999999329447746E-2</v>
      </c>
    </row>
    <row r="1551" spans="2:8" x14ac:dyDescent="0.25">
      <c r="C1551" t="s">
        <v>1819</v>
      </c>
      <c r="D1551" s="104">
        <v>25926.74</v>
      </c>
      <c r="E1551">
        <v>0</v>
      </c>
      <c r="F1551">
        <v>0</v>
      </c>
      <c r="G1551" s="104">
        <v>25926.74</v>
      </c>
      <c r="H1551" s="104">
        <f t="shared" si="24"/>
        <v>0</v>
      </c>
    </row>
    <row r="1552" spans="2:8" x14ac:dyDescent="0.25">
      <c r="C1552" t="s">
        <v>2033</v>
      </c>
      <c r="D1552">
        <v>0</v>
      </c>
      <c r="E1552">
        <v>0</v>
      </c>
      <c r="F1552">
        <v>100</v>
      </c>
      <c r="G1552">
        <v>100</v>
      </c>
      <c r="H1552" s="104">
        <f t="shared" si="24"/>
        <v>100</v>
      </c>
    </row>
    <row r="1553" spans="3:8" x14ac:dyDescent="0.25">
      <c r="C1553" t="s">
        <v>2363</v>
      </c>
      <c r="D1553" s="104">
        <v>2500</v>
      </c>
      <c r="E1553">
        <v>0</v>
      </c>
      <c r="F1553">
        <v>0</v>
      </c>
      <c r="G1553" s="104">
        <v>2500</v>
      </c>
      <c r="H1553" s="104">
        <f t="shared" si="24"/>
        <v>0</v>
      </c>
    </row>
    <row r="1554" spans="3:8" x14ac:dyDescent="0.25">
      <c r="C1554" t="s">
        <v>2273</v>
      </c>
      <c r="D1554">
        <v>0</v>
      </c>
      <c r="E1554">
        <v>0</v>
      </c>
      <c r="F1554" s="104">
        <v>66666.66</v>
      </c>
      <c r="G1554" s="104">
        <v>66666.66</v>
      </c>
      <c r="H1554" s="104">
        <f t="shared" si="24"/>
        <v>66666.66</v>
      </c>
    </row>
    <row r="1555" spans="3:8" x14ac:dyDescent="0.25">
      <c r="C1555" t="s">
        <v>1955</v>
      </c>
      <c r="D1555" s="104">
        <v>1695.61</v>
      </c>
      <c r="E1555">
        <v>0</v>
      </c>
      <c r="F1555">
        <v>0</v>
      </c>
      <c r="G1555" s="104">
        <v>1695.61</v>
      </c>
      <c r="H1555" s="104">
        <f t="shared" si="24"/>
        <v>0</v>
      </c>
    </row>
    <row r="1556" spans="3:8" x14ac:dyDescent="0.25">
      <c r="C1556" t="s">
        <v>1893</v>
      </c>
      <c r="D1556" s="104">
        <v>-1173686169.95</v>
      </c>
      <c r="E1556" s="104">
        <v>89152600.180000007</v>
      </c>
      <c r="F1556">
        <v>0</v>
      </c>
      <c r="G1556" s="104">
        <v>-1262838770.1300001</v>
      </c>
      <c r="H1556" s="104">
        <f t="shared" si="24"/>
        <v>-89152600.180000067</v>
      </c>
    </row>
    <row r="1557" spans="3:8" x14ac:dyDescent="0.25">
      <c r="C1557" t="s">
        <v>1822</v>
      </c>
      <c r="D1557" s="104">
        <v>84451.24</v>
      </c>
      <c r="E1557">
        <v>0</v>
      </c>
      <c r="F1557">
        <v>0</v>
      </c>
      <c r="G1557" s="104">
        <v>84451.24</v>
      </c>
      <c r="H1557" s="104">
        <f t="shared" si="24"/>
        <v>0</v>
      </c>
    </row>
    <row r="1558" spans="3:8" x14ac:dyDescent="0.25">
      <c r="C1558" t="s">
        <v>1823</v>
      </c>
      <c r="D1558" s="104">
        <v>-181552.8</v>
      </c>
      <c r="E1558">
        <v>0</v>
      </c>
      <c r="F1558">
        <v>0</v>
      </c>
      <c r="G1558" s="104">
        <v>-181552.8</v>
      </c>
      <c r="H1558" s="104">
        <f t="shared" si="24"/>
        <v>0</v>
      </c>
    </row>
    <row r="1559" spans="3:8" x14ac:dyDescent="0.25">
      <c r="C1559" t="s">
        <v>2364</v>
      </c>
      <c r="D1559" s="104">
        <v>5357.14</v>
      </c>
      <c r="E1559">
        <v>0</v>
      </c>
      <c r="F1559">
        <v>0</v>
      </c>
      <c r="G1559" s="104">
        <v>5357.14</v>
      </c>
      <c r="H1559" s="104">
        <f t="shared" si="24"/>
        <v>0</v>
      </c>
    </row>
    <row r="1560" spans="3:8" x14ac:dyDescent="0.25">
      <c r="C1560" t="s">
        <v>2197</v>
      </c>
      <c r="D1560">
        <v>0</v>
      </c>
      <c r="E1560">
        <v>0</v>
      </c>
      <c r="F1560" s="104">
        <v>8590089.5099999998</v>
      </c>
      <c r="G1560" s="104">
        <v>8590089.5099999998</v>
      </c>
      <c r="H1560" s="104">
        <f t="shared" si="24"/>
        <v>8590089.5099999998</v>
      </c>
    </row>
    <row r="1561" spans="3:8" x14ac:dyDescent="0.25">
      <c r="C1561" t="s">
        <v>1824</v>
      </c>
      <c r="D1561" s="104">
        <v>5353.11</v>
      </c>
      <c r="E1561">
        <v>0</v>
      </c>
      <c r="F1561">
        <v>0</v>
      </c>
      <c r="G1561" s="104">
        <v>5353.11</v>
      </c>
      <c r="H1561" s="104">
        <f t="shared" si="24"/>
        <v>0</v>
      </c>
    </row>
    <row r="1562" spans="3:8" x14ac:dyDescent="0.25">
      <c r="C1562" t="s">
        <v>2004</v>
      </c>
      <c r="D1562">
        <v>0</v>
      </c>
      <c r="E1562" s="104">
        <v>315305.67</v>
      </c>
      <c r="F1562" s="104">
        <v>23962.61</v>
      </c>
      <c r="G1562" s="104">
        <v>-291343.06</v>
      </c>
      <c r="H1562" s="104">
        <f t="shared" si="24"/>
        <v>-291343.06</v>
      </c>
    </row>
    <row r="1563" spans="3:8" x14ac:dyDescent="0.25">
      <c r="C1563" t="s">
        <v>2160</v>
      </c>
      <c r="D1563" s="104">
        <v>11000</v>
      </c>
      <c r="E1563">
        <v>0</v>
      </c>
      <c r="F1563">
        <v>0</v>
      </c>
      <c r="G1563" s="104">
        <v>11000</v>
      </c>
      <c r="H1563" s="104">
        <f t="shared" si="24"/>
        <v>0</v>
      </c>
    </row>
    <row r="1564" spans="3:8" x14ac:dyDescent="0.25">
      <c r="C1564" t="s">
        <v>2005</v>
      </c>
      <c r="D1564">
        <v>0</v>
      </c>
      <c r="E1564" s="104">
        <v>56369.760000000002</v>
      </c>
      <c r="F1564">
        <v>0</v>
      </c>
      <c r="G1564" s="104">
        <v>-56369.760000000002</v>
      </c>
      <c r="H1564" s="104">
        <f t="shared" si="24"/>
        <v>-56369.760000000002</v>
      </c>
    </row>
    <row r="1565" spans="3:8" x14ac:dyDescent="0.25">
      <c r="C1565" t="s">
        <v>1855</v>
      </c>
      <c r="D1565" s="104">
        <v>740740.67</v>
      </c>
      <c r="E1565">
        <v>0</v>
      </c>
      <c r="F1565">
        <v>0</v>
      </c>
      <c r="G1565" s="104">
        <v>740740.67</v>
      </c>
      <c r="H1565" s="104">
        <f t="shared" si="24"/>
        <v>0</v>
      </c>
    </row>
    <row r="1566" spans="3:8" x14ac:dyDescent="0.25">
      <c r="C1566" t="s">
        <v>1804</v>
      </c>
      <c r="D1566" s="104">
        <v>18426100</v>
      </c>
      <c r="E1566">
        <v>0</v>
      </c>
      <c r="F1566">
        <v>0</v>
      </c>
      <c r="G1566" s="104">
        <v>18426100</v>
      </c>
      <c r="H1566" s="104">
        <f t="shared" si="24"/>
        <v>0</v>
      </c>
    </row>
    <row r="1567" spans="3:8" x14ac:dyDescent="0.25">
      <c r="C1567" t="s">
        <v>1828</v>
      </c>
      <c r="D1567" s="104">
        <v>-1393471</v>
      </c>
      <c r="E1567">
        <v>0</v>
      </c>
      <c r="F1567">
        <v>0</v>
      </c>
      <c r="G1567" s="104">
        <v>-1393471</v>
      </c>
      <c r="H1567" s="104">
        <f t="shared" si="24"/>
        <v>0</v>
      </c>
    </row>
    <row r="1568" spans="3:8" x14ac:dyDescent="0.25">
      <c r="C1568" t="s">
        <v>1787</v>
      </c>
      <c r="D1568" s="104">
        <v>-1119.92</v>
      </c>
      <c r="E1568">
        <v>0</v>
      </c>
      <c r="F1568">
        <v>0</v>
      </c>
      <c r="G1568" s="104">
        <v>-1119.92</v>
      </c>
      <c r="H1568" s="104">
        <f t="shared" si="24"/>
        <v>0</v>
      </c>
    </row>
    <row r="1569" spans="3:8" x14ac:dyDescent="0.25">
      <c r="C1569" t="s">
        <v>1768</v>
      </c>
      <c r="D1569" s="104">
        <v>112776.12</v>
      </c>
      <c r="E1569">
        <v>0</v>
      </c>
      <c r="F1569">
        <v>0</v>
      </c>
      <c r="G1569" s="104">
        <v>112776.12</v>
      </c>
      <c r="H1569" s="104">
        <f t="shared" si="24"/>
        <v>0</v>
      </c>
    </row>
    <row r="1570" spans="3:8" x14ac:dyDescent="0.25">
      <c r="C1570" t="s">
        <v>1857</v>
      </c>
      <c r="D1570" s="104">
        <v>3140.01</v>
      </c>
      <c r="E1570">
        <v>0</v>
      </c>
      <c r="F1570">
        <v>0</v>
      </c>
      <c r="G1570" s="104">
        <v>3140.01</v>
      </c>
      <c r="H1570" s="104">
        <f t="shared" si="24"/>
        <v>0</v>
      </c>
    </row>
    <row r="1571" spans="3:8" x14ac:dyDescent="0.25">
      <c r="C1571" t="s">
        <v>1745</v>
      </c>
      <c r="D1571" s="104">
        <v>1874812.02</v>
      </c>
      <c r="E1571">
        <v>0</v>
      </c>
      <c r="F1571">
        <v>0</v>
      </c>
      <c r="G1571" s="104">
        <v>1874812.02</v>
      </c>
      <c r="H1571" s="104">
        <f t="shared" si="24"/>
        <v>0</v>
      </c>
    </row>
    <row r="1572" spans="3:8" x14ac:dyDescent="0.25">
      <c r="C1572" t="s">
        <v>1753</v>
      </c>
      <c r="D1572" s="104">
        <v>-50299841.75</v>
      </c>
      <c r="E1572">
        <v>0</v>
      </c>
      <c r="F1572" s="104">
        <v>36298405.43</v>
      </c>
      <c r="G1572" s="104">
        <v>-14001436.32</v>
      </c>
      <c r="H1572" s="104">
        <f t="shared" si="24"/>
        <v>36298405.43</v>
      </c>
    </row>
    <row r="1573" spans="3:8" x14ac:dyDescent="0.25">
      <c r="C1573" t="s">
        <v>2161</v>
      </c>
      <c r="D1573">
        <v>0</v>
      </c>
      <c r="E1573">
        <v>0</v>
      </c>
      <c r="F1573">
        <v>270</v>
      </c>
      <c r="G1573">
        <v>270</v>
      </c>
      <c r="H1573" s="104">
        <f t="shared" si="24"/>
        <v>270</v>
      </c>
    </row>
    <row r="1574" spans="3:8" x14ac:dyDescent="0.25">
      <c r="C1574" t="s">
        <v>1754</v>
      </c>
      <c r="D1574">
        <v>0</v>
      </c>
      <c r="E1574" s="104">
        <v>240830.4</v>
      </c>
      <c r="F1574">
        <v>0</v>
      </c>
      <c r="G1574" s="104">
        <v>-240830.4</v>
      </c>
      <c r="H1574" s="104">
        <f t="shared" si="24"/>
        <v>-240830.4</v>
      </c>
    </row>
    <row r="1575" spans="3:8" x14ac:dyDescent="0.25">
      <c r="C1575" t="s">
        <v>1805</v>
      </c>
      <c r="D1575" s="104">
        <v>51500000</v>
      </c>
      <c r="E1575">
        <v>0</v>
      </c>
      <c r="F1575">
        <v>0</v>
      </c>
      <c r="G1575" s="104">
        <v>51500000</v>
      </c>
      <c r="H1575" s="104">
        <f t="shared" si="24"/>
        <v>0</v>
      </c>
    </row>
    <row r="1576" spans="3:8" x14ac:dyDescent="0.25">
      <c r="C1576" t="s">
        <v>1806</v>
      </c>
      <c r="D1576" s="104">
        <v>440000</v>
      </c>
      <c r="E1576">
        <v>0</v>
      </c>
      <c r="F1576">
        <v>0</v>
      </c>
      <c r="G1576" s="104">
        <v>440000</v>
      </c>
      <c r="H1576" s="104">
        <f t="shared" si="24"/>
        <v>0</v>
      </c>
    </row>
    <row r="1577" spans="3:8" x14ac:dyDescent="0.25">
      <c r="C1577" t="s">
        <v>1830</v>
      </c>
      <c r="D1577" s="104">
        <v>188459.58</v>
      </c>
      <c r="E1577">
        <v>0</v>
      </c>
      <c r="F1577">
        <v>0</v>
      </c>
      <c r="G1577" s="104">
        <v>188459.58</v>
      </c>
      <c r="H1577" s="104">
        <f t="shared" si="24"/>
        <v>0</v>
      </c>
    </row>
    <row r="1578" spans="3:8" x14ac:dyDescent="0.25">
      <c r="C1578" t="s">
        <v>1755</v>
      </c>
      <c r="D1578" s="104">
        <v>-3400756.82</v>
      </c>
      <c r="E1578" s="104">
        <v>817343.9</v>
      </c>
      <c r="F1578">
        <v>0</v>
      </c>
      <c r="G1578" s="104">
        <v>-4218100.72</v>
      </c>
      <c r="H1578" s="104">
        <f t="shared" si="24"/>
        <v>-817343.89999999991</v>
      </c>
    </row>
    <row r="1579" spans="3:8" x14ac:dyDescent="0.25">
      <c r="C1579" t="s">
        <v>1756</v>
      </c>
      <c r="D1579" s="104">
        <v>6135961.2599999998</v>
      </c>
      <c r="E1579" s="104">
        <v>11840646.199999999</v>
      </c>
      <c r="F1579">
        <v>0</v>
      </c>
      <c r="G1579" s="104">
        <v>-5704684.9400000004</v>
      </c>
      <c r="H1579" s="104">
        <f t="shared" si="24"/>
        <v>-11840646.199999999</v>
      </c>
    </row>
    <row r="1580" spans="3:8" x14ac:dyDescent="0.25">
      <c r="C1580" t="s">
        <v>2098</v>
      </c>
      <c r="D1580">
        <v>0</v>
      </c>
      <c r="E1580" s="104">
        <v>11788475.220000001</v>
      </c>
      <c r="F1580">
        <v>0</v>
      </c>
      <c r="G1580" s="104">
        <v>-11788475.220000001</v>
      </c>
      <c r="H1580" s="104">
        <f t="shared" si="24"/>
        <v>-11788475.220000001</v>
      </c>
    </row>
    <row r="1581" spans="3:8" x14ac:dyDescent="0.25">
      <c r="C1581" t="s">
        <v>2365</v>
      </c>
      <c r="D1581" s="104">
        <v>12345.54</v>
      </c>
      <c r="E1581">
        <v>0</v>
      </c>
      <c r="F1581">
        <v>0</v>
      </c>
      <c r="G1581" s="104">
        <v>12345.54</v>
      </c>
      <c r="H1581" s="104">
        <f t="shared" si="24"/>
        <v>0</v>
      </c>
    </row>
    <row r="1582" spans="3:8" x14ac:dyDescent="0.25">
      <c r="C1582" t="s">
        <v>1840</v>
      </c>
      <c r="D1582" s="104">
        <v>73274.7</v>
      </c>
      <c r="E1582">
        <v>0</v>
      </c>
      <c r="F1582">
        <v>0</v>
      </c>
      <c r="G1582" s="104">
        <v>73274.7</v>
      </c>
      <c r="H1582" s="104">
        <f t="shared" si="24"/>
        <v>0</v>
      </c>
    </row>
    <row r="1583" spans="3:8" x14ac:dyDescent="0.25">
      <c r="C1583" t="s">
        <v>2256</v>
      </c>
      <c r="D1583" s="104">
        <v>-138146693.34</v>
      </c>
      <c r="E1583">
        <v>0</v>
      </c>
      <c r="F1583">
        <v>0</v>
      </c>
      <c r="G1583" s="104">
        <v>-138146693.34</v>
      </c>
      <c r="H1583" s="104">
        <f t="shared" si="24"/>
        <v>0</v>
      </c>
    </row>
    <row r="1584" spans="3:8" x14ac:dyDescent="0.25">
      <c r="C1584" t="s">
        <v>2366</v>
      </c>
      <c r="D1584" s="104">
        <v>4800</v>
      </c>
      <c r="E1584">
        <v>0</v>
      </c>
      <c r="F1584">
        <v>0</v>
      </c>
      <c r="G1584" s="104">
        <v>4800</v>
      </c>
      <c r="H1584" s="104">
        <f t="shared" si="24"/>
        <v>0</v>
      </c>
    </row>
    <row r="1585" spans="3:8" x14ac:dyDescent="0.25">
      <c r="C1585" t="s">
        <v>2367</v>
      </c>
      <c r="D1585" s="104">
        <v>225000</v>
      </c>
      <c r="E1585">
        <v>0</v>
      </c>
      <c r="F1585">
        <v>0</v>
      </c>
      <c r="G1585" s="104">
        <v>225000</v>
      </c>
      <c r="H1585" s="104">
        <f t="shared" si="24"/>
        <v>0</v>
      </c>
    </row>
    <row r="1586" spans="3:8" x14ac:dyDescent="0.25">
      <c r="C1586" t="s">
        <v>2280</v>
      </c>
      <c r="D1586" s="104">
        <v>-7737</v>
      </c>
      <c r="E1586">
        <v>0</v>
      </c>
      <c r="F1586">
        <v>0</v>
      </c>
      <c r="G1586" s="104">
        <v>-7737</v>
      </c>
      <c r="H1586" s="104">
        <f t="shared" si="24"/>
        <v>0</v>
      </c>
    </row>
    <row r="1587" spans="3:8" x14ac:dyDescent="0.25">
      <c r="C1587" t="s">
        <v>2266</v>
      </c>
      <c r="D1587">
        <v>0</v>
      </c>
      <c r="E1587">
        <v>0</v>
      </c>
      <c r="F1587" s="104">
        <v>71500</v>
      </c>
      <c r="G1587" s="104">
        <v>71500</v>
      </c>
      <c r="H1587" s="104">
        <f t="shared" si="24"/>
        <v>71500</v>
      </c>
    </row>
    <row r="1588" spans="3:8" x14ac:dyDescent="0.25">
      <c r="C1588" t="s">
        <v>1842</v>
      </c>
      <c r="D1588" s="104">
        <v>-21831.67</v>
      </c>
      <c r="E1588">
        <v>0</v>
      </c>
      <c r="F1588">
        <v>0</v>
      </c>
      <c r="G1588" s="104">
        <v>-21831.67</v>
      </c>
      <c r="H1588" s="104">
        <f t="shared" si="24"/>
        <v>0</v>
      </c>
    </row>
    <row r="1589" spans="3:8" x14ac:dyDescent="0.25">
      <c r="C1589" t="s">
        <v>1807</v>
      </c>
      <c r="D1589" s="104">
        <v>45000</v>
      </c>
      <c r="E1589">
        <v>0</v>
      </c>
      <c r="F1589">
        <v>0</v>
      </c>
      <c r="G1589" s="104">
        <v>45000</v>
      </c>
      <c r="H1589" s="104">
        <f t="shared" si="24"/>
        <v>0</v>
      </c>
    </row>
    <row r="1590" spans="3:8" x14ac:dyDescent="0.25">
      <c r="C1590" t="s">
        <v>1844</v>
      </c>
      <c r="D1590" s="104">
        <v>96541.25</v>
      </c>
      <c r="E1590">
        <v>0</v>
      </c>
      <c r="F1590">
        <v>0</v>
      </c>
      <c r="G1590" s="104">
        <v>96541.25</v>
      </c>
      <c r="H1590" s="104">
        <f t="shared" si="24"/>
        <v>0</v>
      </c>
    </row>
    <row r="1591" spans="3:8" x14ac:dyDescent="0.25">
      <c r="C1591" t="s">
        <v>1845</v>
      </c>
      <c r="D1591" s="104">
        <v>-6262.89</v>
      </c>
      <c r="E1591">
        <v>0</v>
      </c>
      <c r="F1591">
        <v>0</v>
      </c>
      <c r="G1591" s="104">
        <v>-6262.89</v>
      </c>
      <c r="H1591" s="104">
        <f t="shared" si="24"/>
        <v>0</v>
      </c>
    </row>
    <row r="1592" spans="3:8" x14ac:dyDescent="0.25">
      <c r="C1592" t="s">
        <v>2368</v>
      </c>
      <c r="D1592" s="104">
        <v>356800</v>
      </c>
      <c r="E1592">
        <v>0</v>
      </c>
      <c r="F1592">
        <v>0</v>
      </c>
      <c r="G1592" s="104">
        <v>356800</v>
      </c>
      <c r="H1592" s="104">
        <f t="shared" si="24"/>
        <v>0</v>
      </c>
    </row>
    <row r="1593" spans="3:8" x14ac:dyDescent="0.25">
      <c r="C1593" t="s">
        <v>1846</v>
      </c>
      <c r="D1593" s="104">
        <v>-23518.47</v>
      </c>
      <c r="E1593">
        <v>0</v>
      </c>
      <c r="F1593">
        <v>0</v>
      </c>
      <c r="G1593" s="104">
        <v>-23518.47</v>
      </c>
      <c r="H1593" s="104">
        <f t="shared" si="24"/>
        <v>0</v>
      </c>
    </row>
    <row r="1594" spans="3:8" x14ac:dyDescent="0.25">
      <c r="C1594" t="s">
        <v>2369</v>
      </c>
      <c r="D1594" s="104">
        <v>2399.5500000000002</v>
      </c>
      <c r="E1594">
        <v>0</v>
      </c>
      <c r="F1594">
        <v>0</v>
      </c>
      <c r="G1594" s="104">
        <v>2399.5500000000002</v>
      </c>
      <c r="H1594" s="104">
        <f t="shared" si="24"/>
        <v>0</v>
      </c>
    </row>
    <row r="1595" spans="3:8" x14ac:dyDescent="0.25">
      <c r="C1595" t="s">
        <v>1850</v>
      </c>
      <c r="D1595" s="104">
        <v>-273188.64</v>
      </c>
      <c r="E1595">
        <v>0</v>
      </c>
      <c r="F1595">
        <v>0</v>
      </c>
      <c r="G1595" s="104">
        <v>-273188.64</v>
      </c>
      <c r="H1595" s="104">
        <f t="shared" si="24"/>
        <v>0</v>
      </c>
    </row>
    <row r="1596" spans="3:8" x14ac:dyDescent="0.25">
      <c r="C1596" t="s">
        <v>1851</v>
      </c>
      <c r="D1596" s="104">
        <v>-1467.48</v>
      </c>
      <c r="E1596">
        <v>0</v>
      </c>
      <c r="F1596">
        <v>0</v>
      </c>
      <c r="G1596" s="104">
        <v>-1467.48</v>
      </c>
      <c r="H1596" s="104">
        <f t="shared" si="24"/>
        <v>0</v>
      </c>
    </row>
    <row r="1597" spans="3:8" x14ac:dyDescent="0.25">
      <c r="C1597" t="s">
        <v>1852</v>
      </c>
      <c r="D1597" s="104">
        <v>-37888.32</v>
      </c>
      <c r="E1597">
        <v>0</v>
      </c>
      <c r="F1597">
        <v>0</v>
      </c>
      <c r="G1597" s="104">
        <v>-37888.32</v>
      </c>
      <c r="H1597" s="104">
        <f t="shared" si="24"/>
        <v>0</v>
      </c>
    </row>
    <row r="1598" spans="3:8" x14ac:dyDescent="0.25">
      <c r="C1598" t="s">
        <v>1862</v>
      </c>
      <c r="D1598" s="104">
        <v>-13781.25</v>
      </c>
      <c r="E1598">
        <v>0</v>
      </c>
      <c r="F1598">
        <v>0</v>
      </c>
      <c r="G1598" s="104">
        <v>-13781.25</v>
      </c>
      <c r="H1598" s="104">
        <f t="shared" si="24"/>
        <v>0</v>
      </c>
    </row>
    <row r="1599" spans="3:8" x14ac:dyDescent="0.25">
      <c r="C1599" t="s">
        <v>2370</v>
      </c>
      <c r="D1599" s="104">
        <v>90000</v>
      </c>
      <c r="E1599">
        <v>0</v>
      </c>
      <c r="F1599">
        <v>0</v>
      </c>
      <c r="G1599" s="104">
        <v>90000</v>
      </c>
      <c r="H1599" s="104">
        <f t="shared" si="24"/>
        <v>0</v>
      </c>
    </row>
    <row r="1600" spans="3:8" x14ac:dyDescent="0.25">
      <c r="C1600" t="s">
        <v>1853</v>
      </c>
      <c r="D1600">
        <v>-496.83</v>
      </c>
      <c r="E1600">
        <v>0</v>
      </c>
      <c r="F1600">
        <v>0</v>
      </c>
      <c r="G1600">
        <v>-496.83</v>
      </c>
      <c r="H1600" s="104">
        <f t="shared" si="24"/>
        <v>0</v>
      </c>
    </row>
    <row r="1601" spans="3:8" x14ac:dyDescent="0.25">
      <c r="C1601" t="s">
        <v>2267</v>
      </c>
      <c r="D1601" s="104">
        <v>-36363.629999999997</v>
      </c>
      <c r="E1601">
        <v>0</v>
      </c>
      <c r="F1601" s="104">
        <v>200000</v>
      </c>
      <c r="G1601" s="104">
        <v>163636.37</v>
      </c>
      <c r="H1601" s="104">
        <f t="shared" si="24"/>
        <v>200000</v>
      </c>
    </row>
    <row r="1602" spans="3:8" x14ac:dyDescent="0.25">
      <c r="C1602" t="s">
        <v>2371</v>
      </c>
      <c r="D1602" s="104">
        <v>-4131.32</v>
      </c>
      <c r="E1602">
        <v>0</v>
      </c>
      <c r="F1602">
        <v>0</v>
      </c>
      <c r="G1602" s="104">
        <v>-4131.32</v>
      </c>
      <c r="H1602" s="104">
        <f t="shared" si="24"/>
        <v>0</v>
      </c>
    </row>
    <row r="1603" spans="3:8" x14ac:dyDescent="0.25">
      <c r="C1603" t="s">
        <v>1867</v>
      </c>
      <c r="D1603" s="104">
        <v>-35518.94</v>
      </c>
      <c r="E1603">
        <v>0</v>
      </c>
      <c r="F1603">
        <v>0</v>
      </c>
      <c r="G1603" s="104">
        <v>-35518.94</v>
      </c>
      <c r="H1603" s="104">
        <f t="shared" si="24"/>
        <v>0</v>
      </c>
    </row>
    <row r="1604" spans="3:8" x14ac:dyDescent="0.25">
      <c r="C1604" t="s">
        <v>2253</v>
      </c>
      <c r="D1604" s="104">
        <v>8376944.0499999998</v>
      </c>
      <c r="E1604">
        <v>0</v>
      </c>
      <c r="F1604">
        <v>0</v>
      </c>
      <c r="G1604" s="104">
        <v>8376944.0499999998</v>
      </c>
      <c r="H1604" s="104">
        <f t="shared" ref="H1604:H1636" si="25">G1604-D1604</f>
        <v>0</v>
      </c>
    </row>
    <row r="1605" spans="3:8" x14ac:dyDescent="0.25">
      <c r="C1605" t="s">
        <v>2372</v>
      </c>
      <c r="D1605" s="104">
        <v>-15142.86</v>
      </c>
      <c r="E1605">
        <v>0</v>
      </c>
      <c r="F1605">
        <v>0</v>
      </c>
      <c r="G1605" s="104">
        <v>-15142.86</v>
      </c>
      <c r="H1605" s="104">
        <f t="shared" si="25"/>
        <v>0</v>
      </c>
    </row>
    <row r="1606" spans="3:8" x14ac:dyDescent="0.25">
      <c r="C1606" t="s">
        <v>2268</v>
      </c>
      <c r="D1606" s="104">
        <v>181196.98</v>
      </c>
      <c r="E1606">
        <v>0</v>
      </c>
      <c r="F1606">
        <v>0</v>
      </c>
      <c r="G1606" s="104">
        <v>181196.98</v>
      </c>
      <c r="H1606" s="104">
        <f t="shared" si="25"/>
        <v>0</v>
      </c>
    </row>
    <row r="1607" spans="3:8" x14ac:dyDescent="0.25">
      <c r="C1607" t="s">
        <v>2373</v>
      </c>
      <c r="D1607">
        <v>247.77</v>
      </c>
      <c r="E1607">
        <v>0</v>
      </c>
      <c r="F1607">
        <v>0</v>
      </c>
      <c r="G1607">
        <v>247.77</v>
      </c>
      <c r="H1607" s="104">
        <f t="shared" si="25"/>
        <v>0</v>
      </c>
    </row>
    <row r="1608" spans="3:8" x14ac:dyDescent="0.25">
      <c r="C1608" t="s">
        <v>2374</v>
      </c>
      <c r="D1608" s="104">
        <v>107625</v>
      </c>
      <c r="E1608">
        <v>0</v>
      </c>
      <c r="F1608">
        <v>0</v>
      </c>
      <c r="G1608" s="104">
        <v>107625</v>
      </c>
      <c r="H1608" s="104">
        <f t="shared" si="25"/>
        <v>0</v>
      </c>
    </row>
    <row r="1609" spans="3:8" x14ac:dyDescent="0.25">
      <c r="C1609" t="s">
        <v>1814</v>
      </c>
      <c r="D1609" s="104">
        <v>-133521.98000000001</v>
      </c>
      <c r="E1609">
        <v>0</v>
      </c>
      <c r="F1609">
        <v>0.02</v>
      </c>
      <c r="G1609" s="104">
        <v>-133521.96</v>
      </c>
      <c r="H1609" s="104">
        <f t="shared" si="25"/>
        <v>2.0000000018626451E-2</v>
      </c>
    </row>
    <row r="1610" spans="3:8" x14ac:dyDescent="0.25">
      <c r="C1610" t="s">
        <v>1724</v>
      </c>
      <c r="D1610" s="104">
        <v>2979.99</v>
      </c>
      <c r="E1610">
        <v>0</v>
      </c>
      <c r="F1610">
        <v>0</v>
      </c>
      <c r="G1610" s="104">
        <v>2979.99</v>
      </c>
      <c r="H1610" s="104">
        <f t="shared" si="25"/>
        <v>0</v>
      </c>
    </row>
    <row r="1611" spans="3:8" x14ac:dyDescent="0.25">
      <c r="C1611" t="s">
        <v>2204</v>
      </c>
      <c r="D1611" s="104">
        <v>3297.11</v>
      </c>
      <c r="E1611">
        <v>0</v>
      </c>
      <c r="F1611">
        <v>0</v>
      </c>
      <c r="G1611" s="104">
        <v>3297.11</v>
      </c>
      <c r="H1611" s="104">
        <f t="shared" si="25"/>
        <v>0</v>
      </c>
    </row>
    <row r="1612" spans="3:8" x14ac:dyDescent="0.25">
      <c r="C1612" t="s">
        <v>2375</v>
      </c>
      <c r="D1612" s="104">
        <v>1057.5</v>
      </c>
      <c r="E1612">
        <v>0</v>
      </c>
      <c r="F1612">
        <v>0</v>
      </c>
      <c r="G1612" s="104">
        <v>1057.5</v>
      </c>
      <c r="H1612" s="104">
        <f t="shared" si="25"/>
        <v>0</v>
      </c>
    </row>
    <row r="1613" spans="3:8" x14ac:dyDescent="0.25">
      <c r="C1613" t="s">
        <v>2376</v>
      </c>
      <c r="D1613" s="104">
        <v>120723.43</v>
      </c>
      <c r="E1613">
        <v>0</v>
      </c>
      <c r="F1613">
        <v>0</v>
      </c>
      <c r="G1613" s="104">
        <v>120723.43</v>
      </c>
      <c r="H1613" s="104">
        <f t="shared" si="25"/>
        <v>0</v>
      </c>
    </row>
    <row r="1614" spans="3:8" x14ac:dyDescent="0.25">
      <c r="C1614" t="s">
        <v>2377</v>
      </c>
      <c r="D1614">
        <v>-950</v>
      </c>
      <c r="E1614">
        <v>0</v>
      </c>
      <c r="F1614">
        <v>0</v>
      </c>
      <c r="G1614">
        <v>-950</v>
      </c>
      <c r="H1614" s="104">
        <f t="shared" si="25"/>
        <v>0</v>
      </c>
    </row>
    <row r="1615" spans="3:8" x14ac:dyDescent="0.25">
      <c r="C1615" t="s">
        <v>2206</v>
      </c>
      <c r="D1615" s="104">
        <v>1173</v>
      </c>
      <c r="E1615">
        <v>0</v>
      </c>
      <c r="F1615">
        <v>0</v>
      </c>
      <c r="G1615" s="104">
        <v>1173</v>
      </c>
      <c r="H1615" s="104">
        <f t="shared" si="25"/>
        <v>0</v>
      </c>
    </row>
    <row r="1616" spans="3:8" x14ac:dyDescent="0.25">
      <c r="C1616" t="s">
        <v>2208</v>
      </c>
      <c r="D1616" s="104">
        <v>14188.95</v>
      </c>
      <c r="E1616">
        <v>0</v>
      </c>
      <c r="F1616">
        <v>0</v>
      </c>
      <c r="G1616" s="104">
        <v>14188.95</v>
      </c>
      <c r="H1616" s="104">
        <f t="shared" si="25"/>
        <v>0</v>
      </c>
    </row>
    <row r="1617" spans="2:8" x14ac:dyDescent="0.25">
      <c r="C1617" t="s">
        <v>2378</v>
      </c>
      <c r="D1617" s="104">
        <v>-18024055.489999998</v>
      </c>
      <c r="E1617" s="104">
        <v>46175.5</v>
      </c>
      <c r="F1617" s="104">
        <v>9167947.1400000006</v>
      </c>
      <c r="G1617" s="104">
        <v>-8902283.8499999996</v>
      </c>
      <c r="H1617" s="104">
        <f t="shared" si="25"/>
        <v>9121771.6399999987</v>
      </c>
    </row>
    <row r="1618" spans="2:8" x14ac:dyDescent="0.25">
      <c r="C1618" t="s">
        <v>2258</v>
      </c>
      <c r="D1618" s="104">
        <v>383807781.39999998</v>
      </c>
      <c r="E1618" s="104">
        <v>3383621.33</v>
      </c>
      <c r="F1618" s="104">
        <v>312374.78000000003</v>
      </c>
      <c r="G1618" s="104">
        <v>380736534.85000002</v>
      </c>
      <c r="H1618" s="104">
        <f t="shared" si="25"/>
        <v>-3071246.5499999523</v>
      </c>
    </row>
    <row r="1619" spans="2:8" x14ac:dyDescent="0.25">
      <c r="C1619" t="s">
        <v>2379</v>
      </c>
      <c r="D1619" s="104">
        <v>309339.19</v>
      </c>
      <c r="E1619">
        <v>0</v>
      </c>
      <c r="F1619">
        <v>0</v>
      </c>
      <c r="G1619" s="104">
        <v>309339.19</v>
      </c>
      <c r="H1619" s="104">
        <f t="shared" si="25"/>
        <v>0</v>
      </c>
    </row>
    <row r="1620" spans="2:8" x14ac:dyDescent="0.25">
      <c r="C1620" t="s">
        <v>1871</v>
      </c>
      <c r="D1620" s="104">
        <v>20852.86</v>
      </c>
      <c r="E1620">
        <v>0</v>
      </c>
      <c r="F1620">
        <v>0</v>
      </c>
      <c r="G1620" s="104">
        <v>20852.86</v>
      </c>
      <c r="H1620" s="104">
        <f t="shared" si="25"/>
        <v>0</v>
      </c>
    </row>
    <row r="1621" spans="2:8" x14ac:dyDescent="0.25">
      <c r="C1621" t="s">
        <v>2299</v>
      </c>
      <c r="D1621" s="104">
        <v>-85256.4</v>
      </c>
      <c r="E1621">
        <v>0</v>
      </c>
      <c r="F1621">
        <v>0</v>
      </c>
      <c r="G1621" s="104">
        <v>-85256.4</v>
      </c>
      <c r="H1621" s="104">
        <f t="shared" si="25"/>
        <v>0</v>
      </c>
    </row>
    <row r="1622" spans="2:8" x14ac:dyDescent="0.25">
      <c r="C1622" t="s">
        <v>2178</v>
      </c>
      <c r="D1622" s="104">
        <v>83085.08</v>
      </c>
      <c r="E1622">
        <v>0</v>
      </c>
      <c r="F1622">
        <v>0</v>
      </c>
      <c r="G1622" s="104">
        <v>83085.08</v>
      </c>
      <c r="H1622" s="104">
        <f t="shared" si="25"/>
        <v>0</v>
      </c>
    </row>
    <row r="1623" spans="2:8" x14ac:dyDescent="0.25">
      <c r="C1623" t="s">
        <v>2354</v>
      </c>
      <c r="D1623" s="104">
        <v>-1500</v>
      </c>
      <c r="E1623">
        <v>0</v>
      </c>
      <c r="F1623">
        <v>0</v>
      </c>
      <c r="G1623" s="104">
        <v>-1500</v>
      </c>
      <c r="H1623" s="104">
        <f t="shared" si="25"/>
        <v>0</v>
      </c>
    </row>
    <row r="1624" spans="2:8" x14ac:dyDescent="0.25">
      <c r="C1624" t="s">
        <v>2220</v>
      </c>
      <c r="D1624" s="104">
        <v>-28571.42</v>
      </c>
      <c r="E1624">
        <v>0</v>
      </c>
      <c r="F1624">
        <v>0</v>
      </c>
      <c r="G1624" s="104">
        <v>-28571.42</v>
      </c>
      <c r="H1624" s="104">
        <f t="shared" si="25"/>
        <v>0</v>
      </c>
    </row>
    <row r="1625" spans="2:8" x14ac:dyDescent="0.25">
      <c r="C1625" t="s">
        <v>2202</v>
      </c>
      <c r="D1625" s="104">
        <v>-140000000</v>
      </c>
      <c r="E1625">
        <v>0</v>
      </c>
      <c r="F1625">
        <v>0</v>
      </c>
      <c r="G1625" s="104">
        <v>-140000000</v>
      </c>
      <c r="H1625" s="104">
        <f t="shared" si="25"/>
        <v>0</v>
      </c>
    </row>
    <row r="1626" spans="2:8" x14ac:dyDescent="0.25">
      <c r="C1626" t="s">
        <v>2307</v>
      </c>
      <c r="D1626">
        <v>-871.36</v>
      </c>
      <c r="E1626">
        <v>0</v>
      </c>
      <c r="F1626">
        <v>0</v>
      </c>
      <c r="G1626">
        <v>-871.36</v>
      </c>
      <c r="H1626" s="104">
        <f t="shared" si="25"/>
        <v>0</v>
      </c>
    </row>
    <row r="1627" spans="2:8" x14ac:dyDescent="0.25">
      <c r="C1627" t="s">
        <v>2380</v>
      </c>
      <c r="D1627" s="104">
        <v>-35714.29</v>
      </c>
      <c r="E1627">
        <v>0</v>
      </c>
      <c r="F1627">
        <v>0</v>
      </c>
      <c r="G1627" s="104">
        <v>-35714.29</v>
      </c>
      <c r="H1627" s="104">
        <f t="shared" si="25"/>
        <v>0</v>
      </c>
    </row>
    <row r="1628" spans="2:8" x14ac:dyDescent="0.25">
      <c r="C1628" t="s">
        <v>1875</v>
      </c>
      <c r="D1628">
        <v>0</v>
      </c>
      <c r="E1628">
        <v>0</v>
      </c>
      <c r="F1628" s="104">
        <v>5418881.25</v>
      </c>
      <c r="G1628" s="104">
        <v>5418881.25</v>
      </c>
      <c r="H1628" s="104">
        <f t="shared" si="25"/>
        <v>5418881.25</v>
      </c>
    </row>
    <row r="1629" spans="2:8" x14ac:dyDescent="0.25">
      <c r="C1629" t="s">
        <v>2381</v>
      </c>
      <c r="D1629" s="104">
        <v>1006666.68</v>
      </c>
      <c r="E1629">
        <v>0</v>
      </c>
      <c r="F1629">
        <v>0</v>
      </c>
      <c r="G1629" s="104">
        <v>1006666.68</v>
      </c>
      <c r="H1629" s="104">
        <f t="shared" si="25"/>
        <v>0</v>
      </c>
    </row>
    <row r="1630" spans="2:8" x14ac:dyDescent="0.25">
      <c r="C1630" t="s">
        <v>2247</v>
      </c>
      <c r="D1630" s="104">
        <v>5000</v>
      </c>
      <c r="E1630">
        <v>0</v>
      </c>
      <c r="F1630">
        <v>0</v>
      </c>
      <c r="G1630" s="104">
        <v>5000</v>
      </c>
      <c r="H1630" s="104">
        <f t="shared" si="25"/>
        <v>0</v>
      </c>
    </row>
    <row r="1631" spans="2:8" x14ac:dyDescent="0.25">
      <c r="C1631" t="s">
        <v>2130</v>
      </c>
      <c r="D1631" s="104">
        <v>306918000</v>
      </c>
      <c r="E1631">
        <v>0</v>
      </c>
      <c r="F1631">
        <v>0</v>
      </c>
      <c r="G1631" s="104">
        <v>306918000</v>
      </c>
      <c r="H1631" s="104">
        <f t="shared" si="25"/>
        <v>0</v>
      </c>
    </row>
    <row r="1632" spans="2:8" x14ac:dyDescent="0.25">
      <c r="B1632" t="s">
        <v>1587</v>
      </c>
      <c r="D1632" s="104">
        <v>16053622812.43</v>
      </c>
      <c r="E1632" s="104">
        <v>120136130.44</v>
      </c>
      <c r="F1632" s="104">
        <v>6455529061.1199999</v>
      </c>
      <c r="G1632" s="104">
        <v>22389015743.110001</v>
      </c>
      <c r="H1632" s="832">
        <f t="shared" si="25"/>
        <v>6335392930.6800003</v>
      </c>
    </row>
    <row r="1633" spans="2:8" x14ac:dyDescent="0.25">
      <c r="H1633" s="104">
        <f t="shared" si="25"/>
        <v>0</v>
      </c>
    </row>
    <row r="1634" spans="2:8" x14ac:dyDescent="0.25">
      <c r="B1634">
        <v>31001010</v>
      </c>
      <c r="C1634" t="s">
        <v>354</v>
      </c>
      <c r="H1634" s="104">
        <f t="shared" si="25"/>
        <v>0</v>
      </c>
    </row>
    <row r="1635" spans="2:8" x14ac:dyDescent="0.25">
      <c r="C1635" t="s">
        <v>1756</v>
      </c>
      <c r="D1635" s="104">
        <v>28883100.600000001</v>
      </c>
      <c r="E1635">
        <v>0</v>
      </c>
      <c r="F1635">
        <v>0</v>
      </c>
      <c r="G1635" s="104">
        <v>28883100.600000001</v>
      </c>
      <c r="H1635" s="104">
        <f t="shared" si="25"/>
        <v>0</v>
      </c>
    </row>
    <row r="1636" spans="2:8" x14ac:dyDescent="0.25">
      <c r="B1636" t="s">
        <v>1587</v>
      </c>
      <c r="D1636" s="104">
        <v>28883100.600000001</v>
      </c>
      <c r="E1636">
        <v>0</v>
      </c>
      <c r="F1636">
        <v>0</v>
      </c>
      <c r="G1636" s="104">
        <v>28883100.600000001</v>
      </c>
      <c r="H1636" s="832">
        <f t="shared" si="25"/>
        <v>0</v>
      </c>
    </row>
    <row r="1638" spans="2:8" x14ac:dyDescent="0.25">
      <c r="B1638">
        <v>40202050</v>
      </c>
      <c r="C1638" t="s">
        <v>373</v>
      </c>
    </row>
    <row r="1639" spans="2:8" x14ac:dyDescent="0.25">
      <c r="C1639" t="s">
        <v>1854</v>
      </c>
      <c r="D1639">
        <v>0</v>
      </c>
      <c r="E1639" s="104">
        <v>2227062.7200000002</v>
      </c>
      <c r="F1639" s="104">
        <v>2227062.7200000002</v>
      </c>
      <c r="G1639">
        <v>0</v>
      </c>
    </row>
    <row r="1640" spans="2:8" x14ac:dyDescent="0.25">
      <c r="C1640" t="s">
        <v>1820</v>
      </c>
      <c r="D1640">
        <v>0</v>
      </c>
      <c r="E1640" s="104">
        <v>38833277.880000003</v>
      </c>
      <c r="F1640" s="104">
        <v>38833277.880000003</v>
      </c>
      <c r="G1640">
        <v>0</v>
      </c>
    </row>
    <row r="1641" spans="2:8" x14ac:dyDescent="0.25">
      <c r="C1641" t="s">
        <v>1822</v>
      </c>
      <c r="D1641">
        <v>0</v>
      </c>
      <c r="E1641" s="104">
        <v>2062800</v>
      </c>
      <c r="F1641" s="104">
        <v>2062800</v>
      </c>
      <c r="G1641">
        <v>0</v>
      </c>
    </row>
    <row r="1642" spans="2:8" x14ac:dyDescent="0.25">
      <c r="C1642" t="s">
        <v>2252</v>
      </c>
      <c r="D1642">
        <v>0</v>
      </c>
      <c r="E1642" s="104">
        <v>13157410.800000001</v>
      </c>
      <c r="F1642" s="104">
        <v>13157410.800000001</v>
      </c>
      <c r="G1642">
        <v>0</v>
      </c>
    </row>
    <row r="1643" spans="2:8" x14ac:dyDescent="0.25">
      <c r="C1643" t="s">
        <v>1823</v>
      </c>
      <c r="D1643">
        <v>0</v>
      </c>
      <c r="E1643" s="104">
        <v>12607875.66</v>
      </c>
      <c r="F1643" s="104">
        <v>12607875.66</v>
      </c>
      <c r="G1643">
        <v>0</v>
      </c>
    </row>
    <row r="1644" spans="2:8" x14ac:dyDescent="0.25">
      <c r="C1644" t="s">
        <v>1824</v>
      </c>
      <c r="D1644">
        <v>0</v>
      </c>
      <c r="E1644" s="104">
        <v>253422.69</v>
      </c>
      <c r="F1644" s="104">
        <v>253422.69</v>
      </c>
      <c r="G1644">
        <v>0</v>
      </c>
    </row>
    <row r="1645" spans="2:8" x14ac:dyDescent="0.25">
      <c r="C1645" t="s">
        <v>1825</v>
      </c>
      <c r="D1645">
        <v>0</v>
      </c>
      <c r="E1645" s="104">
        <v>747043.26</v>
      </c>
      <c r="F1645" s="104">
        <v>747043.26</v>
      </c>
      <c r="G1645">
        <v>0</v>
      </c>
    </row>
    <row r="1646" spans="2:8" x14ac:dyDescent="0.25">
      <c r="C1646" t="s">
        <v>1786</v>
      </c>
      <c r="D1646">
        <v>0</v>
      </c>
      <c r="E1646" s="104">
        <v>50400</v>
      </c>
      <c r="F1646" s="104">
        <v>50400</v>
      </c>
      <c r="G1646">
        <v>0</v>
      </c>
    </row>
    <row r="1647" spans="2:8" x14ac:dyDescent="0.25">
      <c r="C1647" t="s">
        <v>1828</v>
      </c>
      <c r="D1647">
        <v>0</v>
      </c>
      <c r="E1647" s="104">
        <v>5029376.1900000004</v>
      </c>
      <c r="F1647" s="104">
        <v>5029376.1900000004</v>
      </c>
      <c r="G1647">
        <v>0</v>
      </c>
    </row>
    <row r="1648" spans="2:8" x14ac:dyDescent="0.25">
      <c r="C1648" t="s">
        <v>1787</v>
      </c>
      <c r="D1648">
        <v>0</v>
      </c>
      <c r="E1648" s="104">
        <v>8479791.8399999999</v>
      </c>
      <c r="F1648" s="104">
        <v>8479791.8399999999</v>
      </c>
      <c r="G1648">
        <v>0</v>
      </c>
    </row>
    <row r="1649" spans="3:7" x14ac:dyDescent="0.25">
      <c r="C1649" t="s">
        <v>1857</v>
      </c>
      <c r="D1649">
        <v>0</v>
      </c>
      <c r="E1649" s="104">
        <v>222873.22</v>
      </c>
      <c r="F1649" s="104">
        <v>222873.22</v>
      </c>
      <c r="G1649">
        <v>0</v>
      </c>
    </row>
    <row r="1650" spans="3:7" x14ac:dyDescent="0.25">
      <c r="C1650" t="s">
        <v>1858</v>
      </c>
      <c r="D1650">
        <v>0</v>
      </c>
      <c r="E1650">
        <v>0</v>
      </c>
      <c r="F1650">
        <v>0</v>
      </c>
      <c r="G1650">
        <v>0</v>
      </c>
    </row>
    <row r="1651" spans="3:7" x14ac:dyDescent="0.25">
      <c r="C1651" t="s">
        <v>1754</v>
      </c>
      <c r="D1651">
        <v>0</v>
      </c>
      <c r="E1651" s="104">
        <v>9499624.5199999996</v>
      </c>
      <c r="F1651" s="104">
        <v>9499624.5199999996</v>
      </c>
      <c r="G1651">
        <v>0</v>
      </c>
    </row>
    <row r="1652" spans="3:7" x14ac:dyDescent="0.25">
      <c r="C1652" t="s">
        <v>1830</v>
      </c>
      <c r="D1652">
        <v>0</v>
      </c>
      <c r="E1652" s="104">
        <v>3266582.73</v>
      </c>
      <c r="F1652" s="104">
        <v>3266582.73</v>
      </c>
      <c r="G1652">
        <v>0</v>
      </c>
    </row>
    <row r="1653" spans="3:7" x14ac:dyDescent="0.25">
      <c r="C1653" t="s">
        <v>1835</v>
      </c>
      <c r="D1653">
        <v>0</v>
      </c>
      <c r="E1653" s="104">
        <v>149501.74</v>
      </c>
      <c r="F1653" s="104">
        <v>149501.74</v>
      </c>
      <c r="G1653">
        <v>0</v>
      </c>
    </row>
    <row r="1654" spans="3:7" x14ac:dyDescent="0.25">
      <c r="C1654" t="s">
        <v>1841</v>
      </c>
      <c r="D1654">
        <v>0</v>
      </c>
      <c r="E1654">
        <v>0</v>
      </c>
      <c r="F1654">
        <v>0</v>
      </c>
      <c r="G1654">
        <v>0</v>
      </c>
    </row>
    <row r="1655" spans="3:7" x14ac:dyDescent="0.25">
      <c r="C1655" t="s">
        <v>1859</v>
      </c>
      <c r="D1655">
        <v>0</v>
      </c>
      <c r="E1655" s="104">
        <v>374797.56</v>
      </c>
      <c r="F1655" s="104">
        <v>374797.56</v>
      </c>
      <c r="G1655">
        <v>0</v>
      </c>
    </row>
    <row r="1656" spans="3:7" x14ac:dyDescent="0.25">
      <c r="C1656" t="s">
        <v>1842</v>
      </c>
      <c r="D1656">
        <v>0</v>
      </c>
      <c r="E1656" s="104">
        <v>3388860.92</v>
      </c>
      <c r="F1656" s="104">
        <v>3388860.92</v>
      </c>
      <c r="G1656">
        <v>0</v>
      </c>
    </row>
    <row r="1657" spans="3:7" x14ac:dyDescent="0.25">
      <c r="C1657" t="s">
        <v>1844</v>
      </c>
      <c r="D1657">
        <v>0</v>
      </c>
      <c r="E1657" s="104">
        <v>1364312.16</v>
      </c>
      <c r="F1657" s="104">
        <v>1364312.16</v>
      </c>
      <c r="G1657">
        <v>0</v>
      </c>
    </row>
    <row r="1658" spans="3:7" x14ac:dyDescent="0.25">
      <c r="C1658" t="s">
        <v>1845</v>
      </c>
      <c r="D1658">
        <v>0</v>
      </c>
      <c r="E1658">
        <v>0</v>
      </c>
      <c r="F1658">
        <v>0</v>
      </c>
      <c r="G1658">
        <v>0</v>
      </c>
    </row>
    <row r="1659" spans="3:7" x14ac:dyDescent="0.25">
      <c r="C1659" t="s">
        <v>1860</v>
      </c>
      <c r="D1659">
        <v>0</v>
      </c>
      <c r="E1659" s="104">
        <v>509449.66</v>
      </c>
      <c r="F1659" s="104">
        <v>509449.66</v>
      </c>
      <c r="G1659">
        <v>0</v>
      </c>
    </row>
    <row r="1660" spans="3:7" x14ac:dyDescent="0.25">
      <c r="C1660" t="s">
        <v>1846</v>
      </c>
      <c r="D1660">
        <v>0</v>
      </c>
      <c r="E1660" s="104">
        <v>6667.36</v>
      </c>
      <c r="F1660" s="104">
        <v>6667.36</v>
      </c>
      <c r="G1660">
        <v>0</v>
      </c>
    </row>
    <row r="1661" spans="3:7" x14ac:dyDescent="0.25">
      <c r="C1661" t="s">
        <v>1848</v>
      </c>
      <c r="D1661">
        <v>0</v>
      </c>
      <c r="E1661">
        <v>0</v>
      </c>
      <c r="F1661">
        <v>0</v>
      </c>
      <c r="G1661">
        <v>0</v>
      </c>
    </row>
    <row r="1662" spans="3:7" x14ac:dyDescent="0.25">
      <c r="C1662" t="s">
        <v>1849</v>
      </c>
      <c r="D1662">
        <v>0</v>
      </c>
      <c r="E1662" s="104">
        <v>3094947.76</v>
      </c>
      <c r="F1662" s="104">
        <v>3094947.76</v>
      </c>
      <c r="G1662">
        <v>0</v>
      </c>
    </row>
    <row r="1663" spans="3:7" x14ac:dyDescent="0.25">
      <c r="C1663" t="s">
        <v>1850</v>
      </c>
      <c r="D1663">
        <v>0</v>
      </c>
      <c r="E1663" s="104">
        <v>4114281.35</v>
      </c>
      <c r="F1663" s="104">
        <v>4114281.35</v>
      </c>
      <c r="G1663">
        <v>0</v>
      </c>
    </row>
    <row r="1664" spans="3:7" x14ac:dyDescent="0.25">
      <c r="C1664" t="s">
        <v>1851</v>
      </c>
      <c r="D1664">
        <v>0</v>
      </c>
      <c r="E1664" s="104">
        <v>544285.74</v>
      </c>
      <c r="F1664" s="104">
        <v>544285.74</v>
      </c>
      <c r="G1664">
        <v>0</v>
      </c>
    </row>
    <row r="1665" spans="3:7" x14ac:dyDescent="0.25">
      <c r="C1665" t="s">
        <v>1852</v>
      </c>
      <c r="D1665">
        <v>0</v>
      </c>
      <c r="E1665">
        <v>0</v>
      </c>
      <c r="F1665">
        <v>0</v>
      </c>
      <c r="G1665">
        <v>0</v>
      </c>
    </row>
    <row r="1666" spans="3:7" x14ac:dyDescent="0.25">
      <c r="C1666" t="s">
        <v>1861</v>
      </c>
      <c r="D1666">
        <v>0</v>
      </c>
      <c r="E1666">
        <v>0</v>
      </c>
      <c r="F1666">
        <v>0</v>
      </c>
      <c r="G1666">
        <v>0</v>
      </c>
    </row>
    <row r="1667" spans="3:7" x14ac:dyDescent="0.25">
      <c r="C1667" t="s">
        <v>1862</v>
      </c>
      <c r="D1667">
        <v>0</v>
      </c>
      <c r="E1667">
        <v>0</v>
      </c>
      <c r="F1667">
        <v>0</v>
      </c>
      <c r="G1667">
        <v>0</v>
      </c>
    </row>
    <row r="1668" spans="3:7" x14ac:dyDescent="0.25">
      <c r="C1668" t="s">
        <v>1863</v>
      </c>
      <c r="D1668">
        <v>0</v>
      </c>
      <c r="E1668">
        <v>0</v>
      </c>
      <c r="F1668">
        <v>0</v>
      </c>
      <c r="G1668">
        <v>0</v>
      </c>
    </row>
    <row r="1669" spans="3:7" x14ac:dyDescent="0.25">
      <c r="C1669" t="s">
        <v>1853</v>
      </c>
      <c r="D1669">
        <v>0</v>
      </c>
      <c r="E1669" s="104">
        <v>305908.44</v>
      </c>
      <c r="F1669" s="104">
        <v>305908.44</v>
      </c>
      <c r="G1669">
        <v>0</v>
      </c>
    </row>
    <row r="1670" spans="3:7" x14ac:dyDescent="0.25">
      <c r="C1670" t="s">
        <v>1865</v>
      </c>
      <c r="D1670">
        <v>0</v>
      </c>
      <c r="E1670" s="104">
        <v>87846</v>
      </c>
      <c r="F1670" s="104">
        <v>87846</v>
      </c>
      <c r="G1670">
        <v>0</v>
      </c>
    </row>
    <row r="1671" spans="3:7" x14ac:dyDescent="0.25">
      <c r="C1671" t="s">
        <v>1866</v>
      </c>
      <c r="D1671">
        <v>0</v>
      </c>
      <c r="E1671" s="104">
        <v>377665.82</v>
      </c>
      <c r="F1671" s="104">
        <v>377665.82</v>
      </c>
      <c r="G1671">
        <v>0</v>
      </c>
    </row>
    <row r="1672" spans="3:7" x14ac:dyDescent="0.25">
      <c r="C1672" t="s">
        <v>2253</v>
      </c>
      <c r="D1672">
        <v>0</v>
      </c>
      <c r="E1672" s="104">
        <v>12016046.42</v>
      </c>
      <c r="F1672" s="104">
        <v>12016046.42</v>
      </c>
      <c r="G1672">
        <v>0</v>
      </c>
    </row>
    <row r="1673" spans="3:7" x14ac:dyDescent="0.25">
      <c r="C1673" t="s">
        <v>1868</v>
      </c>
      <c r="D1673">
        <v>0</v>
      </c>
      <c r="E1673" s="104">
        <v>9674167.5800000001</v>
      </c>
      <c r="F1673" s="104">
        <v>9674167.5800000001</v>
      </c>
      <c r="G1673">
        <v>0</v>
      </c>
    </row>
    <row r="1674" spans="3:7" x14ac:dyDescent="0.25">
      <c r="C1674" t="s">
        <v>1869</v>
      </c>
      <c r="D1674">
        <v>0</v>
      </c>
      <c r="E1674" s="104">
        <v>49924614.5</v>
      </c>
      <c r="F1674" s="104">
        <v>49924614.5</v>
      </c>
      <c r="G1674">
        <v>0</v>
      </c>
    </row>
    <row r="1675" spans="3:7" x14ac:dyDescent="0.25">
      <c r="C1675" t="s">
        <v>2254</v>
      </c>
      <c r="D1675">
        <v>0</v>
      </c>
      <c r="E1675">
        <v>0</v>
      </c>
      <c r="F1675">
        <v>0</v>
      </c>
      <c r="G1675">
        <v>0</v>
      </c>
    </row>
    <row r="1676" spans="3:7" x14ac:dyDescent="0.25">
      <c r="C1676" t="s">
        <v>1897</v>
      </c>
      <c r="D1676">
        <v>0</v>
      </c>
      <c r="E1676" s="104">
        <v>4258707.5199999996</v>
      </c>
      <c r="F1676" s="104">
        <v>4258707.5199999996</v>
      </c>
      <c r="G1676">
        <v>0</v>
      </c>
    </row>
    <row r="1677" spans="3:7" x14ac:dyDescent="0.25">
      <c r="C1677" t="s">
        <v>1855</v>
      </c>
      <c r="D1677">
        <v>0</v>
      </c>
      <c r="E1677" s="104">
        <v>8482786.0800000001</v>
      </c>
      <c r="F1677" s="104">
        <v>8482786.0800000001</v>
      </c>
      <c r="G1677">
        <v>0</v>
      </c>
    </row>
    <row r="1678" spans="3:7" x14ac:dyDescent="0.25">
      <c r="C1678" t="s">
        <v>1761</v>
      </c>
      <c r="D1678">
        <v>0</v>
      </c>
      <c r="E1678" s="104">
        <v>34668</v>
      </c>
      <c r="F1678" s="104">
        <v>34668</v>
      </c>
      <c r="G1678">
        <v>0</v>
      </c>
    </row>
    <row r="1679" spans="3:7" x14ac:dyDescent="0.25">
      <c r="C1679" t="s">
        <v>1870</v>
      </c>
      <c r="D1679">
        <v>0</v>
      </c>
      <c r="E1679">
        <v>0</v>
      </c>
      <c r="F1679">
        <v>0</v>
      </c>
      <c r="G1679">
        <v>0</v>
      </c>
    </row>
    <row r="1680" spans="3:7" x14ac:dyDescent="0.25">
      <c r="C1680" t="s">
        <v>1871</v>
      </c>
      <c r="D1680">
        <v>0</v>
      </c>
      <c r="E1680" s="104">
        <v>29420.34</v>
      </c>
      <c r="F1680" s="104">
        <v>29420.34</v>
      </c>
      <c r="G1680">
        <v>0</v>
      </c>
    </row>
    <row r="1681" spans="3:7" x14ac:dyDescent="0.25">
      <c r="C1681" t="s">
        <v>1872</v>
      </c>
      <c r="D1681">
        <v>0</v>
      </c>
      <c r="E1681">
        <v>0</v>
      </c>
      <c r="F1681">
        <v>0</v>
      </c>
      <c r="G1681">
        <v>0</v>
      </c>
    </row>
    <row r="1682" spans="3:7" x14ac:dyDescent="0.25">
      <c r="C1682" t="s">
        <v>1873</v>
      </c>
      <c r="D1682">
        <v>0</v>
      </c>
      <c r="E1682" s="104">
        <v>5717246.9199999999</v>
      </c>
      <c r="F1682" s="104">
        <v>5717246.9199999999</v>
      </c>
      <c r="G1682">
        <v>0</v>
      </c>
    </row>
    <row r="1683" spans="3:7" x14ac:dyDescent="0.25">
      <c r="C1683" t="s">
        <v>1874</v>
      </c>
      <c r="D1683">
        <v>0</v>
      </c>
      <c r="E1683" s="104">
        <v>3349011.75</v>
      </c>
      <c r="F1683" s="104">
        <v>3349011.75</v>
      </c>
      <c r="G1683">
        <v>0</v>
      </c>
    </row>
    <row r="1684" spans="3:7" x14ac:dyDescent="0.25">
      <c r="C1684" t="s">
        <v>1875</v>
      </c>
      <c r="D1684">
        <v>0</v>
      </c>
      <c r="E1684">
        <v>0</v>
      </c>
      <c r="F1684">
        <v>0</v>
      </c>
      <c r="G1684">
        <v>0</v>
      </c>
    </row>
    <row r="1685" spans="3:7" x14ac:dyDescent="0.25">
      <c r="C1685" t="s">
        <v>1876</v>
      </c>
      <c r="D1685">
        <v>0</v>
      </c>
      <c r="E1685" s="104">
        <v>25250</v>
      </c>
      <c r="F1685" s="104">
        <v>25250</v>
      </c>
      <c r="G1685">
        <v>0</v>
      </c>
    </row>
    <row r="1686" spans="3:7" x14ac:dyDescent="0.25">
      <c r="C1686" t="s">
        <v>1877</v>
      </c>
      <c r="D1686">
        <v>0</v>
      </c>
      <c r="E1686" s="104">
        <v>177321.44</v>
      </c>
      <c r="F1686" s="104">
        <v>177321.44</v>
      </c>
      <c r="G1686">
        <v>0</v>
      </c>
    </row>
    <row r="1687" spans="3:7" x14ac:dyDescent="0.25">
      <c r="C1687" t="s">
        <v>1878</v>
      </c>
      <c r="D1687">
        <v>0</v>
      </c>
      <c r="E1687" s="104">
        <v>70982.16</v>
      </c>
      <c r="F1687" s="104">
        <v>70982.16</v>
      </c>
      <c r="G1687">
        <v>0</v>
      </c>
    </row>
    <row r="1688" spans="3:7" x14ac:dyDescent="0.25">
      <c r="C1688" t="s">
        <v>1879</v>
      </c>
      <c r="D1688">
        <v>0</v>
      </c>
      <c r="E1688" s="104">
        <v>1076862</v>
      </c>
      <c r="F1688" s="104">
        <v>1076862</v>
      </c>
      <c r="G1688">
        <v>0</v>
      </c>
    </row>
    <row r="1689" spans="3:7" x14ac:dyDescent="0.25">
      <c r="C1689" t="s">
        <v>1880</v>
      </c>
      <c r="D1689">
        <v>0</v>
      </c>
      <c r="E1689" s="104">
        <v>327025.83</v>
      </c>
      <c r="F1689" s="104">
        <v>327025.83</v>
      </c>
      <c r="G1689">
        <v>0</v>
      </c>
    </row>
    <row r="1690" spans="3:7" x14ac:dyDescent="0.25">
      <c r="C1690" t="s">
        <v>1881</v>
      </c>
      <c r="D1690">
        <v>0</v>
      </c>
      <c r="E1690" s="104">
        <v>679728.27</v>
      </c>
      <c r="F1690" s="104">
        <v>679728.27</v>
      </c>
      <c r="G1690">
        <v>0</v>
      </c>
    </row>
    <row r="1691" spans="3:7" x14ac:dyDescent="0.25">
      <c r="C1691" t="s">
        <v>1882</v>
      </c>
      <c r="D1691">
        <v>0</v>
      </c>
      <c r="E1691" s="104">
        <v>62400</v>
      </c>
      <c r="F1691" s="104">
        <v>62400</v>
      </c>
      <c r="G1691">
        <v>0</v>
      </c>
    </row>
    <row r="1692" spans="3:7" x14ac:dyDescent="0.25">
      <c r="C1692" t="s">
        <v>1883</v>
      </c>
      <c r="D1692">
        <v>0</v>
      </c>
      <c r="E1692" s="104">
        <v>3133568</v>
      </c>
      <c r="F1692" s="104">
        <v>3133568</v>
      </c>
      <c r="G1692">
        <v>0</v>
      </c>
    </row>
    <row r="1693" spans="3:7" x14ac:dyDescent="0.25">
      <c r="C1693" t="s">
        <v>1884</v>
      </c>
      <c r="D1693">
        <v>0</v>
      </c>
      <c r="E1693" s="104">
        <v>1397952</v>
      </c>
      <c r="F1693" s="104">
        <v>1397952</v>
      </c>
      <c r="G1693">
        <v>0</v>
      </c>
    </row>
    <row r="1694" spans="3:7" x14ac:dyDescent="0.25">
      <c r="C1694" t="s">
        <v>1885</v>
      </c>
      <c r="D1694">
        <v>0</v>
      </c>
      <c r="E1694" s="104">
        <v>288024</v>
      </c>
      <c r="F1694" s="104">
        <v>288024</v>
      </c>
      <c r="G1694">
        <v>0</v>
      </c>
    </row>
    <row r="1695" spans="3:7" x14ac:dyDescent="0.25">
      <c r="C1695" t="s">
        <v>1886</v>
      </c>
      <c r="D1695">
        <v>0</v>
      </c>
      <c r="E1695" s="104">
        <v>1065000</v>
      </c>
      <c r="F1695" s="104">
        <v>1065000</v>
      </c>
      <c r="G1695">
        <v>0</v>
      </c>
    </row>
    <row r="1696" spans="3:7" x14ac:dyDescent="0.25">
      <c r="C1696" t="s">
        <v>1887</v>
      </c>
      <c r="D1696">
        <v>0</v>
      </c>
      <c r="E1696" s="104">
        <v>1048464</v>
      </c>
      <c r="F1696" s="104">
        <v>1048464</v>
      </c>
      <c r="G1696">
        <v>0</v>
      </c>
    </row>
    <row r="1697" spans="2:7" x14ac:dyDescent="0.25">
      <c r="C1697" t="s">
        <v>1888</v>
      </c>
      <c r="D1697">
        <v>0</v>
      </c>
      <c r="E1697" s="104">
        <v>1326510</v>
      </c>
      <c r="F1697" s="104">
        <v>1326510</v>
      </c>
      <c r="G1697">
        <v>0</v>
      </c>
    </row>
    <row r="1698" spans="2:7" x14ac:dyDescent="0.25">
      <c r="C1698" t="s">
        <v>2382</v>
      </c>
      <c r="D1698">
        <v>0</v>
      </c>
      <c r="E1698" s="104">
        <v>9964.2800000000007</v>
      </c>
      <c r="F1698" s="104">
        <v>9964.2800000000007</v>
      </c>
      <c r="G1698">
        <v>0</v>
      </c>
    </row>
    <row r="1699" spans="2:7" x14ac:dyDescent="0.25">
      <c r="C1699" t="s">
        <v>1889</v>
      </c>
      <c r="D1699">
        <v>0</v>
      </c>
      <c r="E1699" s="104">
        <v>341880</v>
      </c>
      <c r="F1699" s="104">
        <v>341880</v>
      </c>
      <c r="G1699">
        <v>0</v>
      </c>
    </row>
    <row r="1700" spans="2:7" x14ac:dyDescent="0.25">
      <c r="C1700" t="s">
        <v>1890</v>
      </c>
      <c r="D1700">
        <v>0</v>
      </c>
      <c r="E1700" s="104">
        <v>263100</v>
      </c>
      <c r="F1700" s="104">
        <v>263100</v>
      </c>
      <c r="G1700">
        <v>0</v>
      </c>
    </row>
    <row r="1701" spans="2:7" x14ac:dyDescent="0.25">
      <c r="C1701" t="s">
        <v>2383</v>
      </c>
      <c r="D1701">
        <v>0</v>
      </c>
      <c r="E1701" s="104">
        <v>14946.42</v>
      </c>
      <c r="F1701" s="104">
        <v>14946.42</v>
      </c>
      <c r="G1701">
        <v>0</v>
      </c>
    </row>
    <row r="1702" spans="2:7" x14ac:dyDescent="0.25">
      <c r="C1702" t="s">
        <v>2248</v>
      </c>
      <c r="D1702">
        <v>0</v>
      </c>
      <c r="E1702" s="104">
        <v>8303640</v>
      </c>
      <c r="F1702" s="104">
        <v>8303640</v>
      </c>
      <c r="G1702">
        <v>0</v>
      </c>
    </row>
    <row r="1703" spans="2:7" x14ac:dyDescent="0.25">
      <c r="B1703" t="s">
        <v>1587</v>
      </c>
      <c r="D1703">
        <v>0</v>
      </c>
      <c r="E1703" s="104">
        <v>223855353.53</v>
      </c>
      <c r="F1703" s="104">
        <v>223855353.53</v>
      </c>
      <c r="G1703">
        <v>0</v>
      </c>
    </row>
    <row r="1705" spans="2:7" x14ac:dyDescent="0.25">
      <c r="B1705">
        <v>40202200</v>
      </c>
      <c r="C1705" t="s">
        <v>2384</v>
      </c>
      <c r="D1705" s="104">
        <v>416423726.06</v>
      </c>
      <c r="E1705" s="104">
        <v>13858937</v>
      </c>
      <c r="F1705" s="104">
        <v>13858937</v>
      </c>
      <c r="G1705" s="104">
        <v>416423726.06</v>
      </c>
    </row>
    <row r="1706" spans="2:7" x14ac:dyDescent="0.25">
      <c r="B1706" t="s">
        <v>2385</v>
      </c>
      <c r="C1706" t="s">
        <v>363</v>
      </c>
    </row>
    <row r="1707" spans="2:7" x14ac:dyDescent="0.25">
      <c r="B1707" t="s">
        <v>2386</v>
      </c>
      <c r="C1707" t="s">
        <v>364</v>
      </c>
    </row>
    <row r="1708" spans="2:7" x14ac:dyDescent="0.25">
      <c r="C1708" t="s">
        <v>1783</v>
      </c>
      <c r="D1708">
        <v>0</v>
      </c>
      <c r="E1708" s="104">
        <v>866810</v>
      </c>
      <c r="F1708" s="104">
        <v>866810</v>
      </c>
      <c r="G1708">
        <v>0</v>
      </c>
    </row>
    <row r="1709" spans="2:7" x14ac:dyDescent="0.25">
      <c r="C1709" t="s">
        <v>1785</v>
      </c>
      <c r="D1709">
        <v>0</v>
      </c>
      <c r="E1709" s="104">
        <v>633225</v>
      </c>
      <c r="F1709" s="104">
        <v>633225</v>
      </c>
      <c r="G1709">
        <v>0</v>
      </c>
    </row>
    <row r="1710" spans="2:7" x14ac:dyDescent="0.25">
      <c r="C1710" t="s">
        <v>1792</v>
      </c>
      <c r="D1710">
        <v>0</v>
      </c>
      <c r="E1710" s="104">
        <v>11389640</v>
      </c>
      <c r="F1710" s="104">
        <v>11389640</v>
      </c>
      <c r="G1710">
        <v>0</v>
      </c>
    </row>
    <row r="1711" spans="2:7" x14ac:dyDescent="0.25">
      <c r="C1711" t="s">
        <v>1755</v>
      </c>
      <c r="D1711">
        <v>0</v>
      </c>
      <c r="E1711" s="104">
        <v>554589</v>
      </c>
      <c r="F1711" s="104">
        <v>554589</v>
      </c>
      <c r="G1711">
        <v>0</v>
      </c>
    </row>
    <row r="1712" spans="2:7" x14ac:dyDescent="0.25">
      <c r="C1712" t="s">
        <v>1980</v>
      </c>
      <c r="D1712">
        <v>0</v>
      </c>
      <c r="E1712" s="104">
        <v>414673</v>
      </c>
      <c r="F1712" s="104">
        <v>414673</v>
      </c>
      <c r="G1712">
        <v>0</v>
      </c>
    </row>
    <row r="1713" spans="2:7" x14ac:dyDescent="0.25">
      <c r="B1713" t="s">
        <v>1587</v>
      </c>
      <c r="D1713">
        <v>0</v>
      </c>
      <c r="E1713" s="104">
        <v>13858937</v>
      </c>
      <c r="F1713" s="104">
        <v>13858937</v>
      </c>
      <c r="G1713">
        <v>0</v>
      </c>
    </row>
    <row r="1715" spans="2:7" x14ac:dyDescent="0.25">
      <c r="B1715">
        <v>40202210</v>
      </c>
      <c r="C1715" t="s">
        <v>2387</v>
      </c>
      <c r="D1715" s="104">
        <v>133773562.28</v>
      </c>
      <c r="E1715" s="104">
        <v>136413928.49000001</v>
      </c>
      <c r="F1715" s="104">
        <v>136413928.49000001</v>
      </c>
      <c r="G1715" s="104">
        <v>133773562.28</v>
      </c>
    </row>
    <row r="1716" spans="2:7" x14ac:dyDescent="0.25">
      <c r="B1716" t="s">
        <v>2388</v>
      </c>
      <c r="C1716" t="s">
        <v>355</v>
      </c>
    </row>
    <row r="1717" spans="2:7" x14ac:dyDescent="0.25">
      <c r="C1717" t="s">
        <v>1724</v>
      </c>
      <c r="D1717">
        <v>0</v>
      </c>
      <c r="E1717" s="104">
        <v>1662.09</v>
      </c>
      <c r="F1717" s="104">
        <v>1662.09</v>
      </c>
      <c r="G1717">
        <v>0</v>
      </c>
    </row>
    <row r="1718" spans="2:7" x14ac:dyDescent="0.25">
      <c r="C1718" t="s">
        <v>1735</v>
      </c>
      <c r="D1718">
        <v>0</v>
      </c>
      <c r="E1718">
        <v>125.83</v>
      </c>
      <c r="F1718">
        <v>125.83</v>
      </c>
      <c r="G1718">
        <v>0</v>
      </c>
    </row>
    <row r="1719" spans="2:7" x14ac:dyDescent="0.25">
      <c r="C1719" t="s">
        <v>1736</v>
      </c>
      <c r="D1719">
        <v>0</v>
      </c>
      <c r="E1719" s="104">
        <v>1445.61</v>
      </c>
      <c r="F1719" s="104">
        <v>1445.61</v>
      </c>
      <c r="G1719">
        <v>0</v>
      </c>
    </row>
    <row r="1720" spans="2:7" x14ac:dyDescent="0.25">
      <c r="C1720" t="s">
        <v>1740</v>
      </c>
      <c r="D1720">
        <v>0</v>
      </c>
      <c r="E1720">
        <v>371.59</v>
      </c>
      <c r="F1720">
        <v>371.59</v>
      </c>
      <c r="G1720">
        <v>0</v>
      </c>
    </row>
    <row r="1721" spans="2:7" x14ac:dyDescent="0.25">
      <c r="C1721" t="s">
        <v>1737</v>
      </c>
      <c r="D1721">
        <v>0</v>
      </c>
      <c r="E1721">
        <v>0</v>
      </c>
      <c r="F1721">
        <v>0</v>
      </c>
      <c r="G1721">
        <v>0</v>
      </c>
    </row>
    <row r="1722" spans="2:7" x14ac:dyDescent="0.25">
      <c r="C1722" t="s">
        <v>1738</v>
      </c>
      <c r="D1722">
        <v>0</v>
      </c>
      <c r="E1722">
        <v>145.65</v>
      </c>
      <c r="F1722">
        <v>145.65</v>
      </c>
      <c r="G1722">
        <v>0</v>
      </c>
    </row>
    <row r="1723" spans="2:7" x14ac:dyDescent="0.25">
      <c r="C1723" t="s">
        <v>1726</v>
      </c>
      <c r="D1723">
        <v>0</v>
      </c>
      <c r="E1723" s="104">
        <v>11031.32</v>
      </c>
      <c r="F1723" s="104">
        <v>11031.32</v>
      </c>
      <c r="G1723">
        <v>0</v>
      </c>
    </row>
    <row r="1724" spans="2:7" x14ac:dyDescent="0.25">
      <c r="B1724" t="s">
        <v>1587</v>
      </c>
      <c r="D1724">
        <v>0</v>
      </c>
      <c r="E1724" s="104">
        <v>14782.09</v>
      </c>
      <c r="F1724" s="104">
        <v>14782.09</v>
      </c>
      <c r="G1724">
        <v>0</v>
      </c>
    </row>
    <row r="1726" spans="2:7" x14ac:dyDescent="0.25">
      <c r="B1726" t="s">
        <v>2389</v>
      </c>
      <c r="C1726" t="s">
        <v>358</v>
      </c>
    </row>
    <row r="1727" spans="2:7" x14ac:dyDescent="0.25">
      <c r="C1727" t="s">
        <v>1756</v>
      </c>
      <c r="D1727">
        <v>0</v>
      </c>
      <c r="E1727" s="104">
        <v>286881.71999999997</v>
      </c>
      <c r="F1727" s="104">
        <v>286881.71999999997</v>
      </c>
      <c r="G1727">
        <v>0</v>
      </c>
    </row>
    <row r="1728" spans="2:7" x14ac:dyDescent="0.25">
      <c r="C1728" t="s">
        <v>1784</v>
      </c>
      <c r="D1728">
        <v>0</v>
      </c>
      <c r="E1728" s="104">
        <v>324393.75</v>
      </c>
      <c r="F1728" s="104">
        <v>324393.75</v>
      </c>
      <c r="G1728">
        <v>0</v>
      </c>
    </row>
    <row r="1729" spans="2:7" x14ac:dyDescent="0.25">
      <c r="B1729" t="s">
        <v>1587</v>
      </c>
      <c r="D1729">
        <v>0</v>
      </c>
      <c r="E1729" s="104">
        <v>611275.47</v>
      </c>
      <c r="F1729" s="104">
        <v>611275.47</v>
      </c>
      <c r="G1729">
        <v>0</v>
      </c>
    </row>
    <row r="1731" spans="2:7" x14ac:dyDescent="0.25">
      <c r="B1731" t="s">
        <v>2390</v>
      </c>
      <c r="C1731" t="s">
        <v>359</v>
      </c>
    </row>
    <row r="1732" spans="2:7" x14ac:dyDescent="0.25">
      <c r="C1732" t="s">
        <v>2004</v>
      </c>
      <c r="D1732">
        <v>0</v>
      </c>
      <c r="E1732" s="104">
        <v>95813978.989999995</v>
      </c>
      <c r="F1732" s="104">
        <v>95813978.989999995</v>
      </c>
      <c r="G1732">
        <v>0</v>
      </c>
    </row>
    <row r="1733" spans="2:7" x14ac:dyDescent="0.25">
      <c r="C1733" t="s">
        <v>1745</v>
      </c>
      <c r="D1733">
        <v>0</v>
      </c>
      <c r="E1733">
        <v>0</v>
      </c>
      <c r="F1733">
        <v>0</v>
      </c>
      <c r="G1733">
        <v>0</v>
      </c>
    </row>
    <row r="1734" spans="2:7" x14ac:dyDescent="0.25">
      <c r="C1734" t="s">
        <v>1742</v>
      </c>
      <c r="D1734">
        <v>0</v>
      </c>
      <c r="E1734">
        <v>0</v>
      </c>
      <c r="F1734">
        <v>0</v>
      </c>
      <c r="G1734">
        <v>0</v>
      </c>
    </row>
    <row r="1735" spans="2:7" x14ac:dyDescent="0.25">
      <c r="C1735" t="s">
        <v>1796</v>
      </c>
      <c r="D1735">
        <v>0</v>
      </c>
      <c r="E1735" s="104">
        <v>5763935.3700000001</v>
      </c>
      <c r="F1735" s="104">
        <v>5763935.3700000001</v>
      </c>
      <c r="G1735">
        <v>0</v>
      </c>
    </row>
    <row r="1736" spans="2:7" x14ac:dyDescent="0.25">
      <c r="C1736" t="s">
        <v>1797</v>
      </c>
      <c r="D1736">
        <v>0</v>
      </c>
      <c r="E1736" s="104">
        <v>6890858.7000000002</v>
      </c>
      <c r="F1736" s="104">
        <v>6890858.7000000002</v>
      </c>
      <c r="G1736">
        <v>0</v>
      </c>
    </row>
    <row r="1737" spans="2:7" x14ac:dyDescent="0.25">
      <c r="C1737" t="s">
        <v>1798</v>
      </c>
      <c r="D1737">
        <v>0</v>
      </c>
      <c r="E1737" s="104">
        <v>21173.72</v>
      </c>
      <c r="F1737" s="104">
        <v>21173.72</v>
      </c>
      <c r="G1737">
        <v>0</v>
      </c>
    </row>
    <row r="1738" spans="2:7" x14ac:dyDescent="0.25">
      <c r="C1738" t="s">
        <v>1724</v>
      </c>
      <c r="D1738">
        <v>0</v>
      </c>
      <c r="E1738">
        <v>0</v>
      </c>
      <c r="F1738">
        <v>0</v>
      </c>
      <c r="G1738">
        <v>0</v>
      </c>
    </row>
    <row r="1739" spans="2:7" x14ac:dyDescent="0.25">
      <c r="C1739" t="s">
        <v>1738</v>
      </c>
      <c r="D1739">
        <v>0</v>
      </c>
      <c r="E1739" s="104">
        <v>26781850.899999999</v>
      </c>
      <c r="F1739" s="104">
        <v>26781850.899999999</v>
      </c>
      <c r="G1739">
        <v>0</v>
      </c>
    </row>
    <row r="1740" spans="2:7" x14ac:dyDescent="0.25">
      <c r="B1740" t="s">
        <v>1587</v>
      </c>
      <c r="D1740">
        <v>0</v>
      </c>
      <c r="E1740" s="104">
        <v>135271797.68000001</v>
      </c>
      <c r="F1740" s="104">
        <v>135271797.68000001</v>
      </c>
      <c r="G1740">
        <v>0</v>
      </c>
    </row>
    <row r="1742" spans="2:7" x14ac:dyDescent="0.25">
      <c r="B1742" t="s">
        <v>2391</v>
      </c>
      <c r="C1742" t="s">
        <v>362</v>
      </c>
    </row>
    <row r="1743" spans="2:7" x14ac:dyDescent="0.25">
      <c r="C1743" t="s">
        <v>1913</v>
      </c>
      <c r="D1743">
        <v>0</v>
      </c>
      <c r="E1743">
        <v>0</v>
      </c>
      <c r="F1743">
        <v>0</v>
      </c>
      <c r="G1743">
        <v>0</v>
      </c>
    </row>
    <row r="1744" spans="2:7" x14ac:dyDescent="0.25">
      <c r="C1744" t="s">
        <v>1917</v>
      </c>
      <c r="D1744">
        <v>0</v>
      </c>
      <c r="E1744" s="104">
        <v>3531.99</v>
      </c>
      <c r="F1744" s="104">
        <v>3531.99</v>
      </c>
      <c r="G1744">
        <v>0</v>
      </c>
    </row>
    <row r="1745" spans="3:7" x14ac:dyDescent="0.25">
      <c r="C1745" t="s">
        <v>2059</v>
      </c>
      <c r="D1745">
        <v>0</v>
      </c>
      <c r="E1745">
        <v>0</v>
      </c>
      <c r="F1745">
        <v>0</v>
      </c>
      <c r="G1745">
        <v>0</v>
      </c>
    </row>
    <row r="1746" spans="3:7" x14ac:dyDescent="0.25">
      <c r="C1746" t="s">
        <v>1928</v>
      </c>
      <c r="D1746">
        <v>0</v>
      </c>
      <c r="E1746">
        <v>0</v>
      </c>
      <c r="F1746">
        <v>0</v>
      </c>
      <c r="G1746">
        <v>0</v>
      </c>
    </row>
    <row r="1747" spans="3:7" x14ac:dyDescent="0.25">
      <c r="C1747" t="s">
        <v>1932</v>
      </c>
      <c r="D1747">
        <v>0</v>
      </c>
      <c r="E1747" s="104">
        <v>54810.58</v>
      </c>
      <c r="F1747" s="104">
        <v>54810.58</v>
      </c>
      <c r="G1747">
        <v>0</v>
      </c>
    </row>
    <row r="1748" spans="3:7" x14ac:dyDescent="0.25">
      <c r="C1748" t="s">
        <v>1940</v>
      </c>
      <c r="D1748">
        <v>0</v>
      </c>
      <c r="E1748">
        <v>0</v>
      </c>
      <c r="F1748">
        <v>0</v>
      </c>
      <c r="G1748">
        <v>0</v>
      </c>
    </row>
    <row r="1749" spans="3:7" x14ac:dyDescent="0.25">
      <c r="C1749" t="s">
        <v>1977</v>
      </c>
      <c r="D1749">
        <v>0</v>
      </c>
      <c r="E1749" s="104">
        <v>28862.49</v>
      </c>
      <c r="F1749" s="104">
        <v>28862.49</v>
      </c>
      <c r="G1749">
        <v>0</v>
      </c>
    </row>
    <row r="1750" spans="3:7" x14ac:dyDescent="0.25">
      <c r="C1750" t="s">
        <v>2032</v>
      </c>
      <c r="D1750">
        <v>0</v>
      </c>
      <c r="E1750">
        <v>0</v>
      </c>
      <c r="F1750">
        <v>0</v>
      </c>
      <c r="G1750">
        <v>0</v>
      </c>
    </row>
    <row r="1751" spans="3:7" x14ac:dyDescent="0.25">
      <c r="C1751" t="s">
        <v>1952</v>
      </c>
      <c r="D1751">
        <v>0</v>
      </c>
      <c r="E1751" s="104">
        <v>8169.59</v>
      </c>
      <c r="F1751" s="104">
        <v>8169.59</v>
      </c>
      <c r="G1751">
        <v>0</v>
      </c>
    </row>
    <row r="1752" spans="3:7" x14ac:dyDescent="0.25">
      <c r="C1752" t="s">
        <v>2392</v>
      </c>
      <c r="D1752">
        <v>0</v>
      </c>
      <c r="E1752">
        <v>0</v>
      </c>
      <c r="F1752">
        <v>0</v>
      </c>
      <c r="G1752">
        <v>0</v>
      </c>
    </row>
    <row r="1753" spans="3:7" x14ac:dyDescent="0.25">
      <c r="C1753" t="s">
        <v>1867</v>
      </c>
      <c r="D1753">
        <v>0</v>
      </c>
      <c r="E1753">
        <v>0</v>
      </c>
      <c r="F1753">
        <v>0</v>
      </c>
      <c r="G1753">
        <v>0</v>
      </c>
    </row>
    <row r="1754" spans="3:7" x14ac:dyDescent="0.25">
      <c r="C1754" t="s">
        <v>1907</v>
      </c>
      <c r="D1754">
        <v>0</v>
      </c>
      <c r="E1754">
        <v>0</v>
      </c>
      <c r="F1754">
        <v>0</v>
      </c>
      <c r="G1754">
        <v>0</v>
      </c>
    </row>
    <row r="1755" spans="3:7" x14ac:dyDescent="0.25">
      <c r="C1755" t="s">
        <v>2037</v>
      </c>
      <c r="D1755">
        <v>0</v>
      </c>
      <c r="E1755">
        <v>0</v>
      </c>
      <c r="F1755">
        <v>0</v>
      </c>
      <c r="G1755">
        <v>0</v>
      </c>
    </row>
    <row r="1756" spans="3:7" x14ac:dyDescent="0.25">
      <c r="C1756" t="s">
        <v>1936</v>
      </c>
      <c r="D1756">
        <v>0</v>
      </c>
      <c r="E1756">
        <v>0</v>
      </c>
      <c r="F1756">
        <v>0</v>
      </c>
      <c r="G1756">
        <v>0</v>
      </c>
    </row>
    <row r="1757" spans="3:7" x14ac:dyDescent="0.25">
      <c r="C1757" t="s">
        <v>1822</v>
      </c>
      <c r="D1757">
        <v>0</v>
      </c>
      <c r="E1757">
        <v>0</v>
      </c>
      <c r="F1757">
        <v>0</v>
      </c>
      <c r="G1757">
        <v>0</v>
      </c>
    </row>
    <row r="1758" spans="3:7" x14ac:dyDescent="0.25">
      <c r="C1758" t="s">
        <v>1823</v>
      </c>
      <c r="D1758">
        <v>0</v>
      </c>
      <c r="E1758">
        <v>0</v>
      </c>
      <c r="F1758">
        <v>0</v>
      </c>
      <c r="G1758">
        <v>0</v>
      </c>
    </row>
    <row r="1759" spans="3:7" x14ac:dyDescent="0.25">
      <c r="C1759" t="s">
        <v>1824</v>
      </c>
      <c r="D1759">
        <v>0</v>
      </c>
      <c r="E1759">
        <v>0</v>
      </c>
      <c r="F1759">
        <v>0</v>
      </c>
      <c r="G1759">
        <v>0</v>
      </c>
    </row>
    <row r="1760" spans="3:7" x14ac:dyDescent="0.25">
      <c r="C1760" t="s">
        <v>1825</v>
      </c>
      <c r="D1760">
        <v>0</v>
      </c>
      <c r="E1760">
        <v>0</v>
      </c>
      <c r="F1760">
        <v>0</v>
      </c>
      <c r="G1760">
        <v>0</v>
      </c>
    </row>
    <row r="1761" spans="2:7" x14ac:dyDescent="0.25">
      <c r="C1761" t="s">
        <v>1826</v>
      </c>
      <c r="D1761">
        <v>0</v>
      </c>
      <c r="E1761">
        <v>0</v>
      </c>
      <c r="F1761">
        <v>0</v>
      </c>
      <c r="G1761">
        <v>0</v>
      </c>
    </row>
    <row r="1762" spans="2:7" x14ac:dyDescent="0.25">
      <c r="C1762" t="s">
        <v>1857</v>
      </c>
      <c r="D1762">
        <v>0</v>
      </c>
      <c r="E1762">
        <v>0</v>
      </c>
      <c r="F1762">
        <v>0</v>
      </c>
      <c r="G1762">
        <v>0</v>
      </c>
    </row>
    <row r="1763" spans="2:7" x14ac:dyDescent="0.25">
      <c r="C1763" t="s">
        <v>1850</v>
      </c>
      <c r="D1763">
        <v>0</v>
      </c>
      <c r="E1763">
        <v>0</v>
      </c>
      <c r="F1763">
        <v>0</v>
      </c>
      <c r="G1763">
        <v>0</v>
      </c>
    </row>
    <row r="1764" spans="2:7" x14ac:dyDescent="0.25">
      <c r="C1764" t="s">
        <v>1851</v>
      </c>
      <c r="D1764">
        <v>0</v>
      </c>
      <c r="E1764">
        <v>0</v>
      </c>
      <c r="F1764">
        <v>0</v>
      </c>
      <c r="G1764">
        <v>0</v>
      </c>
    </row>
    <row r="1765" spans="2:7" x14ac:dyDescent="0.25">
      <c r="C1765" t="s">
        <v>1862</v>
      </c>
      <c r="D1765">
        <v>0</v>
      </c>
      <c r="E1765">
        <v>0</v>
      </c>
      <c r="F1765">
        <v>0</v>
      </c>
      <c r="G1765">
        <v>0</v>
      </c>
    </row>
    <row r="1766" spans="2:7" x14ac:dyDescent="0.25">
      <c r="C1766" t="s">
        <v>1898</v>
      </c>
      <c r="D1766">
        <v>0</v>
      </c>
      <c r="E1766" s="104">
        <v>420460.44</v>
      </c>
      <c r="F1766" s="104">
        <v>420460.44</v>
      </c>
      <c r="G1766">
        <v>0</v>
      </c>
    </row>
    <row r="1767" spans="2:7" x14ac:dyDescent="0.25">
      <c r="C1767" t="s">
        <v>2393</v>
      </c>
      <c r="D1767">
        <v>0</v>
      </c>
      <c r="E1767">
        <v>0</v>
      </c>
      <c r="F1767">
        <v>0</v>
      </c>
      <c r="G1767">
        <v>0</v>
      </c>
    </row>
    <row r="1768" spans="2:7" x14ac:dyDescent="0.25">
      <c r="C1768" t="s">
        <v>2042</v>
      </c>
      <c r="D1768">
        <v>0</v>
      </c>
      <c r="E1768">
        <v>238.16</v>
      </c>
      <c r="F1768">
        <v>238.16</v>
      </c>
      <c r="G1768">
        <v>0</v>
      </c>
    </row>
    <row r="1769" spans="2:7" x14ac:dyDescent="0.25">
      <c r="B1769" t="s">
        <v>1587</v>
      </c>
      <c r="D1769">
        <v>0</v>
      </c>
      <c r="E1769" s="104">
        <v>516073.25</v>
      </c>
      <c r="F1769" s="104">
        <v>516073.25</v>
      </c>
      <c r="G1769">
        <v>0</v>
      </c>
    </row>
    <row r="1771" spans="2:7" x14ac:dyDescent="0.25">
      <c r="B1771">
        <v>40202220</v>
      </c>
      <c r="C1771" t="s">
        <v>2394</v>
      </c>
    </row>
    <row r="1772" spans="2:7" x14ac:dyDescent="0.25">
      <c r="C1772" t="s">
        <v>1898</v>
      </c>
      <c r="D1772">
        <v>0</v>
      </c>
      <c r="E1772" s="104">
        <v>3800765.5</v>
      </c>
      <c r="F1772" s="104">
        <v>3800765.5</v>
      </c>
      <c r="G1772">
        <v>0</v>
      </c>
    </row>
    <row r="1773" spans="2:7" x14ac:dyDescent="0.25">
      <c r="C1773" t="s">
        <v>2181</v>
      </c>
      <c r="D1773">
        <v>0</v>
      </c>
      <c r="E1773" s="104">
        <v>772271.09</v>
      </c>
      <c r="F1773" s="104">
        <v>772271.09</v>
      </c>
      <c r="G1773">
        <v>0</v>
      </c>
    </row>
    <row r="1774" spans="2:7" x14ac:dyDescent="0.25">
      <c r="C1774" t="s">
        <v>1901</v>
      </c>
      <c r="D1774">
        <v>0</v>
      </c>
      <c r="E1774">
        <v>0</v>
      </c>
      <c r="F1774">
        <v>0</v>
      </c>
      <c r="G1774">
        <v>0</v>
      </c>
    </row>
    <row r="1775" spans="2:7" x14ac:dyDescent="0.25">
      <c r="B1775" t="s">
        <v>1587</v>
      </c>
      <c r="D1775">
        <v>0</v>
      </c>
      <c r="E1775" s="104">
        <v>4573036.59</v>
      </c>
      <c r="F1775" s="104">
        <v>4573036.59</v>
      </c>
      <c r="G1775">
        <v>0</v>
      </c>
    </row>
    <row r="1777" spans="2:7" x14ac:dyDescent="0.25">
      <c r="B1777">
        <v>40202280</v>
      </c>
      <c r="C1777" t="s">
        <v>390</v>
      </c>
    </row>
    <row r="1778" spans="2:7" x14ac:dyDescent="0.25">
      <c r="C1778" t="s">
        <v>1753</v>
      </c>
      <c r="D1778">
        <v>0</v>
      </c>
      <c r="E1778" s="104">
        <v>24192801.57</v>
      </c>
      <c r="F1778" s="104">
        <v>24192801.57</v>
      </c>
      <c r="G1778">
        <v>0</v>
      </c>
    </row>
    <row r="1779" spans="2:7" x14ac:dyDescent="0.25">
      <c r="C1779" t="s">
        <v>1754</v>
      </c>
      <c r="D1779">
        <v>0</v>
      </c>
      <c r="E1779" s="104">
        <v>6593784.4000000004</v>
      </c>
      <c r="F1779" s="104">
        <v>6593784.4000000004</v>
      </c>
      <c r="G1779">
        <v>0</v>
      </c>
    </row>
    <row r="1780" spans="2:7" x14ac:dyDescent="0.25">
      <c r="C1780" t="s">
        <v>1755</v>
      </c>
      <c r="D1780">
        <v>0</v>
      </c>
      <c r="E1780" s="104">
        <v>1460228.42</v>
      </c>
      <c r="F1780" s="104">
        <v>1460228.42</v>
      </c>
      <c r="G1780">
        <v>0</v>
      </c>
    </row>
    <row r="1781" spans="2:7" x14ac:dyDescent="0.25">
      <c r="C1781" t="s">
        <v>1756</v>
      </c>
      <c r="D1781">
        <v>0</v>
      </c>
      <c r="E1781" s="104">
        <v>3186374</v>
      </c>
      <c r="F1781" s="104">
        <v>3186374</v>
      </c>
      <c r="G1781">
        <v>0</v>
      </c>
    </row>
    <row r="1782" spans="2:7" x14ac:dyDescent="0.25">
      <c r="B1782" t="s">
        <v>1587</v>
      </c>
      <c r="D1782">
        <v>0</v>
      </c>
      <c r="E1782" s="104">
        <v>35433188.390000001</v>
      </c>
      <c r="F1782" s="104">
        <v>35433188.390000001</v>
      </c>
      <c r="G1782">
        <v>0</v>
      </c>
    </row>
    <row r="1784" spans="2:7" x14ac:dyDescent="0.25">
      <c r="B1784">
        <v>40202340</v>
      </c>
      <c r="C1784" t="s">
        <v>99</v>
      </c>
    </row>
    <row r="1785" spans="2:7" x14ac:dyDescent="0.25">
      <c r="C1785" t="s">
        <v>1783</v>
      </c>
      <c r="D1785">
        <v>0</v>
      </c>
      <c r="E1785" s="104">
        <v>80000.399999999994</v>
      </c>
      <c r="F1785" s="104">
        <v>80000.399999999994</v>
      </c>
      <c r="G1785">
        <v>0</v>
      </c>
    </row>
    <row r="1786" spans="2:7" x14ac:dyDescent="0.25">
      <c r="C1786" t="s">
        <v>1784</v>
      </c>
      <c r="D1786">
        <v>0</v>
      </c>
      <c r="E1786" s="104">
        <v>18000</v>
      </c>
      <c r="F1786" s="104">
        <v>18000</v>
      </c>
      <c r="G1786">
        <v>0</v>
      </c>
    </row>
    <row r="1787" spans="2:7" x14ac:dyDescent="0.25">
      <c r="C1787" t="s">
        <v>1785</v>
      </c>
      <c r="D1787">
        <v>0</v>
      </c>
      <c r="E1787" s="104">
        <v>24000</v>
      </c>
      <c r="F1787" s="104">
        <v>24000</v>
      </c>
      <c r="G1787">
        <v>0</v>
      </c>
    </row>
    <row r="1788" spans="2:7" x14ac:dyDescent="0.25">
      <c r="C1788" t="s">
        <v>1788</v>
      </c>
      <c r="D1788">
        <v>0</v>
      </c>
      <c r="E1788" s="104">
        <v>18000</v>
      </c>
      <c r="F1788" s="104">
        <v>18000</v>
      </c>
      <c r="G1788">
        <v>0</v>
      </c>
    </row>
    <row r="1789" spans="2:7" x14ac:dyDescent="0.25">
      <c r="B1789" t="s">
        <v>1587</v>
      </c>
      <c r="D1789">
        <v>0</v>
      </c>
      <c r="E1789" s="104">
        <v>140000.4</v>
      </c>
      <c r="F1789" s="104">
        <v>140000.4</v>
      </c>
      <c r="G1789">
        <v>0</v>
      </c>
    </row>
    <row r="1791" spans="2:7" x14ac:dyDescent="0.25">
      <c r="B1791">
        <v>40501010</v>
      </c>
      <c r="C1791" t="s">
        <v>378</v>
      </c>
    </row>
    <row r="1792" spans="2:7" x14ac:dyDescent="0.25">
      <c r="C1792" t="s">
        <v>1745</v>
      </c>
      <c r="D1792">
        <v>0</v>
      </c>
      <c r="E1792" s="104">
        <v>19421628.48</v>
      </c>
      <c r="F1792" s="104">
        <v>19421628.48</v>
      </c>
      <c r="G1792">
        <v>0</v>
      </c>
    </row>
    <row r="1793" spans="2:7" x14ac:dyDescent="0.25">
      <c r="C1793" t="s">
        <v>1724</v>
      </c>
      <c r="D1793">
        <v>0</v>
      </c>
      <c r="E1793">
        <v>0</v>
      </c>
      <c r="F1793">
        <v>0</v>
      </c>
      <c r="G1793">
        <v>0</v>
      </c>
    </row>
    <row r="1794" spans="2:7" x14ac:dyDescent="0.25">
      <c r="C1794" t="s">
        <v>1740</v>
      </c>
      <c r="D1794">
        <v>0</v>
      </c>
      <c r="E1794" s="104">
        <v>185885.17</v>
      </c>
      <c r="F1794" s="104">
        <v>185885.17</v>
      </c>
      <c r="G1794">
        <v>0</v>
      </c>
    </row>
    <row r="1795" spans="2:7" x14ac:dyDescent="0.25">
      <c r="C1795" t="s">
        <v>1746</v>
      </c>
      <c r="D1795">
        <v>0</v>
      </c>
      <c r="E1795" s="104">
        <v>6505440</v>
      </c>
      <c r="F1795" s="104">
        <v>6505440</v>
      </c>
      <c r="G1795">
        <v>0</v>
      </c>
    </row>
    <row r="1796" spans="2:7" x14ac:dyDescent="0.25">
      <c r="B1796" t="s">
        <v>1587</v>
      </c>
      <c r="D1796">
        <v>0</v>
      </c>
      <c r="E1796" s="104">
        <v>26112953.649999999</v>
      </c>
      <c r="F1796" s="104">
        <v>26112953.649999999</v>
      </c>
      <c r="G1796">
        <v>0</v>
      </c>
    </row>
    <row r="1798" spans="2:7" x14ac:dyDescent="0.25">
      <c r="B1798">
        <v>40501020</v>
      </c>
      <c r="C1798" t="s">
        <v>369</v>
      </c>
    </row>
    <row r="1799" spans="2:7" x14ac:dyDescent="0.25">
      <c r="C1799" t="s">
        <v>2005</v>
      </c>
      <c r="D1799">
        <v>0</v>
      </c>
      <c r="E1799" s="104">
        <v>14974252.859999999</v>
      </c>
      <c r="F1799" s="104">
        <v>14974252.859999999</v>
      </c>
      <c r="G1799">
        <v>0</v>
      </c>
    </row>
    <row r="1800" spans="2:7" x14ac:dyDescent="0.25">
      <c r="B1800" t="s">
        <v>1587</v>
      </c>
      <c r="D1800">
        <v>0</v>
      </c>
      <c r="E1800" s="104">
        <v>14974252.859999999</v>
      </c>
      <c r="F1800" s="104">
        <v>14974252.859999999</v>
      </c>
      <c r="G1800">
        <v>0</v>
      </c>
    </row>
    <row r="1802" spans="2:7" x14ac:dyDescent="0.25">
      <c r="B1802">
        <v>40501030</v>
      </c>
      <c r="C1802" t="s">
        <v>2395</v>
      </c>
    </row>
    <row r="1803" spans="2:7" x14ac:dyDescent="0.25">
      <c r="B1803">
        <v>40501040</v>
      </c>
      <c r="C1803" t="s">
        <v>380</v>
      </c>
    </row>
    <row r="1804" spans="2:7" x14ac:dyDescent="0.25">
      <c r="C1804" t="s">
        <v>1814</v>
      </c>
      <c r="D1804">
        <v>0</v>
      </c>
      <c r="E1804">
        <v>494.5</v>
      </c>
      <c r="F1804">
        <v>494.5</v>
      </c>
      <c r="G1804">
        <v>0</v>
      </c>
    </row>
    <row r="1805" spans="2:7" x14ac:dyDescent="0.25">
      <c r="B1805" t="s">
        <v>1587</v>
      </c>
      <c r="D1805">
        <v>0</v>
      </c>
      <c r="E1805">
        <v>494.5</v>
      </c>
      <c r="F1805">
        <v>494.5</v>
      </c>
      <c r="G1805">
        <v>0</v>
      </c>
    </row>
    <row r="1807" spans="2:7" x14ac:dyDescent="0.25">
      <c r="B1807">
        <v>40501050</v>
      </c>
      <c r="C1807" t="s">
        <v>2396</v>
      </c>
    </row>
    <row r="1808" spans="2:7" x14ac:dyDescent="0.25">
      <c r="C1808" t="s">
        <v>1814</v>
      </c>
      <c r="D1808">
        <v>0</v>
      </c>
      <c r="E1808" s="104">
        <v>5280000</v>
      </c>
      <c r="F1808" s="104">
        <v>5280000</v>
      </c>
      <c r="G1808">
        <v>0</v>
      </c>
    </row>
    <row r="1809" spans="2:7" x14ac:dyDescent="0.25">
      <c r="B1809" t="s">
        <v>1587</v>
      </c>
      <c r="D1809">
        <v>0</v>
      </c>
      <c r="E1809" s="104">
        <v>5280000</v>
      </c>
      <c r="F1809" s="104">
        <v>5280000</v>
      </c>
      <c r="G1809">
        <v>0</v>
      </c>
    </row>
    <row r="1811" spans="2:7" x14ac:dyDescent="0.25">
      <c r="B1811">
        <v>40501160</v>
      </c>
      <c r="C1811" t="s">
        <v>2397</v>
      </c>
    </row>
    <row r="1812" spans="2:7" x14ac:dyDescent="0.25">
      <c r="C1812" t="s">
        <v>2098</v>
      </c>
      <c r="D1812">
        <v>0</v>
      </c>
      <c r="E1812">
        <v>0</v>
      </c>
      <c r="F1812" s="104">
        <v>11788475.220000001</v>
      </c>
      <c r="G1812" s="104">
        <v>11788475.220000001</v>
      </c>
    </row>
    <row r="1813" spans="2:7" x14ac:dyDescent="0.25">
      <c r="C1813" t="s">
        <v>1814</v>
      </c>
      <c r="D1813">
        <v>0</v>
      </c>
      <c r="E1813" s="104">
        <v>12470262424.780001</v>
      </c>
      <c r="F1813" s="104">
        <v>8608435833</v>
      </c>
      <c r="G1813" s="104">
        <v>-3861826591.7800002</v>
      </c>
    </row>
    <row r="1814" spans="2:7" x14ac:dyDescent="0.25">
      <c r="B1814" t="s">
        <v>1587</v>
      </c>
      <c r="D1814">
        <v>0</v>
      </c>
      <c r="E1814" s="104">
        <v>12470262424.780001</v>
      </c>
      <c r="F1814" s="104">
        <v>8620224308.2199993</v>
      </c>
      <c r="G1814" s="104">
        <v>-3850038116.5599999</v>
      </c>
    </row>
    <row r="1816" spans="2:7" x14ac:dyDescent="0.25">
      <c r="B1816">
        <v>40602010</v>
      </c>
      <c r="C1816" t="s">
        <v>775</v>
      </c>
    </row>
    <row r="1817" spans="2:7" x14ac:dyDescent="0.25">
      <c r="B1817">
        <v>40603990</v>
      </c>
      <c r="C1817" t="s">
        <v>381</v>
      </c>
    </row>
    <row r="1818" spans="2:7" x14ac:dyDescent="0.25">
      <c r="C1818" t="s">
        <v>1819</v>
      </c>
      <c r="D1818">
        <v>0</v>
      </c>
      <c r="E1818">
        <v>0</v>
      </c>
      <c r="F1818">
        <v>0</v>
      </c>
      <c r="G1818">
        <v>0</v>
      </c>
    </row>
    <row r="1819" spans="2:7" x14ac:dyDescent="0.25">
      <c r="C1819" t="s">
        <v>1820</v>
      </c>
      <c r="D1819">
        <v>0</v>
      </c>
      <c r="E1819" s="104">
        <v>1983898.8</v>
      </c>
      <c r="F1819" s="104">
        <v>1983898.8</v>
      </c>
      <c r="G1819">
        <v>0</v>
      </c>
    </row>
    <row r="1820" spans="2:7" x14ac:dyDescent="0.25">
      <c r="C1820" t="s">
        <v>1954</v>
      </c>
      <c r="D1820">
        <v>0</v>
      </c>
      <c r="E1820">
        <v>0</v>
      </c>
      <c r="F1820">
        <v>0</v>
      </c>
      <c r="G1820">
        <v>0</v>
      </c>
    </row>
    <row r="1821" spans="2:7" x14ac:dyDescent="0.25">
      <c r="C1821" t="s">
        <v>1822</v>
      </c>
      <c r="D1821">
        <v>0</v>
      </c>
      <c r="E1821" s="104">
        <v>109890</v>
      </c>
      <c r="F1821" s="104">
        <v>109890</v>
      </c>
      <c r="G1821">
        <v>0</v>
      </c>
    </row>
    <row r="1822" spans="2:7" x14ac:dyDescent="0.25">
      <c r="C1822" t="s">
        <v>1823</v>
      </c>
      <c r="D1822">
        <v>0</v>
      </c>
      <c r="E1822" s="104">
        <v>491019.3</v>
      </c>
      <c r="F1822" s="104">
        <v>491019.3</v>
      </c>
      <c r="G1822">
        <v>0</v>
      </c>
    </row>
    <row r="1823" spans="2:7" x14ac:dyDescent="0.25">
      <c r="C1823" t="s">
        <v>1786</v>
      </c>
      <c r="D1823">
        <v>0</v>
      </c>
      <c r="E1823" s="104">
        <v>5040</v>
      </c>
      <c r="F1823" s="104">
        <v>5040</v>
      </c>
      <c r="G1823">
        <v>0</v>
      </c>
    </row>
    <row r="1824" spans="2:7" x14ac:dyDescent="0.25">
      <c r="C1824" t="s">
        <v>1787</v>
      </c>
      <c r="D1824">
        <v>0</v>
      </c>
      <c r="E1824" s="104">
        <v>501228</v>
      </c>
      <c r="F1824" s="104">
        <v>501228</v>
      </c>
      <c r="G1824">
        <v>0</v>
      </c>
    </row>
    <row r="1825" spans="3:7" x14ac:dyDescent="0.25">
      <c r="C1825" t="s">
        <v>1830</v>
      </c>
      <c r="D1825">
        <v>0</v>
      </c>
      <c r="E1825" s="104">
        <v>155040.6</v>
      </c>
      <c r="F1825" s="104">
        <v>155040.6</v>
      </c>
      <c r="G1825">
        <v>0</v>
      </c>
    </row>
    <row r="1826" spans="3:7" x14ac:dyDescent="0.25">
      <c r="C1826" t="s">
        <v>1840</v>
      </c>
      <c r="D1826">
        <v>0</v>
      </c>
      <c r="E1826">
        <v>0</v>
      </c>
      <c r="F1826">
        <v>0</v>
      </c>
      <c r="G1826">
        <v>0</v>
      </c>
    </row>
    <row r="1827" spans="3:7" x14ac:dyDescent="0.25">
      <c r="C1827" t="s">
        <v>1844</v>
      </c>
      <c r="D1827">
        <v>0</v>
      </c>
      <c r="E1827" s="104">
        <v>65908.800000000003</v>
      </c>
      <c r="F1827" s="104">
        <v>65908.800000000003</v>
      </c>
      <c r="G1827">
        <v>0</v>
      </c>
    </row>
    <row r="1828" spans="3:7" x14ac:dyDescent="0.25">
      <c r="C1828" t="s">
        <v>2398</v>
      </c>
      <c r="D1828">
        <v>0</v>
      </c>
      <c r="E1828">
        <v>0</v>
      </c>
      <c r="F1828">
        <v>0</v>
      </c>
      <c r="G1828">
        <v>0</v>
      </c>
    </row>
    <row r="1829" spans="3:7" x14ac:dyDescent="0.25">
      <c r="C1829" t="s">
        <v>1852</v>
      </c>
      <c r="D1829">
        <v>0</v>
      </c>
      <c r="E1829">
        <v>0</v>
      </c>
      <c r="F1829">
        <v>0</v>
      </c>
      <c r="G1829">
        <v>0</v>
      </c>
    </row>
    <row r="1830" spans="3:7" x14ac:dyDescent="0.25">
      <c r="C1830" t="s">
        <v>1861</v>
      </c>
      <c r="D1830">
        <v>0</v>
      </c>
      <c r="E1830">
        <v>0</v>
      </c>
      <c r="F1830">
        <v>0</v>
      </c>
      <c r="G1830">
        <v>0</v>
      </c>
    </row>
    <row r="1831" spans="3:7" x14ac:dyDescent="0.25">
      <c r="C1831" t="s">
        <v>1867</v>
      </c>
      <c r="D1831">
        <v>0</v>
      </c>
      <c r="E1831">
        <v>0</v>
      </c>
      <c r="F1831">
        <v>0</v>
      </c>
      <c r="G1831">
        <v>0</v>
      </c>
    </row>
    <row r="1832" spans="3:7" x14ac:dyDescent="0.25">
      <c r="C1832" t="s">
        <v>2399</v>
      </c>
      <c r="D1832">
        <v>0</v>
      </c>
      <c r="E1832">
        <v>0</v>
      </c>
      <c r="F1832">
        <v>0</v>
      </c>
      <c r="G1832">
        <v>0</v>
      </c>
    </row>
    <row r="1833" spans="3:7" x14ac:dyDescent="0.25">
      <c r="C1833" t="s">
        <v>2400</v>
      </c>
      <c r="D1833">
        <v>0</v>
      </c>
      <c r="E1833">
        <v>0</v>
      </c>
      <c r="F1833">
        <v>0</v>
      </c>
      <c r="G1833">
        <v>0</v>
      </c>
    </row>
    <row r="1834" spans="3:7" x14ac:dyDescent="0.25">
      <c r="C1834" t="s">
        <v>1814</v>
      </c>
      <c r="D1834">
        <v>0</v>
      </c>
      <c r="E1834">
        <v>0.15</v>
      </c>
      <c r="F1834">
        <v>0.15</v>
      </c>
      <c r="G1834">
        <v>0</v>
      </c>
    </row>
    <row r="1835" spans="3:7" x14ac:dyDescent="0.25">
      <c r="C1835" t="s">
        <v>2401</v>
      </c>
      <c r="D1835">
        <v>0</v>
      </c>
      <c r="E1835">
        <v>0</v>
      </c>
      <c r="F1835">
        <v>0</v>
      </c>
      <c r="G1835">
        <v>0</v>
      </c>
    </row>
    <row r="1836" spans="3:7" x14ac:dyDescent="0.25">
      <c r="C1836" t="s">
        <v>1896</v>
      </c>
      <c r="D1836">
        <v>0</v>
      </c>
      <c r="E1836" s="104">
        <v>1843803.6</v>
      </c>
      <c r="F1836" s="104">
        <v>1843803.6</v>
      </c>
      <c r="G1836">
        <v>0</v>
      </c>
    </row>
    <row r="1837" spans="3:7" x14ac:dyDescent="0.25">
      <c r="C1837" t="s">
        <v>2231</v>
      </c>
      <c r="D1837">
        <v>0</v>
      </c>
      <c r="E1837" s="104">
        <v>377642.86</v>
      </c>
      <c r="F1837" s="104">
        <v>377642.86</v>
      </c>
      <c r="G1837">
        <v>0</v>
      </c>
    </row>
    <row r="1838" spans="3:7" x14ac:dyDescent="0.25">
      <c r="C1838" t="s">
        <v>2402</v>
      </c>
      <c r="D1838">
        <v>0</v>
      </c>
      <c r="E1838" s="104">
        <v>2857.8</v>
      </c>
      <c r="F1838" s="104">
        <v>2857.8</v>
      </c>
      <c r="G1838">
        <v>0</v>
      </c>
    </row>
    <row r="1839" spans="3:7" x14ac:dyDescent="0.25">
      <c r="C1839" t="s">
        <v>1851</v>
      </c>
      <c r="D1839">
        <v>0</v>
      </c>
      <c r="E1839" s="104">
        <v>9900</v>
      </c>
      <c r="F1839" s="104">
        <v>9900</v>
      </c>
      <c r="G1839">
        <v>0</v>
      </c>
    </row>
    <row r="1840" spans="3:7" x14ac:dyDescent="0.25">
      <c r="C1840" t="s">
        <v>2285</v>
      </c>
      <c r="D1840">
        <v>0</v>
      </c>
      <c r="E1840">
        <v>0</v>
      </c>
      <c r="F1840">
        <v>0</v>
      </c>
      <c r="G1840">
        <v>0</v>
      </c>
    </row>
    <row r="1841" spans="3:7" x14ac:dyDescent="0.25">
      <c r="C1841" t="s">
        <v>2065</v>
      </c>
      <c r="D1841">
        <v>0</v>
      </c>
      <c r="E1841">
        <v>0</v>
      </c>
      <c r="F1841">
        <v>0</v>
      </c>
      <c r="G1841">
        <v>0</v>
      </c>
    </row>
    <row r="1842" spans="3:7" x14ac:dyDescent="0.25">
      <c r="C1842" t="s">
        <v>2403</v>
      </c>
      <c r="D1842">
        <v>0</v>
      </c>
      <c r="E1842">
        <v>0</v>
      </c>
      <c r="F1842">
        <v>0</v>
      </c>
      <c r="G1842">
        <v>0</v>
      </c>
    </row>
    <row r="1843" spans="3:7" x14ac:dyDescent="0.25">
      <c r="C1843" t="s">
        <v>1871</v>
      </c>
      <c r="D1843">
        <v>0</v>
      </c>
      <c r="E1843" s="104">
        <v>1309.2</v>
      </c>
      <c r="F1843" s="104">
        <v>1309.2</v>
      </c>
      <c r="G1843">
        <v>0</v>
      </c>
    </row>
    <row r="1844" spans="3:7" x14ac:dyDescent="0.25">
      <c r="C1844" t="s">
        <v>1874</v>
      </c>
      <c r="D1844">
        <v>0</v>
      </c>
      <c r="E1844" s="104">
        <v>165345.4</v>
      </c>
      <c r="F1844" s="104">
        <v>165345.4</v>
      </c>
      <c r="G1844">
        <v>0</v>
      </c>
    </row>
    <row r="1845" spans="3:7" x14ac:dyDescent="0.25">
      <c r="C1845" t="s">
        <v>2404</v>
      </c>
      <c r="D1845">
        <v>0</v>
      </c>
      <c r="E1845">
        <v>0</v>
      </c>
      <c r="F1845">
        <v>0</v>
      </c>
      <c r="G1845">
        <v>0</v>
      </c>
    </row>
    <row r="1846" spans="3:7" x14ac:dyDescent="0.25">
      <c r="C1846" t="s">
        <v>2405</v>
      </c>
      <c r="D1846">
        <v>0</v>
      </c>
      <c r="E1846" s="104">
        <v>2142.86</v>
      </c>
      <c r="F1846" s="104">
        <v>2142.86</v>
      </c>
      <c r="G1846">
        <v>0</v>
      </c>
    </row>
    <row r="1847" spans="3:7" x14ac:dyDescent="0.25">
      <c r="C1847" t="s">
        <v>2406</v>
      </c>
      <c r="D1847">
        <v>0</v>
      </c>
      <c r="E1847" s="104">
        <v>2281.25</v>
      </c>
      <c r="F1847" s="104">
        <v>2281.25</v>
      </c>
      <c r="G1847">
        <v>0</v>
      </c>
    </row>
    <row r="1848" spans="3:7" x14ac:dyDescent="0.25">
      <c r="C1848" t="s">
        <v>1725</v>
      </c>
      <c r="D1848">
        <v>0</v>
      </c>
      <c r="E1848">
        <v>1</v>
      </c>
      <c r="F1848">
        <v>1</v>
      </c>
      <c r="G1848">
        <v>0</v>
      </c>
    </row>
    <row r="1849" spans="3:7" x14ac:dyDescent="0.25">
      <c r="C1849" t="s">
        <v>2407</v>
      </c>
      <c r="D1849">
        <v>0</v>
      </c>
      <c r="E1849">
        <v>879.46</v>
      </c>
      <c r="F1849">
        <v>879.46</v>
      </c>
      <c r="G1849">
        <v>0</v>
      </c>
    </row>
    <row r="1850" spans="3:7" x14ac:dyDescent="0.25">
      <c r="C1850" t="s">
        <v>1884</v>
      </c>
      <c r="D1850">
        <v>0</v>
      </c>
      <c r="E1850" s="104">
        <v>204446.7</v>
      </c>
      <c r="F1850" s="104">
        <v>204446.7</v>
      </c>
      <c r="G1850">
        <v>0</v>
      </c>
    </row>
    <row r="1851" spans="3:7" x14ac:dyDescent="0.25">
      <c r="C1851" t="s">
        <v>1885</v>
      </c>
      <c r="D1851">
        <v>0</v>
      </c>
      <c r="E1851" s="104">
        <v>14401.2</v>
      </c>
      <c r="F1851" s="104">
        <v>14401.2</v>
      </c>
      <c r="G1851">
        <v>0</v>
      </c>
    </row>
    <row r="1852" spans="3:7" x14ac:dyDescent="0.25">
      <c r="C1852" t="s">
        <v>1886</v>
      </c>
      <c r="D1852">
        <v>0</v>
      </c>
      <c r="E1852" s="104">
        <v>45000</v>
      </c>
      <c r="F1852" s="104">
        <v>45000</v>
      </c>
      <c r="G1852">
        <v>0</v>
      </c>
    </row>
    <row r="1853" spans="3:7" x14ac:dyDescent="0.25">
      <c r="C1853" t="s">
        <v>1887</v>
      </c>
      <c r="D1853">
        <v>0</v>
      </c>
      <c r="E1853" s="104">
        <v>52423.199999999997</v>
      </c>
      <c r="F1853" s="104">
        <v>52423.199999999997</v>
      </c>
      <c r="G1853">
        <v>0</v>
      </c>
    </row>
    <row r="1854" spans="3:7" x14ac:dyDescent="0.25">
      <c r="C1854" t="s">
        <v>1888</v>
      </c>
      <c r="D1854">
        <v>0</v>
      </c>
      <c r="E1854" s="104">
        <v>22862.400000000001</v>
      </c>
      <c r="F1854" s="104">
        <v>22862.400000000001</v>
      </c>
      <c r="G1854">
        <v>0</v>
      </c>
    </row>
    <row r="1855" spans="3:7" x14ac:dyDescent="0.25">
      <c r="C1855" t="s">
        <v>2408</v>
      </c>
      <c r="D1855">
        <v>0</v>
      </c>
      <c r="E1855" s="104">
        <v>1071.43</v>
      </c>
      <c r="F1855" s="104">
        <v>1071.43</v>
      </c>
      <c r="G1855">
        <v>0</v>
      </c>
    </row>
    <row r="1856" spans="3:7" x14ac:dyDescent="0.25">
      <c r="C1856" t="s">
        <v>2409</v>
      </c>
      <c r="D1856">
        <v>0</v>
      </c>
      <c r="E1856">
        <v>151.79</v>
      </c>
      <c r="F1856">
        <v>151.79</v>
      </c>
      <c r="G1856">
        <v>0</v>
      </c>
    </row>
    <row r="1857" spans="2:7" x14ac:dyDescent="0.25">
      <c r="C1857" t="s">
        <v>2410</v>
      </c>
      <c r="D1857">
        <v>0</v>
      </c>
      <c r="E1857">
        <v>303.57</v>
      </c>
      <c r="F1857">
        <v>303.57</v>
      </c>
      <c r="G1857">
        <v>0</v>
      </c>
    </row>
    <row r="1858" spans="2:7" x14ac:dyDescent="0.25">
      <c r="C1858" t="s">
        <v>2411</v>
      </c>
      <c r="D1858">
        <v>0</v>
      </c>
      <c r="E1858">
        <v>542.86</v>
      </c>
      <c r="F1858">
        <v>542.86</v>
      </c>
      <c r="G1858">
        <v>0</v>
      </c>
    </row>
    <row r="1859" spans="2:7" x14ac:dyDescent="0.25">
      <c r="C1859" t="s">
        <v>2412</v>
      </c>
      <c r="D1859">
        <v>0</v>
      </c>
      <c r="E1859">
        <v>102.68</v>
      </c>
      <c r="F1859">
        <v>102.68</v>
      </c>
      <c r="G1859">
        <v>0</v>
      </c>
    </row>
    <row r="1860" spans="2:7" x14ac:dyDescent="0.25">
      <c r="B1860" t="s">
        <v>1587</v>
      </c>
      <c r="D1860">
        <v>0</v>
      </c>
      <c r="E1860" s="104">
        <v>6059494.9100000001</v>
      </c>
      <c r="F1860" s="104">
        <v>6059494.9100000001</v>
      </c>
      <c r="G1860">
        <v>0</v>
      </c>
    </row>
    <row r="1862" spans="2:7" x14ac:dyDescent="0.25">
      <c r="B1862">
        <v>50101010</v>
      </c>
      <c r="C1862" t="s">
        <v>399</v>
      </c>
    </row>
    <row r="1863" spans="2:7" x14ac:dyDescent="0.25">
      <c r="C1863" t="s">
        <v>2269</v>
      </c>
      <c r="D1863">
        <v>0</v>
      </c>
      <c r="E1863" s="104">
        <v>3892732</v>
      </c>
      <c r="F1863" s="104">
        <v>3892732</v>
      </c>
      <c r="G1863">
        <v>0</v>
      </c>
    </row>
    <row r="1864" spans="2:7" x14ac:dyDescent="0.25">
      <c r="C1864" t="s">
        <v>2270</v>
      </c>
      <c r="D1864">
        <v>0</v>
      </c>
      <c r="E1864" s="104">
        <v>3284645.2</v>
      </c>
      <c r="F1864" s="104">
        <v>3284645.2</v>
      </c>
      <c r="G1864">
        <v>0</v>
      </c>
    </row>
    <row r="1865" spans="2:7" x14ac:dyDescent="0.25">
      <c r="C1865" t="s">
        <v>2413</v>
      </c>
      <c r="D1865">
        <v>0</v>
      </c>
      <c r="E1865" s="104">
        <v>2155356</v>
      </c>
      <c r="F1865" s="104">
        <v>2155356</v>
      </c>
      <c r="G1865">
        <v>0</v>
      </c>
    </row>
    <row r="1866" spans="2:7" x14ac:dyDescent="0.25">
      <c r="C1866" t="s">
        <v>2414</v>
      </c>
      <c r="D1866">
        <v>0</v>
      </c>
      <c r="E1866" s="104">
        <v>12828064.52</v>
      </c>
      <c r="F1866" s="104">
        <v>12828064.52</v>
      </c>
      <c r="G1866">
        <v>0</v>
      </c>
    </row>
    <row r="1867" spans="2:7" x14ac:dyDescent="0.25">
      <c r="C1867" t="s">
        <v>2415</v>
      </c>
      <c r="D1867">
        <v>0</v>
      </c>
      <c r="E1867" s="104">
        <v>888756</v>
      </c>
      <c r="F1867" s="104">
        <v>888756</v>
      </c>
      <c r="G1867">
        <v>0</v>
      </c>
    </row>
    <row r="1868" spans="2:7" x14ac:dyDescent="0.25">
      <c r="C1868" t="s">
        <v>2416</v>
      </c>
      <c r="D1868">
        <v>0</v>
      </c>
      <c r="E1868" s="104">
        <v>3719279.45</v>
      </c>
      <c r="F1868" s="104">
        <v>3719279.45</v>
      </c>
      <c r="G1868">
        <v>0</v>
      </c>
    </row>
    <row r="1869" spans="2:7" x14ac:dyDescent="0.25">
      <c r="C1869" t="s">
        <v>2145</v>
      </c>
      <c r="D1869">
        <v>0</v>
      </c>
      <c r="E1869">
        <v>0</v>
      </c>
      <c r="F1869">
        <v>0</v>
      </c>
      <c r="G1869">
        <v>0</v>
      </c>
    </row>
    <row r="1870" spans="2:7" x14ac:dyDescent="0.25">
      <c r="C1870" t="s">
        <v>2417</v>
      </c>
      <c r="D1870">
        <v>0</v>
      </c>
      <c r="E1870" s="104">
        <v>1590604</v>
      </c>
      <c r="F1870" s="104">
        <v>1590604</v>
      </c>
      <c r="G1870">
        <v>0</v>
      </c>
    </row>
    <row r="1871" spans="2:7" x14ac:dyDescent="0.25">
      <c r="C1871" t="s">
        <v>2418</v>
      </c>
      <c r="D1871">
        <v>0</v>
      </c>
      <c r="E1871" s="104">
        <v>1187245.0900000001</v>
      </c>
      <c r="F1871" s="104">
        <v>1187245.0900000001</v>
      </c>
      <c r="G1871">
        <v>0</v>
      </c>
    </row>
    <row r="1872" spans="2:7" x14ac:dyDescent="0.25">
      <c r="C1872" t="s">
        <v>2419</v>
      </c>
      <c r="D1872">
        <v>0</v>
      </c>
      <c r="E1872" s="104">
        <v>502296</v>
      </c>
      <c r="F1872" s="104">
        <v>502296</v>
      </c>
      <c r="G1872">
        <v>0</v>
      </c>
    </row>
    <row r="1873" spans="2:7" x14ac:dyDescent="0.25">
      <c r="B1873" t="s">
        <v>1587</v>
      </c>
      <c r="D1873">
        <v>0</v>
      </c>
      <c r="E1873" s="104">
        <v>30048978.260000002</v>
      </c>
      <c r="F1873" s="104">
        <v>30048978.260000002</v>
      </c>
      <c r="G1873">
        <v>0</v>
      </c>
    </row>
    <row r="1875" spans="2:7" x14ac:dyDescent="0.25">
      <c r="B1875">
        <v>50101020</v>
      </c>
      <c r="C1875" t="s">
        <v>2420</v>
      </c>
    </row>
    <row r="1876" spans="2:7" x14ac:dyDescent="0.25">
      <c r="B1876">
        <v>50102010</v>
      </c>
      <c r="C1876" t="s">
        <v>434</v>
      </c>
    </row>
    <row r="1877" spans="2:7" x14ac:dyDescent="0.25">
      <c r="C1877" t="s">
        <v>2269</v>
      </c>
      <c r="D1877">
        <v>0</v>
      </c>
      <c r="E1877" s="104">
        <v>83000</v>
      </c>
      <c r="F1877" s="104">
        <v>83000</v>
      </c>
      <c r="G1877">
        <v>0</v>
      </c>
    </row>
    <row r="1878" spans="2:7" x14ac:dyDescent="0.25">
      <c r="C1878" t="s">
        <v>2270</v>
      </c>
      <c r="D1878">
        <v>0</v>
      </c>
      <c r="E1878" s="104">
        <v>67471.94</v>
      </c>
      <c r="F1878" s="104">
        <v>67471.94</v>
      </c>
      <c r="G1878">
        <v>0</v>
      </c>
    </row>
    <row r="1879" spans="2:7" x14ac:dyDescent="0.25">
      <c r="C1879" t="s">
        <v>2414</v>
      </c>
      <c r="D1879">
        <v>0</v>
      </c>
      <c r="E1879" s="104">
        <v>384545.45</v>
      </c>
      <c r="F1879" s="104">
        <v>384545.45</v>
      </c>
      <c r="G1879">
        <v>0</v>
      </c>
    </row>
    <row r="1880" spans="2:7" x14ac:dyDescent="0.25">
      <c r="C1880" t="s">
        <v>2413</v>
      </c>
      <c r="D1880">
        <v>0</v>
      </c>
      <c r="E1880" s="104">
        <v>41363.629999999997</v>
      </c>
      <c r="F1880" s="104">
        <v>41363.629999999997</v>
      </c>
      <c r="G1880">
        <v>0</v>
      </c>
    </row>
    <row r="1881" spans="2:7" x14ac:dyDescent="0.25">
      <c r="C1881" t="s">
        <v>2415</v>
      </c>
      <c r="D1881">
        <v>0</v>
      </c>
      <c r="E1881" s="104">
        <v>22000</v>
      </c>
      <c r="F1881" s="104">
        <v>22000</v>
      </c>
      <c r="G1881">
        <v>0</v>
      </c>
    </row>
    <row r="1882" spans="2:7" x14ac:dyDescent="0.25">
      <c r="C1882" t="s">
        <v>2416</v>
      </c>
      <c r="D1882">
        <v>0</v>
      </c>
      <c r="E1882" s="104">
        <v>72000</v>
      </c>
      <c r="F1882" s="104">
        <v>72000</v>
      </c>
      <c r="G1882">
        <v>0</v>
      </c>
    </row>
    <row r="1883" spans="2:7" x14ac:dyDescent="0.25">
      <c r="C1883" t="s">
        <v>2421</v>
      </c>
      <c r="D1883">
        <v>0</v>
      </c>
      <c r="E1883">
        <v>0</v>
      </c>
      <c r="F1883">
        <v>0</v>
      </c>
      <c r="G1883">
        <v>0</v>
      </c>
    </row>
    <row r="1884" spans="2:7" x14ac:dyDescent="0.25">
      <c r="C1884" t="s">
        <v>2417</v>
      </c>
      <c r="D1884">
        <v>0</v>
      </c>
      <c r="E1884" s="104">
        <v>19090.91</v>
      </c>
      <c r="F1884" s="104">
        <v>19090.91</v>
      </c>
      <c r="G1884">
        <v>0</v>
      </c>
    </row>
    <row r="1885" spans="2:7" x14ac:dyDescent="0.25">
      <c r="C1885" t="s">
        <v>2418</v>
      </c>
      <c r="D1885">
        <v>0</v>
      </c>
      <c r="E1885" s="104">
        <v>14181.82</v>
      </c>
      <c r="F1885" s="104">
        <v>14181.82</v>
      </c>
      <c r="G1885">
        <v>0</v>
      </c>
    </row>
    <row r="1886" spans="2:7" x14ac:dyDescent="0.25">
      <c r="C1886" t="s">
        <v>2419</v>
      </c>
      <c r="D1886">
        <v>0</v>
      </c>
      <c r="E1886" s="104">
        <v>6000</v>
      </c>
      <c r="F1886" s="104">
        <v>6000</v>
      </c>
      <c r="G1886">
        <v>0</v>
      </c>
    </row>
    <row r="1887" spans="2:7" x14ac:dyDescent="0.25">
      <c r="B1887" t="s">
        <v>1587</v>
      </c>
      <c r="D1887">
        <v>0</v>
      </c>
      <c r="E1887" s="104">
        <v>709653.75</v>
      </c>
      <c r="F1887" s="104">
        <v>709653.75</v>
      </c>
      <c r="G1887">
        <v>0</v>
      </c>
    </row>
    <row r="1889" spans="2:7" x14ac:dyDescent="0.25">
      <c r="B1889">
        <v>50102020</v>
      </c>
      <c r="C1889" t="s">
        <v>435</v>
      </c>
    </row>
    <row r="1890" spans="2:7" x14ac:dyDescent="0.25">
      <c r="C1890" t="s">
        <v>2269</v>
      </c>
      <c r="D1890">
        <v>0</v>
      </c>
      <c r="E1890" s="104">
        <v>135000</v>
      </c>
      <c r="F1890" s="104">
        <v>135000</v>
      </c>
      <c r="G1890">
        <v>0</v>
      </c>
    </row>
    <row r="1891" spans="2:7" x14ac:dyDescent="0.25">
      <c r="C1891" t="s">
        <v>2270</v>
      </c>
      <c r="D1891">
        <v>0</v>
      </c>
      <c r="E1891" s="104">
        <v>132000</v>
      </c>
      <c r="F1891" s="104">
        <v>132000</v>
      </c>
      <c r="G1891">
        <v>0</v>
      </c>
    </row>
    <row r="1892" spans="2:7" x14ac:dyDescent="0.25">
      <c r="C1892" t="s">
        <v>2413</v>
      </c>
      <c r="D1892">
        <v>0</v>
      </c>
      <c r="E1892" s="104">
        <v>49431.82</v>
      </c>
      <c r="F1892" s="104">
        <v>49431.82</v>
      </c>
      <c r="G1892">
        <v>0</v>
      </c>
    </row>
    <row r="1893" spans="2:7" x14ac:dyDescent="0.25">
      <c r="C1893" t="s">
        <v>2415</v>
      </c>
      <c r="D1893">
        <v>0</v>
      </c>
      <c r="E1893" s="104">
        <v>10000</v>
      </c>
      <c r="F1893" s="104">
        <v>10000</v>
      </c>
      <c r="G1893">
        <v>0</v>
      </c>
    </row>
    <row r="1894" spans="2:7" x14ac:dyDescent="0.25">
      <c r="C1894" t="s">
        <v>2416</v>
      </c>
      <c r="D1894">
        <v>0</v>
      </c>
      <c r="E1894" s="104">
        <v>135000</v>
      </c>
      <c r="F1894" s="104">
        <v>135000</v>
      </c>
      <c r="G1894">
        <v>0</v>
      </c>
    </row>
    <row r="1895" spans="2:7" x14ac:dyDescent="0.25">
      <c r="C1895" t="s">
        <v>2414</v>
      </c>
      <c r="D1895">
        <v>0</v>
      </c>
      <c r="E1895" s="104">
        <v>265681.82</v>
      </c>
      <c r="F1895" s="104">
        <v>265681.82</v>
      </c>
      <c r="G1895">
        <v>0</v>
      </c>
    </row>
    <row r="1896" spans="2:7" x14ac:dyDescent="0.25">
      <c r="C1896" t="s">
        <v>2417</v>
      </c>
      <c r="D1896">
        <v>0</v>
      </c>
      <c r="E1896" s="104">
        <v>97500</v>
      </c>
      <c r="F1896" s="104">
        <v>97500</v>
      </c>
      <c r="G1896">
        <v>0</v>
      </c>
    </row>
    <row r="1897" spans="2:7" x14ac:dyDescent="0.25">
      <c r="C1897" t="s">
        <v>2418</v>
      </c>
      <c r="D1897">
        <v>0</v>
      </c>
      <c r="E1897" s="104">
        <v>72500</v>
      </c>
      <c r="F1897" s="104">
        <v>72500</v>
      </c>
      <c r="G1897">
        <v>0</v>
      </c>
    </row>
    <row r="1898" spans="2:7" x14ac:dyDescent="0.25">
      <c r="C1898" t="s">
        <v>2419</v>
      </c>
      <c r="D1898">
        <v>0</v>
      </c>
      <c r="E1898" s="104">
        <v>30000</v>
      </c>
      <c r="F1898" s="104">
        <v>30000</v>
      </c>
      <c r="G1898">
        <v>0</v>
      </c>
    </row>
    <row r="1899" spans="2:7" x14ac:dyDescent="0.25">
      <c r="B1899" t="s">
        <v>1587</v>
      </c>
      <c r="D1899">
        <v>0</v>
      </c>
      <c r="E1899" s="104">
        <v>927113.64</v>
      </c>
      <c r="F1899" s="104">
        <v>927113.64</v>
      </c>
      <c r="G1899">
        <v>0</v>
      </c>
    </row>
    <row r="1901" spans="2:7" x14ac:dyDescent="0.25">
      <c r="B1901">
        <v>50102030</v>
      </c>
      <c r="C1901" t="s">
        <v>400</v>
      </c>
    </row>
    <row r="1902" spans="2:7" x14ac:dyDescent="0.25">
      <c r="C1902" t="s">
        <v>2269</v>
      </c>
      <c r="D1902">
        <v>0</v>
      </c>
      <c r="E1902" s="104">
        <v>13863.64</v>
      </c>
      <c r="F1902" s="104">
        <v>13863.64</v>
      </c>
      <c r="G1902">
        <v>0</v>
      </c>
    </row>
    <row r="1903" spans="2:7" x14ac:dyDescent="0.25">
      <c r="C1903" t="s">
        <v>2413</v>
      </c>
      <c r="D1903">
        <v>0</v>
      </c>
      <c r="E1903" s="104">
        <v>38750</v>
      </c>
      <c r="F1903" s="104">
        <v>38750</v>
      </c>
      <c r="G1903">
        <v>0</v>
      </c>
    </row>
    <row r="1904" spans="2:7" x14ac:dyDescent="0.25">
      <c r="C1904" t="s">
        <v>2415</v>
      </c>
      <c r="D1904">
        <v>0</v>
      </c>
      <c r="E1904" s="104">
        <v>10000</v>
      </c>
      <c r="F1904" s="104">
        <v>10000</v>
      </c>
      <c r="G1904">
        <v>0</v>
      </c>
    </row>
    <row r="1905" spans="2:7" x14ac:dyDescent="0.25">
      <c r="C1905" t="s">
        <v>2416</v>
      </c>
      <c r="D1905">
        <v>0</v>
      </c>
      <c r="E1905" s="104">
        <v>14545.46</v>
      </c>
      <c r="F1905" s="104">
        <v>14545.46</v>
      </c>
      <c r="G1905">
        <v>0</v>
      </c>
    </row>
    <row r="1906" spans="2:7" x14ac:dyDescent="0.25">
      <c r="C1906" t="s">
        <v>2414</v>
      </c>
      <c r="D1906">
        <v>0</v>
      </c>
      <c r="E1906" s="104">
        <v>250447.99</v>
      </c>
      <c r="F1906" s="104">
        <v>250447.99</v>
      </c>
      <c r="G1906">
        <v>0</v>
      </c>
    </row>
    <row r="1907" spans="2:7" x14ac:dyDescent="0.25">
      <c r="C1907" t="s">
        <v>2417</v>
      </c>
      <c r="D1907">
        <v>0</v>
      </c>
      <c r="E1907" s="104">
        <v>87045.440000000002</v>
      </c>
      <c r="F1907" s="104">
        <v>87045.440000000002</v>
      </c>
      <c r="G1907">
        <v>0</v>
      </c>
    </row>
    <row r="1908" spans="2:7" x14ac:dyDescent="0.25">
      <c r="C1908" t="s">
        <v>2419</v>
      </c>
      <c r="D1908">
        <v>0</v>
      </c>
      <c r="E1908" s="104">
        <v>30000</v>
      </c>
      <c r="F1908" s="104">
        <v>30000</v>
      </c>
      <c r="G1908">
        <v>0</v>
      </c>
    </row>
    <row r="1909" spans="2:7" x14ac:dyDescent="0.25">
      <c r="B1909" t="s">
        <v>1587</v>
      </c>
      <c r="D1909">
        <v>0</v>
      </c>
      <c r="E1909" s="104">
        <v>444652.53</v>
      </c>
      <c r="F1909" s="104">
        <v>444652.53</v>
      </c>
      <c r="G1909">
        <v>0</v>
      </c>
    </row>
    <row r="1911" spans="2:7" x14ac:dyDescent="0.25">
      <c r="B1911">
        <v>50102040</v>
      </c>
      <c r="C1911" t="s">
        <v>445</v>
      </c>
    </row>
    <row r="1912" spans="2:7" x14ac:dyDescent="0.25">
      <c r="C1912" t="s">
        <v>2269</v>
      </c>
      <c r="D1912">
        <v>0</v>
      </c>
      <c r="E1912" s="104">
        <v>24000</v>
      </c>
      <c r="F1912" s="104">
        <v>24000</v>
      </c>
      <c r="G1912">
        <v>0</v>
      </c>
    </row>
    <row r="1913" spans="2:7" x14ac:dyDescent="0.25">
      <c r="C1913" t="s">
        <v>2270</v>
      </c>
      <c r="D1913">
        <v>0</v>
      </c>
      <c r="E1913" s="104">
        <v>6000</v>
      </c>
      <c r="F1913" s="104">
        <v>6000</v>
      </c>
      <c r="G1913">
        <v>0</v>
      </c>
    </row>
    <row r="1914" spans="2:7" x14ac:dyDescent="0.25">
      <c r="C1914" t="s">
        <v>2414</v>
      </c>
      <c r="D1914">
        <v>0</v>
      </c>
      <c r="E1914" s="104">
        <v>96000</v>
      </c>
      <c r="F1914" s="104">
        <v>96000</v>
      </c>
      <c r="G1914">
        <v>0</v>
      </c>
    </row>
    <row r="1915" spans="2:7" x14ac:dyDescent="0.25">
      <c r="C1915" t="s">
        <v>2413</v>
      </c>
      <c r="D1915">
        <v>0</v>
      </c>
      <c r="E1915" s="104">
        <v>6000</v>
      </c>
      <c r="F1915" s="104">
        <v>6000</v>
      </c>
      <c r="G1915">
        <v>0</v>
      </c>
    </row>
    <row r="1916" spans="2:7" x14ac:dyDescent="0.25">
      <c r="C1916" t="s">
        <v>2415</v>
      </c>
      <c r="D1916">
        <v>0</v>
      </c>
      <c r="E1916" s="104">
        <v>6000</v>
      </c>
      <c r="F1916" s="104">
        <v>6000</v>
      </c>
      <c r="G1916">
        <v>0</v>
      </c>
    </row>
    <row r="1917" spans="2:7" x14ac:dyDescent="0.25">
      <c r="C1917" t="s">
        <v>2416</v>
      </c>
      <c r="D1917">
        <v>0</v>
      </c>
      <c r="E1917" s="104">
        <v>18000</v>
      </c>
      <c r="F1917" s="104">
        <v>18000</v>
      </c>
      <c r="G1917">
        <v>0</v>
      </c>
    </row>
    <row r="1918" spans="2:7" x14ac:dyDescent="0.25">
      <c r="C1918" t="s">
        <v>2417</v>
      </c>
      <c r="D1918">
        <v>0</v>
      </c>
      <c r="E1918" s="104">
        <v>6000</v>
      </c>
      <c r="F1918" s="104">
        <v>6000</v>
      </c>
      <c r="G1918">
        <v>0</v>
      </c>
    </row>
    <row r="1919" spans="2:7" x14ac:dyDescent="0.25">
      <c r="B1919" t="s">
        <v>1587</v>
      </c>
      <c r="D1919">
        <v>0</v>
      </c>
      <c r="E1919" s="104">
        <v>162000</v>
      </c>
      <c r="F1919" s="104">
        <v>162000</v>
      </c>
      <c r="G1919">
        <v>0</v>
      </c>
    </row>
    <row r="1921" spans="2:7" x14ac:dyDescent="0.25">
      <c r="B1921">
        <v>50102080</v>
      </c>
      <c r="C1921" t="s">
        <v>430</v>
      </c>
    </row>
    <row r="1922" spans="2:7" x14ac:dyDescent="0.25">
      <c r="C1922" t="s">
        <v>2269</v>
      </c>
      <c r="D1922">
        <v>0</v>
      </c>
      <c r="E1922" s="104">
        <v>15000</v>
      </c>
      <c r="F1922" s="104">
        <v>15000</v>
      </c>
      <c r="G1922">
        <v>0</v>
      </c>
    </row>
    <row r="1923" spans="2:7" x14ac:dyDescent="0.25">
      <c r="C1923" t="s">
        <v>2270</v>
      </c>
      <c r="D1923">
        <v>0</v>
      </c>
      <c r="E1923" s="104">
        <v>15000</v>
      </c>
      <c r="F1923" s="104">
        <v>15000</v>
      </c>
      <c r="G1923">
        <v>0</v>
      </c>
    </row>
    <row r="1924" spans="2:7" x14ac:dyDescent="0.25">
      <c r="C1924" t="s">
        <v>2413</v>
      </c>
      <c r="D1924">
        <v>0</v>
      </c>
      <c r="E1924" s="104">
        <v>10000</v>
      </c>
      <c r="F1924" s="104">
        <v>10000</v>
      </c>
      <c r="G1924">
        <v>0</v>
      </c>
    </row>
    <row r="1925" spans="2:7" x14ac:dyDescent="0.25">
      <c r="C1925" t="s">
        <v>2415</v>
      </c>
      <c r="D1925">
        <v>0</v>
      </c>
      <c r="E1925" s="104">
        <v>5000</v>
      </c>
      <c r="F1925" s="104">
        <v>5000</v>
      </c>
      <c r="G1925">
        <v>0</v>
      </c>
    </row>
    <row r="1926" spans="2:7" x14ac:dyDescent="0.25">
      <c r="C1926" t="s">
        <v>2416</v>
      </c>
      <c r="D1926">
        <v>0</v>
      </c>
      <c r="E1926" s="104">
        <v>15000</v>
      </c>
      <c r="F1926" s="104">
        <v>15000</v>
      </c>
      <c r="G1926">
        <v>0</v>
      </c>
    </row>
    <row r="1927" spans="2:7" x14ac:dyDescent="0.25">
      <c r="C1927" t="s">
        <v>2414</v>
      </c>
      <c r="D1927">
        <v>0</v>
      </c>
      <c r="E1927" s="104">
        <v>75000</v>
      </c>
      <c r="F1927" s="104">
        <v>75000</v>
      </c>
      <c r="G1927">
        <v>0</v>
      </c>
    </row>
    <row r="1928" spans="2:7" x14ac:dyDescent="0.25">
      <c r="C1928" t="s">
        <v>2418</v>
      </c>
      <c r="D1928">
        <v>0</v>
      </c>
      <c r="E1928" s="104">
        <v>5000</v>
      </c>
      <c r="F1928" s="104">
        <v>5000</v>
      </c>
      <c r="G1928">
        <v>0</v>
      </c>
    </row>
    <row r="1929" spans="2:7" x14ac:dyDescent="0.25">
      <c r="C1929" t="s">
        <v>2422</v>
      </c>
      <c r="D1929">
        <v>0</v>
      </c>
      <c r="E1929" s="104">
        <v>5000</v>
      </c>
      <c r="F1929" s="104">
        <v>5000</v>
      </c>
      <c r="G1929">
        <v>0</v>
      </c>
    </row>
    <row r="1930" spans="2:7" x14ac:dyDescent="0.25">
      <c r="C1930" t="s">
        <v>2419</v>
      </c>
      <c r="D1930">
        <v>0</v>
      </c>
      <c r="E1930" s="104">
        <v>5000</v>
      </c>
      <c r="F1930" s="104">
        <v>5000</v>
      </c>
      <c r="G1930">
        <v>0</v>
      </c>
    </row>
    <row r="1931" spans="2:7" x14ac:dyDescent="0.25">
      <c r="B1931" t="s">
        <v>1587</v>
      </c>
      <c r="D1931">
        <v>0</v>
      </c>
      <c r="E1931" s="104">
        <v>150000</v>
      </c>
      <c r="F1931" s="104">
        <v>150000</v>
      </c>
      <c r="G1931">
        <v>0</v>
      </c>
    </row>
    <row r="1933" spans="2:7" x14ac:dyDescent="0.25">
      <c r="B1933">
        <v>50102110</v>
      </c>
      <c r="C1933" t="s">
        <v>981</v>
      </c>
    </row>
    <row r="1934" spans="2:7" x14ac:dyDescent="0.25">
      <c r="B1934">
        <v>50102120</v>
      </c>
      <c r="C1934" t="s">
        <v>439</v>
      </c>
    </row>
    <row r="1935" spans="2:7" x14ac:dyDescent="0.25">
      <c r="C1935" t="s">
        <v>2269</v>
      </c>
      <c r="D1935">
        <v>0</v>
      </c>
      <c r="E1935" s="104">
        <v>10000</v>
      </c>
      <c r="F1935" s="104">
        <v>10000</v>
      </c>
      <c r="G1935">
        <v>0</v>
      </c>
    </row>
    <row r="1936" spans="2:7" x14ac:dyDescent="0.25">
      <c r="C1936" t="s">
        <v>2414</v>
      </c>
      <c r="D1936">
        <v>0</v>
      </c>
      <c r="E1936" s="104">
        <v>20000</v>
      </c>
      <c r="F1936" s="104">
        <v>20000</v>
      </c>
      <c r="G1936">
        <v>0</v>
      </c>
    </row>
    <row r="1937" spans="2:7" x14ac:dyDescent="0.25">
      <c r="C1937" t="s">
        <v>2073</v>
      </c>
      <c r="D1937">
        <v>0</v>
      </c>
      <c r="E1937">
        <v>0</v>
      </c>
      <c r="F1937">
        <v>0</v>
      </c>
      <c r="G1937">
        <v>0</v>
      </c>
    </row>
    <row r="1938" spans="2:7" x14ac:dyDescent="0.25">
      <c r="C1938" t="s">
        <v>2416</v>
      </c>
      <c r="D1938">
        <v>0</v>
      </c>
      <c r="E1938" s="104">
        <v>5000</v>
      </c>
      <c r="F1938" s="104">
        <v>5000</v>
      </c>
      <c r="G1938">
        <v>0</v>
      </c>
    </row>
    <row r="1939" spans="2:7" x14ac:dyDescent="0.25">
      <c r="B1939" t="s">
        <v>1587</v>
      </c>
      <c r="D1939">
        <v>0</v>
      </c>
      <c r="E1939" s="104">
        <v>35000</v>
      </c>
      <c r="F1939" s="104">
        <v>35000</v>
      </c>
      <c r="G1939">
        <v>0</v>
      </c>
    </row>
    <row r="1941" spans="2:7" x14ac:dyDescent="0.25">
      <c r="B1941">
        <v>50102130</v>
      </c>
      <c r="C1941" t="s">
        <v>421</v>
      </c>
    </row>
    <row r="1942" spans="2:7" x14ac:dyDescent="0.25">
      <c r="C1942" t="s">
        <v>2270</v>
      </c>
      <c r="D1942">
        <v>0</v>
      </c>
      <c r="E1942" s="104">
        <v>104132.37</v>
      </c>
      <c r="F1942" s="104">
        <v>104132.37</v>
      </c>
      <c r="G1942">
        <v>0</v>
      </c>
    </row>
    <row r="1943" spans="2:7" x14ac:dyDescent="0.25">
      <c r="C1943" t="s">
        <v>2269</v>
      </c>
      <c r="D1943">
        <v>0</v>
      </c>
      <c r="E1943" s="104">
        <v>13383.95</v>
      </c>
      <c r="F1943" s="104">
        <v>13383.95</v>
      </c>
      <c r="G1943">
        <v>0</v>
      </c>
    </row>
    <row r="1944" spans="2:7" x14ac:dyDescent="0.25">
      <c r="C1944" t="s">
        <v>2413</v>
      </c>
      <c r="D1944">
        <v>0</v>
      </c>
      <c r="E1944">
        <v>0</v>
      </c>
      <c r="F1944">
        <v>0</v>
      </c>
      <c r="G1944">
        <v>0</v>
      </c>
    </row>
    <row r="1945" spans="2:7" x14ac:dyDescent="0.25">
      <c r="C1945" t="s">
        <v>2415</v>
      </c>
      <c r="D1945">
        <v>0</v>
      </c>
      <c r="E1945" s="104">
        <v>110860.24</v>
      </c>
      <c r="F1945" s="104">
        <v>110860.24</v>
      </c>
      <c r="G1945">
        <v>0</v>
      </c>
    </row>
    <row r="1946" spans="2:7" x14ac:dyDescent="0.25">
      <c r="C1946" t="s">
        <v>2416</v>
      </c>
      <c r="D1946">
        <v>0</v>
      </c>
      <c r="E1946" s="104">
        <v>22832.7</v>
      </c>
      <c r="F1946" s="104">
        <v>22832.7</v>
      </c>
      <c r="G1946">
        <v>0</v>
      </c>
    </row>
    <row r="1947" spans="2:7" x14ac:dyDescent="0.25">
      <c r="C1947" t="s">
        <v>2414</v>
      </c>
      <c r="D1947">
        <v>0</v>
      </c>
      <c r="E1947" s="104">
        <v>165604.85999999999</v>
      </c>
      <c r="F1947" s="104">
        <v>165604.85999999999</v>
      </c>
      <c r="G1947">
        <v>0</v>
      </c>
    </row>
    <row r="1948" spans="2:7" x14ac:dyDescent="0.25">
      <c r="B1948" t="s">
        <v>1587</v>
      </c>
      <c r="D1948">
        <v>0</v>
      </c>
      <c r="E1948" s="104">
        <v>416814.12</v>
      </c>
      <c r="F1948" s="104">
        <v>416814.12</v>
      </c>
      <c r="G1948">
        <v>0</v>
      </c>
    </row>
    <row r="1950" spans="2:7" x14ac:dyDescent="0.25">
      <c r="B1950">
        <v>50102140</v>
      </c>
      <c r="C1950" t="s">
        <v>425</v>
      </c>
    </row>
    <row r="1951" spans="2:7" x14ac:dyDescent="0.25">
      <c r="C1951" t="s">
        <v>2269</v>
      </c>
      <c r="D1951">
        <v>0</v>
      </c>
      <c r="E1951" s="104">
        <v>714478.83</v>
      </c>
      <c r="F1951" s="104">
        <v>714478.83</v>
      </c>
      <c r="G1951">
        <v>0</v>
      </c>
    </row>
    <row r="1952" spans="2:7" x14ac:dyDescent="0.25">
      <c r="C1952" t="s">
        <v>2270</v>
      </c>
      <c r="D1952">
        <v>0</v>
      </c>
      <c r="E1952" s="104">
        <v>287513.34999999998</v>
      </c>
      <c r="F1952" s="104">
        <v>287513.34999999998</v>
      </c>
      <c r="G1952">
        <v>0</v>
      </c>
    </row>
    <row r="1953" spans="2:7" x14ac:dyDescent="0.25">
      <c r="C1953" t="s">
        <v>2414</v>
      </c>
      <c r="D1953">
        <v>0</v>
      </c>
      <c r="E1953" s="104">
        <v>2470785.5499999998</v>
      </c>
      <c r="F1953" s="104">
        <v>2470785.5499999998</v>
      </c>
      <c r="G1953">
        <v>0</v>
      </c>
    </row>
    <row r="1954" spans="2:7" x14ac:dyDescent="0.25">
      <c r="C1954" t="s">
        <v>2413</v>
      </c>
      <c r="D1954">
        <v>0</v>
      </c>
      <c r="E1954" s="104">
        <v>202887.96</v>
      </c>
      <c r="F1954" s="104">
        <v>202887.96</v>
      </c>
      <c r="G1954">
        <v>0</v>
      </c>
    </row>
    <row r="1955" spans="2:7" x14ac:dyDescent="0.25">
      <c r="C1955" t="s">
        <v>2415</v>
      </c>
      <c r="D1955">
        <v>0</v>
      </c>
      <c r="E1955" s="104">
        <v>148126</v>
      </c>
      <c r="F1955" s="104">
        <v>148126</v>
      </c>
      <c r="G1955">
        <v>0</v>
      </c>
    </row>
    <row r="1956" spans="2:7" x14ac:dyDescent="0.25">
      <c r="C1956" t="s">
        <v>2416</v>
      </c>
      <c r="D1956">
        <v>0</v>
      </c>
      <c r="E1956" s="104">
        <v>592262.04</v>
      </c>
      <c r="F1956" s="104">
        <v>592262.04</v>
      </c>
      <c r="G1956">
        <v>0</v>
      </c>
    </row>
    <row r="1957" spans="2:7" x14ac:dyDescent="0.25">
      <c r="C1957" t="s">
        <v>2421</v>
      </c>
      <c r="D1957">
        <v>0</v>
      </c>
      <c r="E1957">
        <v>0</v>
      </c>
      <c r="F1957">
        <v>0</v>
      </c>
      <c r="G1957">
        <v>0</v>
      </c>
    </row>
    <row r="1958" spans="2:7" x14ac:dyDescent="0.25">
      <c r="C1958" t="s">
        <v>2417</v>
      </c>
      <c r="D1958">
        <v>0</v>
      </c>
      <c r="E1958" s="104">
        <v>334863.96999999997</v>
      </c>
      <c r="F1958" s="104">
        <v>334863.96999999997</v>
      </c>
      <c r="G1958">
        <v>0</v>
      </c>
    </row>
    <row r="1959" spans="2:7" x14ac:dyDescent="0.25">
      <c r="C1959" t="s">
        <v>2418</v>
      </c>
      <c r="D1959">
        <v>0</v>
      </c>
      <c r="E1959" s="104">
        <v>139526.65</v>
      </c>
      <c r="F1959" s="104">
        <v>139526.65</v>
      </c>
      <c r="G1959">
        <v>0</v>
      </c>
    </row>
    <row r="1960" spans="2:7" x14ac:dyDescent="0.25">
      <c r="B1960" t="s">
        <v>1587</v>
      </c>
      <c r="D1960">
        <v>0</v>
      </c>
      <c r="E1960" s="104">
        <v>4890444.3499999996</v>
      </c>
      <c r="F1960" s="104">
        <v>4890444.3499999996</v>
      </c>
      <c r="G1960">
        <v>0</v>
      </c>
    </row>
    <row r="1962" spans="2:7" x14ac:dyDescent="0.25">
      <c r="B1962">
        <v>50102150</v>
      </c>
      <c r="C1962" t="s">
        <v>428</v>
      </c>
    </row>
    <row r="1963" spans="2:7" x14ac:dyDescent="0.25">
      <c r="C1963" t="s">
        <v>2269</v>
      </c>
      <c r="D1963">
        <v>0</v>
      </c>
      <c r="E1963" s="104">
        <v>15000</v>
      </c>
      <c r="F1963" s="104">
        <v>15000</v>
      </c>
      <c r="G1963">
        <v>0</v>
      </c>
    </row>
    <row r="1964" spans="2:7" x14ac:dyDescent="0.25">
      <c r="C1964" t="s">
        <v>2270</v>
      </c>
      <c r="D1964">
        <v>0</v>
      </c>
      <c r="E1964" s="104">
        <v>15000</v>
      </c>
      <c r="F1964" s="104">
        <v>15000</v>
      </c>
      <c r="G1964">
        <v>0</v>
      </c>
    </row>
    <row r="1965" spans="2:7" x14ac:dyDescent="0.25">
      <c r="C1965" t="s">
        <v>2413</v>
      </c>
      <c r="D1965">
        <v>0</v>
      </c>
      <c r="E1965" s="104">
        <v>8000</v>
      </c>
      <c r="F1965" s="104">
        <v>8000</v>
      </c>
      <c r="G1965">
        <v>0</v>
      </c>
    </row>
    <row r="1966" spans="2:7" x14ac:dyDescent="0.25">
      <c r="C1966" t="s">
        <v>2415</v>
      </c>
      <c r="D1966">
        <v>0</v>
      </c>
      <c r="E1966" s="104">
        <v>5000</v>
      </c>
      <c r="F1966" s="104">
        <v>5000</v>
      </c>
      <c r="G1966">
        <v>0</v>
      </c>
    </row>
    <row r="1967" spans="2:7" x14ac:dyDescent="0.25">
      <c r="C1967" t="s">
        <v>2416</v>
      </c>
      <c r="D1967">
        <v>0</v>
      </c>
      <c r="E1967" s="104">
        <v>15000</v>
      </c>
      <c r="F1967" s="104">
        <v>15000</v>
      </c>
      <c r="G1967">
        <v>0</v>
      </c>
    </row>
    <row r="1968" spans="2:7" x14ac:dyDescent="0.25">
      <c r="C1968" t="s">
        <v>2414</v>
      </c>
      <c r="D1968">
        <v>0</v>
      </c>
      <c r="E1968" s="104">
        <v>75000</v>
      </c>
      <c r="F1968" s="104">
        <v>75000</v>
      </c>
      <c r="G1968">
        <v>0</v>
      </c>
    </row>
    <row r="1969" spans="2:7" x14ac:dyDescent="0.25">
      <c r="C1969" t="s">
        <v>2418</v>
      </c>
      <c r="D1969">
        <v>0</v>
      </c>
      <c r="E1969" s="104">
        <v>5000</v>
      </c>
      <c r="F1969" s="104">
        <v>5000</v>
      </c>
      <c r="G1969">
        <v>0</v>
      </c>
    </row>
    <row r="1970" spans="2:7" x14ac:dyDescent="0.25">
      <c r="C1970" t="s">
        <v>2422</v>
      </c>
      <c r="D1970">
        <v>0</v>
      </c>
      <c r="E1970" s="104">
        <v>5000</v>
      </c>
      <c r="F1970" s="104">
        <v>5000</v>
      </c>
      <c r="G1970">
        <v>0</v>
      </c>
    </row>
    <row r="1971" spans="2:7" x14ac:dyDescent="0.25">
      <c r="C1971" t="s">
        <v>2419</v>
      </c>
      <c r="D1971">
        <v>0</v>
      </c>
      <c r="E1971" s="104">
        <v>5000</v>
      </c>
      <c r="F1971" s="104">
        <v>5000</v>
      </c>
      <c r="G1971">
        <v>0</v>
      </c>
    </row>
    <row r="1972" spans="2:7" x14ac:dyDescent="0.25">
      <c r="B1972" t="s">
        <v>1587</v>
      </c>
      <c r="D1972">
        <v>0</v>
      </c>
      <c r="E1972" s="104">
        <v>148000</v>
      </c>
      <c r="F1972" s="104">
        <v>148000</v>
      </c>
      <c r="G1972">
        <v>0</v>
      </c>
    </row>
    <row r="1974" spans="2:7" x14ac:dyDescent="0.25">
      <c r="B1974">
        <v>50102990</v>
      </c>
      <c r="C1974" t="s">
        <v>449</v>
      </c>
    </row>
    <row r="1975" spans="2:7" x14ac:dyDescent="0.25">
      <c r="C1975" t="s">
        <v>2269</v>
      </c>
      <c r="D1975">
        <v>0</v>
      </c>
      <c r="E1975" s="104">
        <v>353829.7</v>
      </c>
      <c r="F1975" s="104">
        <v>353829.7</v>
      </c>
      <c r="G1975">
        <v>0</v>
      </c>
    </row>
    <row r="1976" spans="2:7" x14ac:dyDescent="0.25">
      <c r="C1976" t="s">
        <v>2270</v>
      </c>
      <c r="D1976">
        <v>0</v>
      </c>
      <c r="E1976" s="104">
        <v>148089.78</v>
      </c>
      <c r="F1976" s="104">
        <v>148089.78</v>
      </c>
      <c r="G1976">
        <v>0</v>
      </c>
    </row>
    <row r="1977" spans="2:7" x14ac:dyDescent="0.25">
      <c r="C1977" t="s">
        <v>2413</v>
      </c>
      <c r="D1977">
        <v>0</v>
      </c>
      <c r="E1977" s="104">
        <v>106317.5</v>
      </c>
      <c r="F1977" s="104">
        <v>106317.5</v>
      </c>
      <c r="G1977">
        <v>0</v>
      </c>
    </row>
    <row r="1978" spans="2:7" x14ac:dyDescent="0.25">
      <c r="C1978" t="s">
        <v>2415</v>
      </c>
      <c r="D1978">
        <v>0</v>
      </c>
      <c r="E1978" s="104">
        <v>112128.39</v>
      </c>
      <c r="F1978" s="104">
        <v>112128.39</v>
      </c>
      <c r="G1978">
        <v>0</v>
      </c>
    </row>
    <row r="1979" spans="2:7" x14ac:dyDescent="0.25">
      <c r="C1979" t="s">
        <v>2416</v>
      </c>
      <c r="D1979">
        <v>0</v>
      </c>
      <c r="E1979" s="104">
        <v>202931.83</v>
      </c>
      <c r="F1979" s="104">
        <v>202931.83</v>
      </c>
      <c r="G1979">
        <v>0</v>
      </c>
    </row>
    <row r="1980" spans="2:7" x14ac:dyDescent="0.25">
      <c r="C1980" t="s">
        <v>2414</v>
      </c>
      <c r="D1980">
        <v>0</v>
      </c>
      <c r="E1980" s="104">
        <v>973036.15</v>
      </c>
      <c r="F1980" s="104">
        <v>973036.15</v>
      </c>
      <c r="G1980">
        <v>0</v>
      </c>
    </row>
    <row r="1981" spans="2:7" x14ac:dyDescent="0.25">
      <c r="C1981" t="s">
        <v>2073</v>
      </c>
      <c r="D1981">
        <v>0</v>
      </c>
      <c r="E1981" s="104">
        <v>240000</v>
      </c>
      <c r="F1981" s="104">
        <v>240000</v>
      </c>
      <c r="G1981">
        <v>0</v>
      </c>
    </row>
    <row r="1982" spans="2:7" x14ac:dyDescent="0.25">
      <c r="C1982" t="s">
        <v>2421</v>
      </c>
      <c r="D1982">
        <v>0</v>
      </c>
      <c r="E1982" s="104">
        <v>37558.43</v>
      </c>
      <c r="F1982" s="104">
        <v>37558.43</v>
      </c>
      <c r="G1982">
        <v>0</v>
      </c>
    </row>
    <row r="1983" spans="2:7" x14ac:dyDescent="0.25">
      <c r="C1983" t="s">
        <v>2417</v>
      </c>
      <c r="D1983">
        <v>0</v>
      </c>
      <c r="E1983" s="104">
        <v>17498</v>
      </c>
      <c r="F1983" s="104">
        <v>17498</v>
      </c>
      <c r="G1983">
        <v>0</v>
      </c>
    </row>
    <row r="1984" spans="2:7" x14ac:dyDescent="0.25">
      <c r="C1984" t="s">
        <v>2418</v>
      </c>
      <c r="D1984">
        <v>0</v>
      </c>
      <c r="E1984" s="104">
        <v>36660.639999999999</v>
      </c>
      <c r="F1984" s="104">
        <v>36660.639999999999</v>
      </c>
      <c r="G1984">
        <v>0</v>
      </c>
    </row>
    <row r="1985" spans="2:7" x14ac:dyDescent="0.25">
      <c r="C1985" t="s">
        <v>2422</v>
      </c>
      <c r="D1985">
        <v>0</v>
      </c>
      <c r="E1985" s="104">
        <v>34000</v>
      </c>
      <c r="F1985" s="104">
        <v>34000</v>
      </c>
      <c r="G1985">
        <v>0</v>
      </c>
    </row>
    <row r="1986" spans="2:7" x14ac:dyDescent="0.25">
      <c r="C1986" t="s">
        <v>2423</v>
      </c>
      <c r="D1986">
        <v>0</v>
      </c>
      <c r="E1986" s="104">
        <v>6898</v>
      </c>
      <c r="F1986" s="104">
        <v>6898</v>
      </c>
      <c r="G1986">
        <v>0</v>
      </c>
    </row>
    <row r="1987" spans="2:7" x14ac:dyDescent="0.25">
      <c r="C1987" t="s">
        <v>2419</v>
      </c>
      <c r="D1987">
        <v>0</v>
      </c>
      <c r="E1987" s="104">
        <v>28416.57</v>
      </c>
      <c r="F1987" s="104">
        <v>28416.57</v>
      </c>
      <c r="G1987">
        <v>0</v>
      </c>
    </row>
    <row r="1988" spans="2:7" x14ac:dyDescent="0.25">
      <c r="B1988" t="s">
        <v>1587</v>
      </c>
      <c r="D1988">
        <v>0</v>
      </c>
      <c r="E1988" s="104">
        <v>2297364.9900000002</v>
      </c>
      <c r="F1988" s="104">
        <v>2297364.9900000002</v>
      </c>
      <c r="G1988">
        <v>0</v>
      </c>
    </row>
    <row r="1990" spans="2:7" x14ac:dyDescent="0.25">
      <c r="B1990">
        <v>50103010</v>
      </c>
      <c r="C1990" t="s">
        <v>405</v>
      </c>
    </row>
    <row r="1991" spans="2:7" x14ac:dyDescent="0.25">
      <c r="C1991" t="s">
        <v>2269</v>
      </c>
      <c r="D1991">
        <v>0</v>
      </c>
      <c r="E1991" s="104">
        <v>425571.88</v>
      </c>
      <c r="F1991" s="104">
        <v>425571.88</v>
      </c>
      <c r="G1991">
        <v>0</v>
      </c>
    </row>
    <row r="1992" spans="2:7" x14ac:dyDescent="0.25">
      <c r="C1992" t="s">
        <v>2424</v>
      </c>
      <c r="D1992">
        <v>0</v>
      </c>
      <c r="E1992">
        <v>0</v>
      </c>
      <c r="F1992">
        <v>0</v>
      </c>
      <c r="G1992">
        <v>0</v>
      </c>
    </row>
    <row r="1993" spans="2:7" x14ac:dyDescent="0.25">
      <c r="C1993" t="s">
        <v>2270</v>
      </c>
      <c r="D1993">
        <v>0</v>
      </c>
      <c r="E1993" s="104">
        <v>395834.71</v>
      </c>
      <c r="F1993" s="104">
        <v>395834.71</v>
      </c>
      <c r="G1993">
        <v>0</v>
      </c>
    </row>
    <row r="1994" spans="2:7" x14ac:dyDescent="0.25">
      <c r="C1994" t="s">
        <v>2414</v>
      </c>
      <c r="D1994">
        <v>0</v>
      </c>
      <c r="E1994" s="104">
        <v>1539152.92</v>
      </c>
      <c r="F1994" s="104">
        <v>1539152.92</v>
      </c>
      <c r="G1994">
        <v>0</v>
      </c>
    </row>
    <row r="1995" spans="2:7" x14ac:dyDescent="0.25">
      <c r="C1995" t="s">
        <v>2413</v>
      </c>
      <c r="D1995">
        <v>0</v>
      </c>
      <c r="E1995" s="104">
        <v>257870.25</v>
      </c>
      <c r="F1995" s="104">
        <v>257870.25</v>
      </c>
      <c r="G1995">
        <v>0</v>
      </c>
    </row>
    <row r="1996" spans="2:7" x14ac:dyDescent="0.25">
      <c r="C1996" t="s">
        <v>2415</v>
      </c>
      <c r="D1996">
        <v>0</v>
      </c>
      <c r="E1996" s="104">
        <v>106650.72</v>
      </c>
      <c r="F1996" s="104">
        <v>106650.72</v>
      </c>
      <c r="G1996">
        <v>0</v>
      </c>
    </row>
    <row r="1997" spans="2:7" x14ac:dyDescent="0.25">
      <c r="C1997" t="s">
        <v>2416</v>
      </c>
      <c r="D1997">
        <v>0</v>
      </c>
      <c r="E1997" s="104">
        <v>445633.62</v>
      </c>
      <c r="F1997" s="104">
        <v>445633.62</v>
      </c>
      <c r="G1997">
        <v>0</v>
      </c>
    </row>
    <row r="1998" spans="2:7" x14ac:dyDescent="0.25">
      <c r="C1998" t="s">
        <v>2361</v>
      </c>
      <c r="D1998">
        <v>0</v>
      </c>
      <c r="E1998" s="104">
        <v>5613.51</v>
      </c>
      <c r="F1998" s="104">
        <v>5613.51</v>
      </c>
      <c r="G1998">
        <v>0</v>
      </c>
    </row>
    <row r="1999" spans="2:7" x14ac:dyDescent="0.25">
      <c r="C1999" t="s">
        <v>2421</v>
      </c>
      <c r="D1999">
        <v>0</v>
      </c>
      <c r="E1999">
        <v>0</v>
      </c>
      <c r="F1999">
        <v>0</v>
      </c>
      <c r="G1999">
        <v>0</v>
      </c>
    </row>
    <row r="2000" spans="2:7" x14ac:dyDescent="0.25">
      <c r="C2000" t="s">
        <v>2417</v>
      </c>
      <c r="D2000">
        <v>0</v>
      </c>
      <c r="E2000" s="104">
        <v>191196.54</v>
      </c>
      <c r="F2000" s="104">
        <v>191196.54</v>
      </c>
      <c r="G2000">
        <v>0</v>
      </c>
    </row>
    <row r="2001" spans="2:7" x14ac:dyDescent="0.25">
      <c r="C2001" t="s">
        <v>2418</v>
      </c>
      <c r="D2001">
        <v>0</v>
      </c>
      <c r="E2001" s="104">
        <v>141939.13</v>
      </c>
      <c r="F2001" s="104">
        <v>141939.13</v>
      </c>
      <c r="G2001">
        <v>0</v>
      </c>
    </row>
    <row r="2002" spans="2:7" x14ac:dyDescent="0.25">
      <c r="C2002" t="s">
        <v>2419</v>
      </c>
      <c r="D2002">
        <v>0</v>
      </c>
      <c r="E2002" s="104">
        <v>60275.519999999997</v>
      </c>
      <c r="F2002" s="104">
        <v>60275.519999999997</v>
      </c>
      <c r="G2002">
        <v>0</v>
      </c>
    </row>
    <row r="2003" spans="2:7" x14ac:dyDescent="0.25">
      <c r="B2003" t="s">
        <v>1587</v>
      </c>
      <c r="D2003">
        <v>0</v>
      </c>
      <c r="E2003" s="104">
        <v>3569738.8</v>
      </c>
      <c r="F2003" s="104">
        <v>3569738.8</v>
      </c>
      <c r="G2003">
        <v>0</v>
      </c>
    </row>
    <row r="2005" spans="2:7" x14ac:dyDescent="0.25">
      <c r="B2005">
        <v>50103020</v>
      </c>
      <c r="C2005" t="s">
        <v>417</v>
      </c>
    </row>
    <row r="2006" spans="2:7" x14ac:dyDescent="0.25">
      <c r="C2006" t="s">
        <v>2269</v>
      </c>
      <c r="D2006">
        <v>0</v>
      </c>
      <c r="E2006" s="104">
        <v>4100</v>
      </c>
      <c r="F2006" s="104">
        <v>4100</v>
      </c>
      <c r="G2006">
        <v>0</v>
      </c>
    </row>
    <row r="2007" spans="2:7" x14ac:dyDescent="0.25">
      <c r="C2007" t="s">
        <v>2270</v>
      </c>
      <c r="D2007">
        <v>0</v>
      </c>
      <c r="E2007" s="104">
        <v>3200</v>
      </c>
      <c r="F2007" s="104">
        <v>3200</v>
      </c>
      <c r="G2007">
        <v>0</v>
      </c>
    </row>
    <row r="2008" spans="2:7" x14ac:dyDescent="0.25">
      <c r="C2008" t="s">
        <v>2414</v>
      </c>
      <c r="D2008">
        <v>0</v>
      </c>
      <c r="E2008" s="104">
        <v>19200</v>
      </c>
      <c r="F2008" s="104">
        <v>19200</v>
      </c>
      <c r="G2008">
        <v>0</v>
      </c>
    </row>
    <row r="2009" spans="2:7" x14ac:dyDescent="0.25">
      <c r="C2009" t="s">
        <v>2413</v>
      </c>
      <c r="D2009">
        <v>0</v>
      </c>
      <c r="E2009" s="104">
        <v>2000</v>
      </c>
      <c r="F2009" s="104">
        <v>2000</v>
      </c>
      <c r="G2009">
        <v>0</v>
      </c>
    </row>
    <row r="2010" spans="2:7" x14ac:dyDescent="0.25">
      <c r="C2010" t="s">
        <v>2415</v>
      </c>
      <c r="D2010">
        <v>0</v>
      </c>
      <c r="E2010" s="104">
        <v>1100</v>
      </c>
      <c r="F2010" s="104">
        <v>1100</v>
      </c>
      <c r="G2010">
        <v>0</v>
      </c>
    </row>
    <row r="2011" spans="2:7" x14ac:dyDescent="0.25">
      <c r="C2011" t="s">
        <v>2416</v>
      </c>
      <c r="D2011">
        <v>0</v>
      </c>
      <c r="E2011" s="104">
        <v>3600</v>
      </c>
      <c r="F2011" s="104">
        <v>3600</v>
      </c>
      <c r="G2011">
        <v>0</v>
      </c>
    </row>
    <row r="2012" spans="2:7" x14ac:dyDescent="0.25">
      <c r="C2012" t="s">
        <v>2417</v>
      </c>
      <c r="D2012">
        <v>0</v>
      </c>
      <c r="E2012" s="104">
        <v>1000</v>
      </c>
      <c r="F2012" s="104">
        <v>1000</v>
      </c>
      <c r="G2012">
        <v>0</v>
      </c>
    </row>
    <row r="2013" spans="2:7" x14ac:dyDescent="0.25">
      <c r="C2013" t="s">
        <v>2418</v>
      </c>
      <c r="D2013">
        <v>0</v>
      </c>
      <c r="E2013">
        <v>700</v>
      </c>
      <c r="F2013">
        <v>700</v>
      </c>
      <c r="G2013">
        <v>0</v>
      </c>
    </row>
    <row r="2014" spans="2:7" x14ac:dyDescent="0.25">
      <c r="C2014" t="s">
        <v>2419</v>
      </c>
      <c r="D2014">
        <v>0</v>
      </c>
      <c r="E2014">
        <v>300</v>
      </c>
      <c r="F2014">
        <v>300</v>
      </c>
      <c r="G2014">
        <v>0</v>
      </c>
    </row>
    <row r="2015" spans="2:7" x14ac:dyDescent="0.25">
      <c r="B2015" t="s">
        <v>1587</v>
      </c>
      <c r="D2015">
        <v>0</v>
      </c>
      <c r="E2015" s="104">
        <v>35200</v>
      </c>
      <c r="F2015" s="104">
        <v>35200</v>
      </c>
      <c r="G2015">
        <v>0</v>
      </c>
    </row>
    <row r="2017" spans="2:7" x14ac:dyDescent="0.25">
      <c r="B2017">
        <v>50103030</v>
      </c>
      <c r="C2017" t="s">
        <v>409</v>
      </c>
    </row>
    <row r="2018" spans="2:7" x14ac:dyDescent="0.25">
      <c r="C2018" t="s">
        <v>2269</v>
      </c>
      <c r="D2018">
        <v>0</v>
      </c>
      <c r="E2018" s="104">
        <v>49870.96</v>
      </c>
      <c r="F2018" s="104">
        <v>49870.96</v>
      </c>
      <c r="G2018">
        <v>0</v>
      </c>
    </row>
    <row r="2019" spans="2:7" x14ac:dyDescent="0.25">
      <c r="C2019" t="s">
        <v>2424</v>
      </c>
      <c r="D2019">
        <v>0</v>
      </c>
      <c r="E2019">
        <v>0</v>
      </c>
      <c r="F2019">
        <v>0</v>
      </c>
      <c r="G2019">
        <v>0</v>
      </c>
    </row>
    <row r="2020" spans="2:7" x14ac:dyDescent="0.25">
      <c r="C2020" t="s">
        <v>2270</v>
      </c>
      <c r="D2020">
        <v>0</v>
      </c>
      <c r="E2020" s="104">
        <v>38231.54</v>
      </c>
      <c r="F2020" s="104">
        <v>38231.54</v>
      </c>
      <c r="G2020">
        <v>0</v>
      </c>
    </row>
    <row r="2021" spans="2:7" x14ac:dyDescent="0.25">
      <c r="C2021" t="s">
        <v>2414</v>
      </c>
      <c r="D2021">
        <v>0</v>
      </c>
      <c r="E2021" s="104">
        <v>222632.02</v>
      </c>
      <c r="F2021" s="104">
        <v>222632.02</v>
      </c>
      <c r="G2021">
        <v>0</v>
      </c>
    </row>
    <row r="2022" spans="2:7" x14ac:dyDescent="0.25">
      <c r="C2022" t="s">
        <v>2413</v>
      </c>
      <c r="D2022">
        <v>0</v>
      </c>
      <c r="E2022" s="104">
        <v>32000</v>
      </c>
      <c r="F2022" s="104">
        <v>32000</v>
      </c>
      <c r="G2022">
        <v>0</v>
      </c>
    </row>
    <row r="2023" spans="2:7" x14ac:dyDescent="0.25">
      <c r="C2023" t="s">
        <v>2415</v>
      </c>
      <c r="D2023">
        <v>0</v>
      </c>
      <c r="E2023" s="104">
        <v>17600</v>
      </c>
      <c r="F2023" s="104">
        <v>17600</v>
      </c>
      <c r="G2023">
        <v>0</v>
      </c>
    </row>
    <row r="2024" spans="2:7" x14ac:dyDescent="0.25">
      <c r="C2024" t="s">
        <v>2416</v>
      </c>
      <c r="D2024">
        <v>0</v>
      </c>
      <c r="E2024" s="104">
        <v>50732.639999999999</v>
      </c>
      <c r="F2024" s="104">
        <v>50732.639999999999</v>
      </c>
      <c r="G2024">
        <v>0</v>
      </c>
    </row>
    <row r="2025" spans="2:7" x14ac:dyDescent="0.25">
      <c r="C2025" t="s">
        <v>2421</v>
      </c>
      <c r="D2025">
        <v>0</v>
      </c>
      <c r="E2025">
        <v>0</v>
      </c>
      <c r="F2025">
        <v>0</v>
      </c>
      <c r="G2025">
        <v>0</v>
      </c>
    </row>
    <row r="2026" spans="2:7" x14ac:dyDescent="0.25">
      <c r="C2026" t="s">
        <v>2417</v>
      </c>
      <c r="D2026">
        <v>0</v>
      </c>
      <c r="E2026" s="104">
        <v>16000</v>
      </c>
      <c r="F2026" s="104">
        <v>16000</v>
      </c>
      <c r="G2026">
        <v>0</v>
      </c>
    </row>
    <row r="2027" spans="2:7" x14ac:dyDescent="0.25">
      <c r="C2027" t="s">
        <v>2418</v>
      </c>
      <c r="D2027">
        <v>0</v>
      </c>
      <c r="E2027" s="104">
        <v>11200</v>
      </c>
      <c r="F2027" s="104">
        <v>11200</v>
      </c>
      <c r="G2027">
        <v>0</v>
      </c>
    </row>
    <row r="2028" spans="2:7" x14ac:dyDescent="0.25">
      <c r="C2028" t="s">
        <v>2419</v>
      </c>
      <c r="D2028">
        <v>0</v>
      </c>
      <c r="E2028" s="104">
        <v>4800</v>
      </c>
      <c r="F2028" s="104">
        <v>4800</v>
      </c>
      <c r="G2028">
        <v>0</v>
      </c>
    </row>
    <row r="2029" spans="2:7" x14ac:dyDescent="0.25">
      <c r="B2029" t="s">
        <v>1587</v>
      </c>
      <c r="D2029">
        <v>0</v>
      </c>
      <c r="E2029" s="104">
        <v>443067.16</v>
      </c>
      <c r="F2029" s="104">
        <v>443067.16</v>
      </c>
      <c r="G2029">
        <v>0</v>
      </c>
    </row>
    <row r="2031" spans="2:7" x14ac:dyDescent="0.25">
      <c r="B2031">
        <v>50103040</v>
      </c>
      <c r="C2031" t="s">
        <v>413</v>
      </c>
    </row>
    <row r="2032" spans="2:7" x14ac:dyDescent="0.25">
      <c r="C2032" t="s">
        <v>2269</v>
      </c>
      <c r="D2032">
        <v>0</v>
      </c>
      <c r="E2032" s="104">
        <v>4000</v>
      </c>
      <c r="F2032" s="104">
        <v>4000</v>
      </c>
      <c r="G2032">
        <v>0</v>
      </c>
    </row>
    <row r="2033" spans="2:7" x14ac:dyDescent="0.25">
      <c r="C2033" t="s">
        <v>2270</v>
      </c>
      <c r="D2033">
        <v>0</v>
      </c>
      <c r="E2033" s="104">
        <v>3550</v>
      </c>
      <c r="F2033" s="104">
        <v>3550</v>
      </c>
      <c r="G2033">
        <v>0</v>
      </c>
    </row>
    <row r="2034" spans="2:7" x14ac:dyDescent="0.25">
      <c r="C2034" t="s">
        <v>2414</v>
      </c>
      <c r="D2034">
        <v>0</v>
      </c>
      <c r="E2034" s="104">
        <v>19300</v>
      </c>
      <c r="F2034" s="104">
        <v>19300</v>
      </c>
      <c r="G2034">
        <v>0</v>
      </c>
    </row>
    <row r="2035" spans="2:7" x14ac:dyDescent="0.25">
      <c r="C2035" t="s">
        <v>2413</v>
      </c>
      <c r="D2035">
        <v>0</v>
      </c>
      <c r="E2035" s="104">
        <v>2200</v>
      </c>
      <c r="F2035" s="104">
        <v>2200</v>
      </c>
      <c r="G2035">
        <v>0</v>
      </c>
    </row>
    <row r="2036" spans="2:7" x14ac:dyDescent="0.25">
      <c r="C2036" t="s">
        <v>2415</v>
      </c>
      <c r="D2036">
        <v>0</v>
      </c>
      <c r="E2036" s="104">
        <v>1100</v>
      </c>
      <c r="F2036" s="104">
        <v>1100</v>
      </c>
      <c r="G2036">
        <v>0</v>
      </c>
    </row>
    <row r="2037" spans="2:7" x14ac:dyDescent="0.25">
      <c r="C2037" t="s">
        <v>2416</v>
      </c>
      <c r="D2037">
        <v>0</v>
      </c>
      <c r="E2037" s="104">
        <v>3600</v>
      </c>
      <c r="F2037" s="104">
        <v>3600</v>
      </c>
      <c r="G2037">
        <v>0</v>
      </c>
    </row>
    <row r="2038" spans="2:7" x14ac:dyDescent="0.25">
      <c r="C2038" t="s">
        <v>2417</v>
      </c>
      <c r="D2038">
        <v>0</v>
      </c>
      <c r="E2038">
        <v>950</v>
      </c>
      <c r="F2038">
        <v>950</v>
      </c>
      <c r="G2038">
        <v>0</v>
      </c>
    </row>
    <row r="2039" spans="2:7" x14ac:dyDescent="0.25">
      <c r="C2039" t="s">
        <v>2418</v>
      </c>
      <c r="D2039">
        <v>0</v>
      </c>
      <c r="E2039">
        <v>800</v>
      </c>
      <c r="F2039">
        <v>800</v>
      </c>
      <c r="G2039">
        <v>0</v>
      </c>
    </row>
    <row r="2040" spans="2:7" x14ac:dyDescent="0.25">
      <c r="C2040" t="s">
        <v>2419</v>
      </c>
      <c r="D2040">
        <v>0</v>
      </c>
      <c r="E2040">
        <v>300</v>
      </c>
      <c r="F2040">
        <v>300</v>
      </c>
      <c r="G2040">
        <v>0</v>
      </c>
    </row>
    <row r="2041" spans="2:7" x14ac:dyDescent="0.25">
      <c r="B2041" t="s">
        <v>1587</v>
      </c>
      <c r="D2041">
        <v>0</v>
      </c>
      <c r="E2041" s="104">
        <v>35800</v>
      </c>
      <c r="F2041" s="104">
        <v>35800</v>
      </c>
      <c r="G2041">
        <v>0</v>
      </c>
    </row>
    <row r="2043" spans="2:7" x14ac:dyDescent="0.25">
      <c r="B2043">
        <v>50104030</v>
      </c>
      <c r="C2043" t="s">
        <v>2425</v>
      </c>
    </row>
    <row r="2044" spans="2:7" x14ac:dyDescent="0.25">
      <c r="C2044" t="s">
        <v>2269</v>
      </c>
      <c r="D2044">
        <v>0</v>
      </c>
      <c r="E2044" s="104">
        <v>473979.62</v>
      </c>
      <c r="F2044" s="104">
        <v>473979.62</v>
      </c>
      <c r="G2044">
        <v>0</v>
      </c>
    </row>
    <row r="2045" spans="2:7" x14ac:dyDescent="0.25">
      <c r="C2045" t="s">
        <v>2424</v>
      </c>
      <c r="D2045">
        <v>0</v>
      </c>
      <c r="E2045">
        <v>0</v>
      </c>
      <c r="F2045">
        <v>0</v>
      </c>
      <c r="G2045">
        <v>0</v>
      </c>
    </row>
    <row r="2046" spans="2:7" x14ac:dyDescent="0.25">
      <c r="C2046" t="s">
        <v>2270</v>
      </c>
      <c r="D2046">
        <v>0</v>
      </c>
      <c r="E2046" s="104">
        <v>207840.66</v>
      </c>
      <c r="F2046" s="104">
        <v>207840.66</v>
      </c>
      <c r="G2046">
        <v>0</v>
      </c>
    </row>
    <row r="2047" spans="2:7" x14ac:dyDescent="0.25">
      <c r="C2047" t="s">
        <v>2413</v>
      </c>
      <c r="D2047">
        <v>0</v>
      </c>
      <c r="E2047" s="104">
        <v>211895.46</v>
      </c>
      <c r="F2047" s="104">
        <v>211895.46</v>
      </c>
      <c r="G2047">
        <v>0</v>
      </c>
    </row>
    <row r="2048" spans="2:7" x14ac:dyDescent="0.25">
      <c r="C2048" t="s">
        <v>2415</v>
      </c>
      <c r="D2048">
        <v>0</v>
      </c>
      <c r="E2048" s="104">
        <v>107078.84</v>
      </c>
      <c r="F2048" s="104">
        <v>107078.84</v>
      </c>
      <c r="G2048">
        <v>0</v>
      </c>
    </row>
    <row r="2049" spans="2:7" x14ac:dyDescent="0.25">
      <c r="C2049" t="s">
        <v>2416</v>
      </c>
      <c r="D2049">
        <v>0</v>
      </c>
      <c r="E2049" s="104">
        <v>423826.32</v>
      </c>
      <c r="F2049" s="104">
        <v>423826.32</v>
      </c>
      <c r="G2049">
        <v>0</v>
      </c>
    </row>
    <row r="2050" spans="2:7" x14ac:dyDescent="0.25">
      <c r="C2050" t="s">
        <v>2414</v>
      </c>
      <c r="D2050">
        <v>0</v>
      </c>
      <c r="E2050" s="104">
        <v>1560723.98</v>
      </c>
      <c r="F2050" s="104">
        <v>1560723.98</v>
      </c>
      <c r="G2050">
        <v>0</v>
      </c>
    </row>
    <row r="2051" spans="2:7" x14ac:dyDescent="0.25">
      <c r="C2051" t="s">
        <v>2421</v>
      </c>
      <c r="D2051">
        <v>0</v>
      </c>
      <c r="E2051">
        <v>0</v>
      </c>
      <c r="F2051">
        <v>0</v>
      </c>
      <c r="G2051">
        <v>0</v>
      </c>
    </row>
    <row r="2052" spans="2:7" x14ac:dyDescent="0.25">
      <c r="C2052" t="s">
        <v>2417</v>
      </c>
      <c r="D2052">
        <v>0</v>
      </c>
      <c r="E2052" s="104">
        <v>181552.5</v>
      </c>
      <c r="F2052" s="104">
        <v>181552.5</v>
      </c>
      <c r="G2052">
        <v>0</v>
      </c>
    </row>
    <row r="2053" spans="2:7" x14ac:dyDescent="0.25">
      <c r="C2053" t="s">
        <v>2418</v>
      </c>
      <c r="D2053">
        <v>0</v>
      </c>
      <c r="E2053" s="104">
        <v>100862.5</v>
      </c>
      <c r="F2053" s="104">
        <v>100862.5</v>
      </c>
      <c r="G2053">
        <v>0</v>
      </c>
    </row>
    <row r="2054" spans="2:7" x14ac:dyDescent="0.25">
      <c r="B2054" t="s">
        <v>1587</v>
      </c>
      <c r="D2054">
        <v>0</v>
      </c>
      <c r="E2054" s="104">
        <v>3267759.88</v>
      </c>
      <c r="F2054" s="104">
        <v>3267759.88</v>
      </c>
      <c r="G2054">
        <v>0</v>
      </c>
    </row>
    <row r="2056" spans="2:7" x14ac:dyDescent="0.25">
      <c r="B2056">
        <v>50104990</v>
      </c>
      <c r="C2056" t="s">
        <v>454</v>
      </c>
    </row>
    <row r="2057" spans="2:7" x14ac:dyDescent="0.25">
      <c r="C2057" t="s">
        <v>2414</v>
      </c>
      <c r="D2057">
        <v>0</v>
      </c>
      <c r="E2057" s="104">
        <v>1460746.17</v>
      </c>
      <c r="F2057" s="104">
        <v>1460746.17</v>
      </c>
      <c r="G2057">
        <v>0</v>
      </c>
    </row>
    <row r="2058" spans="2:7" x14ac:dyDescent="0.25">
      <c r="C2058" t="s">
        <v>2269</v>
      </c>
      <c r="D2058">
        <v>0</v>
      </c>
      <c r="E2058" s="104">
        <v>389243.4</v>
      </c>
      <c r="F2058" s="104">
        <v>389243.4</v>
      </c>
      <c r="G2058">
        <v>0</v>
      </c>
    </row>
    <row r="2059" spans="2:7" x14ac:dyDescent="0.25">
      <c r="C2059" t="s">
        <v>2424</v>
      </c>
      <c r="D2059">
        <v>0</v>
      </c>
      <c r="E2059" s="104">
        <v>10416.67</v>
      </c>
      <c r="F2059" s="104">
        <v>10416.67</v>
      </c>
      <c r="G2059">
        <v>0</v>
      </c>
    </row>
    <row r="2060" spans="2:7" x14ac:dyDescent="0.25">
      <c r="C2060" t="s">
        <v>2270</v>
      </c>
      <c r="D2060">
        <v>0</v>
      </c>
      <c r="E2060" s="104">
        <v>268367.61</v>
      </c>
      <c r="F2060" s="104">
        <v>268367.61</v>
      </c>
      <c r="G2060">
        <v>0</v>
      </c>
    </row>
    <row r="2061" spans="2:7" x14ac:dyDescent="0.25">
      <c r="C2061" t="s">
        <v>2413</v>
      </c>
      <c r="D2061">
        <v>0</v>
      </c>
      <c r="E2061" s="104">
        <v>149221.94</v>
      </c>
      <c r="F2061" s="104">
        <v>149221.94</v>
      </c>
      <c r="G2061">
        <v>0</v>
      </c>
    </row>
    <row r="2062" spans="2:7" x14ac:dyDescent="0.25">
      <c r="C2062" t="s">
        <v>2415</v>
      </c>
      <c r="D2062">
        <v>0</v>
      </c>
      <c r="E2062" s="104">
        <v>113477.6</v>
      </c>
      <c r="F2062" s="104">
        <v>113477.6</v>
      </c>
      <c r="G2062">
        <v>0</v>
      </c>
    </row>
    <row r="2063" spans="2:7" x14ac:dyDescent="0.25">
      <c r="C2063" t="s">
        <v>2416</v>
      </c>
      <c r="D2063">
        <v>0</v>
      </c>
      <c r="E2063" s="104">
        <v>349663.2</v>
      </c>
      <c r="F2063" s="104">
        <v>349663.2</v>
      </c>
      <c r="G2063">
        <v>0</v>
      </c>
    </row>
    <row r="2064" spans="2:7" x14ac:dyDescent="0.25">
      <c r="C2064" t="s">
        <v>2421</v>
      </c>
      <c r="D2064">
        <v>0</v>
      </c>
      <c r="E2064" s="104">
        <v>6250</v>
      </c>
      <c r="F2064" s="104">
        <v>6250</v>
      </c>
      <c r="G2064">
        <v>0</v>
      </c>
    </row>
    <row r="2065" spans="2:7" x14ac:dyDescent="0.25">
      <c r="C2065" t="s">
        <v>2417</v>
      </c>
      <c r="D2065">
        <v>0</v>
      </c>
      <c r="E2065" s="104">
        <v>100459.2</v>
      </c>
      <c r="F2065" s="104">
        <v>100459.2</v>
      </c>
      <c r="G2065">
        <v>0</v>
      </c>
    </row>
    <row r="2066" spans="2:7" x14ac:dyDescent="0.25">
      <c r="C2066" t="s">
        <v>2418</v>
      </c>
      <c r="D2066">
        <v>0</v>
      </c>
      <c r="E2066" s="104">
        <v>117959.2</v>
      </c>
      <c r="F2066" s="104">
        <v>117959.2</v>
      </c>
      <c r="G2066">
        <v>0</v>
      </c>
    </row>
    <row r="2067" spans="2:7" x14ac:dyDescent="0.25">
      <c r="C2067" t="s">
        <v>2422</v>
      </c>
      <c r="D2067">
        <v>0</v>
      </c>
      <c r="E2067" s="104">
        <v>25000</v>
      </c>
      <c r="F2067" s="104">
        <v>25000</v>
      </c>
      <c r="G2067">
        <v>0</v>
      </c>
    </row>
    <row r="2068" spans="2:7" x14ac:dyDescent="0.25">
      <c r="C2068" t="s">
        <v>2419</v>
      </c>
      <c r="D2068">
        <v>0</v>
      </c>
      <c r="E2068" s="104">
        <v>80229.600000000006</v>
      </c>
      <c r="F2068" s="104">
        <v>80229.600000000006</v>
      </c>
      <c r="G2068">
        <v>0</v>
      </c>
    </row>
    <row r="2069" spans="2:7" x14ac:dyDescent="0.25">
      <c r="B2069" t="s">
        <v>1587</v>
      </c>
      <c r="D2069">
        <v>0</v>
      </c>
      <c r="E2069" s="104">
        <v>3071034.59</v>
      </c>
      <c r="F2069" s="104">
        <v>3071034.59</v>
      </c>
      <c r="G2069">
        <v>0</v>
      </c>
    </row>
    <row r="2071" spans="2:7" x14ac:dyDescent="0.25">
      <c r="B2071">
        <v>50201010</v>
      </c>
      <c r="C2071" t="s">
        <v>639</v>
      </c>
    </row>
    <row r="2072" spans="2:7" x14ac:dyDescent="0.25">
      <c r="C2072" t="s">
        <v>2269</v>
      </c>
      <c r="D2072">
        <v>0</v>
      </c>
      <c r="E2072" s="104">
        <v>77145.34</v>
      </c>
      <c r="F2072" s="104">
        <v>77145.34</v>
      </c>
      <c r="G2072">
        <v>0</v>
      </c>
    </row>
    <row r="2073" spans="2:7" x14ac:dyDescent="0.25">
      <c r="C2073" t="s">
        <v>2270</v>
      </c>
      <c r="D2073">
        <v>0</v>
      </c>
      <c r="E2073" s="104">
        <v>251718.85</v>
      </c>
      <c r="F2073" s="104">
        <v>251718.85</v>
      </c>
      <c r="G2073">
        <v>0</v>
      </c>
    </row>
    <row r="2074" spans="2:7" x14ac:dyDescent="0.25">
      <c r="C2074" t="s">
        <v>2414</v>
      </c>
      <c r="D2074">
        <v>0</v>
      </c>
      <c r="E2074" s="104">
        <v>1664.27</v>
      </c>
      <c r="F2074" s="104">
        <v>1664.27</v>
      </c>
      <c r="G2074">
        <v>0</v>
      </c>
    </row>
    <row r="2075" spans="2:7" x14ac:dyDescent="0.25">
      <c r="C2075" t="s">
        <v>2073</v>
      </c>
      <c r="D2075">
        <v>0</v>
      </c>
      <c r="E2075" s="104">
        <v>759129.18</v>
      </c>
      <c r="F2075" s="104">
        <v>759129.18</v>
      </c>
      <c r="G2075">
        <v>0</v>
      </c>
    </row>
    <row r="2076" spans="2:7" x14ac:dyDescent="0.25">
      <c r="C2076" t="s">
        <v>2413</v>
      </c>
      <c r="D2076">
        <v>0</v>
      </c>
      <c r="E2076">
        <v>0</v>
      </c>
      <c r="F2076">
        <v>0</v>
      </c>
      <c r="G2076">
        <v>0</v>
      </c>
    </row>
    <row r="2077" spans="2:7" x14ac:dyDescent="0.25">
      <c r="C2077" t="s">
        <v>2416</v>
      </c>
      <c r="D2077">
        <v>0</v>
      </c>
      <c r="E2077" s="104">
        <v>126904.91</v>
      </c>
      <c r="F2077" s="104">
        <v>126904.91</v>
      </c>
      <c r="G2077">
        <v>0</v>
      </c>
    </row>
    <row r="2078" spans="2:7" x14ac:dyDescent="0.25">
      <c r="C2078" t="s">
        <v>2422</v>
      </c>
      <c r="D2078">
        <v>0</v>
      </c>
      <c r="E2078" s="104">
        <v>4124.1000000000004</v>
      </c>
      <c r="F2078" s="104">
        <v>4124.1000000000004</v>
      </c>
      <c r="G2078">
        <v>0</v>
      </c>
    </row>
    <row r="2079" spans="2:7" x14ac:dyDescent="0.25">
      <c r="B2079" t="s">
        <v>1587</v>
      </c>
      <c r="D2079">
        <v>0</v>
      </c>
      <c r="E2079" s="104">
        <v>1220686.6499999999</v>
      </c>
      <c r="F2079" s="104">
        <v>1220686.6499999999</v>
      </c>
      <c r="G2079">
        <v>0</v>
      </c>
    </row>
    <row r="2081" spans="2:7" x14ac:dyDescent="0.25">
      <c r="B2081">
        <v>50201020</v>
      </c>
      <c r="C2081" t="s">
        <v>641</v>
      </c>
    </row>
    <row r="2082" spans="2:7" x14ac:dyDescent="0.25">
      <c r="C2082" t="s">
        <v>2270</v>
      </c>
      <c r="D2082">
        <v>0</v>
      </c>
      <c r="E2082" s="104">
        <v>882397.12</v>
      </c>
      <c r="F2082" s="104">
        <v>882397.12</v>
      </c>
      <c r="G2082">
        <v>0</v>
      </c>
    </row>
    <row r="2083" spans="2:7" x14ac:dyDescent="0.25">
      <c r="C2083" t="s">
        <v>2415</v>
      </c>
      <c r="D2083">
        <v>0</v>
      </c>
      <c r="E2083" s="104">
        <v>3500</v>
      </c>
      <c r="F2083" s="104">
        <v>3500</v>
      </c>
      <c r="G2083">
        <v>0</v>
      </c>
    </row>
    <row r="2084" spans="2:7" x14ac:dyDescent="0.25">
      <c r="C2084" t="s">
        <v>2426</v>
      </c>
      <c r="D2084">
        <v>0</v>
      </c>
      <c r="E2084" s="104">
        <v>64180.68</v>
      </c>
      <c r="F2084" s="104">
        <v>64180.68</v>
      </c>
      <c r="G2084">
        <v>0</v>
      </c>
    </row>
    <row r="2085" spans="2:7" x14ac:dyDescent="0.25">
      <c r="C2085" t="s">
        <v>2427</v>
      </c>
      <c r="D2085">
        <v>0</v>
      </c>
      <c r="E2085" s="104">
        <v>64180.67</v>
      </c>
      <c r="F2085" s="104">
        <v>64180.67</v>
      </c>
      <c r="G2085">
        <v>0</v>
      </c>
    </row>
    <row r="2086" spans="2:7" x14ac:dyDescent="0.25">
      <c r="B2086" t="s">
        <v>1587</v>
      </c>
      <c r="D2086">
        <v>0</v>
      </c>
      <c r="E2086" s="104">
        <v>1014258.47</v>
      </c>
      <c r="F2086" s="104">
        <v>1014258.47</v>
      </c>
      <c r="G2086">
        <v>0</v>
      </c>
    </row>
    <row r="2088" spans="2:7" x14ac:dyDescent="0.25">
      <c r="B2088">
        <v>50202010</v>
      </c>
      <c r="C2088" t="s">
        <v>549</v>
      </c>
    </row>
    <row r="2089" spans="2:7" x14ac:dyDescent="0.25">
      <c r="C2089" t="s">
        <v>2269</v>
      </c>
      <c r="D2089">
        <v>0</v>
      </c>
      <c r="E2089" s="104">
        <v>2866.07</v>
      </c>
      <c r="F2089" s="104">
        <v>2866.07</v>
      </c>
      <c r="G2089">
        <v>0</v>
      </c>
    </row>
    <row r="2090" spans="2:7" x14ac:dyDescent="0.25">
      <c r="C2090" t="s">
        <v>2270</v>
      </c>
      <c r="D2090">
        <v>0</v>
      </c>
      <c r="E2090" s="104">
        <v>29355.45</v>
      </c>
      <c r="F2090" s="104">
        <v>29355.45</v>
      </c>
      <c r="G2090">
        <v>0</v>
      </c>
    </row>
    <row r="2091" spans="2:7" x14ac:dyDescent="0.25">
      <c r="C2091" t="s">
        <v>2414</v>
      </c>
      <c r="D2091">
        <v>0</v>
      </c>
      <c r="E2091" s="104">
        <v>40144.99</v>
      </c>
      <c r="F2091" s="104">
        <v>40144.99</v>
      </c>
      <c r="G2091">
        <v>0</v>
      </c>
    </row>
    <row r="2092" spans="2:7" x14ac:dyDescent="0.25">
      <c r="C2092" t="s">
        <v>2073</v>
      </c>
      <c r="D2092">
        <v>0</v>
      </c>
      <c r="E2092" s="104">
        <v>123105</v>
      </c>
      <c r="F2092" s="104">
        <v>123105</v>
      </c>
      <c r="G2092">
        <v>0</v>
      </c>
    </row>
    <row r="2093" spans="2:7" x14ac:dyDescent="0.25">
      <c r="C2093" t="s">
        <v>2413</v>
      </c>
      <c r="D2093">
        <v>0</v>
      </c>
      <c r="E2093" s="104">
        <v>43608.92</v>
      </c>
      <c r="F2093" s="104">
        <v>43608.92</v>
      </c>
      <c r="G2093">
        <v>0</v>
      </c>
    </row>
    <row r="2094" spans="2:7" x14ac:dyDescent="0.25">
      <c r="C2094" t="s">
        <v>2416</v>
      </c>
      <c r="D2094">
        <v>0</v>
      </c>
      <c r="E2094" s="104">
        <v>13729.92</v>
      </c>
      <c r="F2094" s="104">
        <v>13729.92</v>
      </c>
      <c r="G2094">
        <v>0</v>
      </c>
    </row>
    <row r="2095" spans="2:7" x14ac:dyDescent="0.25">
      <c r="C2095" t="s">
        <v>2428</v>
      </c>
      <c r="D2095">
        <v>0</v>
      </c>
      <c r="E2095" s="104">
        <v>72996.429999999993</v>
      </c>
      <c r="F2095" s="104">
        <v>72996.429999999993</v>
      </c>
      <c r="G2095">
        <v>0</v>
      </c>
    </row>
    <row r="2096" spans="2:7" x14ac:dyDescent="0.25">
      <c r="C2096" t="s">
        <v>2145</v>
      </c>
      <c r="D2096">
        <v>0</v>
      </c>
      <c r="E2096" s="104">
        <v>25092.39</v>
      </c>
      <c r="F2096" s="104">
        <v>25092.39</v>
      </c>
      <c r="G2096">
        <v>0</v>
      </c>
    </row>
    <row r="2097" spans="2:7" x14ac:dyDescent="0.25">
      <c r="C2097" t="s">
        <v>2421</v>
      </c>
      <c r="D2097">
        <v>0</v>
      </c>
      <c r="E2097">
        <v>0</v>
      </c>
      <c r="F2097">
        <v>0</v>
      </c>
      <c r="G2097">
        <v>0</v>
      </c>
    </row>
    <row r="2098" spans="2:7" x14ac:dyDescent="0.25">
      <c r="C2098" t="s">
        <v>2418</v>
      </c>
      <c r="D2098">
        <v>0</v>
      </c>
      <c r="E2098" s="104">
        <v>14285.71</v>
      </c>
      <c r="F2098" s="104">
        <v>14285.71</v>
      </c>
      <c r="G2098">
        <v>0</v>
      </c>
    </row>
    <row r="2099" spans="2:7" x14ac:dyDescent="0.25">
      <c r="C2099" t="s">
        <v>2423</v>
      </c>
      <c r="D2099">
        <v>0</v>
      </c>
      <c r="E2099" s="104">
        <v>3750</v>
      </c>
      <c r="F2099" s="104">
        <v>3750</v>
      </c>
      <c r="G2099">
        <v>0</v>
      </c>
    </row>
    <row r="2100" spans="2:7" x14ac:dyDescent="0.25">
      <c r="B2100" t="s">
        <v>1587</v>
      </c>
      <c r="D2100">
        <v>0</v>
      </c>
      <c r="E2100" s="104">
        <v>368934.88</v>
      </c>
      <c r="F2100" s="104">
        <v>368934.88</v>
      </c>
      <c r="G2100">
        <v>0</v>
      </c>
    </row>
    <row r="2102" spans="2:7" x14ac:dyDescent="0.25">
      <c r="B2102">
        <v>50203010</v>
      </c>
      <c r="C2102" t="s">
        <v>630</v>
      </c>
    </row>
    <row r="2103" spans="2:7" x14ac:dyDescent="0.25">
      <c r="C2103" t="s">
        <v>2269</v>
      </c>
      <c r="D2103">
        <v>0</v>
      </c>
      <c r="E2103" s="104">
        <v>184887.04000000001</v>
      </c>
      <c r="F2103" s="104">
        <v>184887.04000000001</v>
      </c>
      <c r="G2103">
        <v>0</v>
      </c>
    </row>
    <row r="2104" spans="2:7" x14ac:dyDescent="0.25">
      <c r="C2104" t="s">
        <v>2270</v>
      </c>
      <c r="D2104">
        <v>0</v>
      </c>
      <c r="E2104" s="104">
        <v>133576.4</v>
      </c>
      <c r="F2104" s="104">
        <v>133576.4</v>
      </c>
      <c r="G2104">
        <v>0</v>
      </c>
    </row>
    <row r="2105" spans="2:7" x14ac:dyDescent="0.25">
      <c r="C2105" t="s">
        <v>2413</v>
      </c>
      <c r="D2105">
        <v>0</v>
      </c>
      <c r="E2105" s="104">
        <v>54986.19</v>
      </c>
      <c r="F2105" s="104">
        <v>54986.19</v>
      </c>
      <c r="G2105">
        <v>0</v>
      </c>
    </row>
    <row r="2106" spans="2:7" x14ac:dyDescent="0.25">
      <c r="C2106" t="s">
        <v>2414</v>
      </c>
      <c r="D2106">
        <v>0</v>
      </c>
      <c r="E2106" s="104">
        <v>564685.39</v>
      </c>
      <c r="F2106" s="104">
        <v>564685.39</v>
      </c>
      <c r="G2106">
        <v>0</v>
      </c>
    </row>
    <row r="2107" spans="2:7" x14ac:dyDescent="0.25">
      <c r="C2107" t="s">
        <v>2073</v>
      </c>
      <c r="D2107">
        <v>0</v>
      </c>
      <c r="E2107" s="104">
        <v>169206.74</v>
      </c>
      <c r="F2107" s="104">
        <v>169206.74</v>
      </c>
      <c r="G2107">
        <v>0</v>
      </c>
    </row>
    <row r="2108" spans="2:7" x14ac:dyDescent="0.25">
      <c r="C2108" t="s">
        <v>2415</v>
      </c>
      <c r="D2108">
        <v>0</v>
      </c>
      <c r="E2108" s="104">
        <v>5832.94</v>
      </c>
      <c r="F2108" s="104">
        <v>5832.94</v>
      </c>
      <c r="G2108">
        <v>0</v>
      </c>
    </row>
    <row r="2109" spans="2:7" x14ac:dyDescent="0.25">
      <c r="C2109" t="s">
        <v>2416</v>
      </c>
      <c r="D2109">
        <v>0</v>
      </c>
      <c r="E2109" s="104">
        <v>157238.73000000001</v>
      </c>
      <c r="F2109" s="104">
        <v>157238.73000000001</v>
      </c>
      <c r="G2109">
        <v>0</v>
      </c>
    </row>
    <row r="2110" spans="2:7" x14ac:dyDescent="0.25">
      <c r="C2110" t="s">
        <v>2429</v>
      </c>
      <c r="D2110">
        <v>0</v>
      </c>
      <c r="E2110" s="104">
        <v>59736.45</v>
      </c>
      <c r="F2110" s="104">
        <v>59736.45</v>
      </c>
      <c r="G2110">
        <v>0</v>
      </c>
    </row>
    <row r="2111" spans="2:7" x14ac:dyDescent="0.25">
      <c r="C2111" t="s">
        <v>2418</v>
      </c>
      <c r="D2111">
        <v>0</v>
      </c>
      <c r="E2111">
        <v>555.36</v>
      </c>
      <c r="F2111">
        <v>555.36</v>
      </c>
      <c r="G2111">
        <v>0</v>
      </c>
    </row>
    <row r="2112" spans="2:7" x14ac:dyDescent="0.25">
      <c r="C2112" t="s">
        <v>2422</v>
      </c>
      <c r="D2112">
        <v>0</v>
      </c>
      <c r="E2112" s="104">
        <v>4584.87</v>
      </c>
      <c r="F2112" s="104">
        <v>4584.87</v>
      </c>
      <c r="G2112">
        <v>0</v>
      </c>
    </row>
    <row r="2113" spans="2:7" x14ac:dyDescent="0.25">
      <c r="C2113" t="s">
        <v>2423</v>
      </c>
      <c r="D2113">
        <v>0</v>
      </c>
      <c r="E2113" s="104">
        <v>6022.47</v>
      </c>
      <c r="F2113" s="104">
        <v>6022.47</v>
      </c>
      <c r="G2113">
        <v>0</v>
      </c>
    </row>
    <row r="2114" spans="2:7" x14ac:dyDescent="0.25">
      <c r="B2114" t="s">
        <v>1587</v>
      </c>
      <c r="D2114">
        <v>0</v>
      </c>
      <c r="E2114" s="104">
        <v>1341312.58</v>
      </c>
      <c r="F2114" s="104">
        <v>1341312.58</v>
      </c>
      <c r="G2114">
        <v>0</v>
      </c>
    </row>
    <row r="2116" spans="2:7" x14ac:dyDescent="0.25">
      <c r="B2116">
        <v>50203020</v>
      </c>
      <c r="C2116" t="s">
        <v>1025</v>
      </c>
    </row>
    <row r="2117" spans="2:7" x14ac:dyDescent="0.25">
      <c r="C2117" t="s">
        <v>2073</v>
      </c>
      <c r="D2117">
        <v>0</v>
      </c>
      <c r="E2117" s="104">
        <v>48000</v>
      </c>
      <c r="F2117" s="104">
        <v>48000</v>
      </c>
      <c r="G2117">
        <v>0</v>
      </c>
    </row>
    <row r="2118" spans="2:7" x14ac:dyDescent="0.25">
      <c r="B2118" t="s">
        <v>1587</v>
      </c>
      <c r="D2118">
        <v>0</v>
      </c>
      <c r="E2118" s="104">
        <v>48000</v>
      </c>
      <c r="F2118" s="104">
        <v>48000</v>
      </c>
      <c r="G2118">
        <v>0</v>
      </c>
    </row>
    <row r="2120" spans="2:7" x14ac:dyDescent="0.25">
      <c r="B2120">
        <v>50203090</v>
      </c>
      <c r="C2120" t="s">
        <v>540</v>
      </c>
    </row>
    <row r="2121" spans="2:7" x14ac:dyDescent="0.25">
      <c r="C2121" t="s">
        <v>2269</v>
      </c>
      <c r="D2121">
        <v>0</v>
      </c>
      <c r="E2121" s="104">
        <v>153461.39000000001</v>
      </c>
      <c r="F2121" s="104">
        <v>153461.39000000001</v>
      </c>
      <c r="G2121">
        <v>0</v>
      </c>
    </row>
    <row r="2122" spans="2:7" x14ac:dyDescent="0.25">
      <c r="C2122" t="s">
        <v>2270</v>
      </c>
      <c r="D2122">
        <v>0</v>
      </c>
      <c r="E2122" s="104">
        <v>131074.37</v>
      </c>
      <c r="F2122" s="104">
        <v>131074.37</v>
      </c>
      <c r="G2122">
        <v>0</v>
      </c>
    </row>
    <row r="2123" spans="2:7" x14ac:dyDescent="0.25">
      <c r="C2123" t="s">
        <v>2413</v>
      </c>
      <c r="D2123">
        <v>0</v>
      </c>
      <c r="E2123" s="104">
        <v>51461.58</v>
      </c>
      <c r="F2123" s="104">
        <v>51461.58</v>
      </c>
      <c r="G2123">
        <v>0</v>
      </c>
    </row>
    <row r="2124" spans="2:7" x14ac:dyDescent="0.25">
      <c r="C2124" t="s">
        <v>2416</v>
      </c>
      <c r="D2124">
        <v>0</v>
      </c>
      <c r="E2124" s="104">
        <v>108476.33</v>
      </c>
      <c r="F2124" s="104">
        <v>108476.33</v>
      </c>
      <c r="G2124">
        <v>0</v>
      </c>
    </row>
    <row r="2125" spans="2:7" x14ac:dyDescent="0.25">
      <c r="C2125" t="s">
        <v>2414</v>
      </c>
      <c r="D2125">
        <v>0</v>
      </c>
      <c r="E2125" s="104">
        <v>6943.65</v>
      </c>
      <c r="F2125" s="104">
        <v>6943.65</v>
      </c>
      <c r="G2125">
        <v>0</v>
      </c>
    </row>
    <row r="2126" spans="2:7" x14ac:dyDescent="0.25">
      <c r="C2126" t="s">
        <v>2073</v>
      </c>
      <c r="D2126">
        <v>0</v>
      </c>
      <c r="E2126" s="104">
        <v>583405.4</v>
      </c>
      <c r="F2126" s="104">
        <v>583405.4</v>
      </c>
      <c r="G2126">
        <v>0</v>
      </c>
    </row>
    <row r="2127" spans="2:7" x14ac:dyDescent="0.25">
      <c r="C2127" t="s">
        <v>2418</v>
      </c>
      <c r="D2127">
        <v>0</v>
      </c>
      <c r="E2127" s="104">
        <v>25291.42</v>
      </c>
      <c r="F2127" s="104">
        <v>25291.42</v>
      </c>
      <c r="G2127">
        <v>0</v>
      </c>
    </row>
    <row r="2128" spans="2:7" x14ac:dyDescent="0.25">
      <c r="C2128" t="s">
        <v>2423</v>
      </c>
      <c r="D2128">
        <v>0</v>
      </c>
      <c r="E2128" s="104">
        <v>29897.14</v>
      </c>
      <c r="F2128" s="104">
        <v>29897.14</v>
      </c>
      <c r="G2128">
        <v>0</v>
      </c>
    </row>
    <row r="2129" spans="2:7" x14ac:dyDescent="0.25">
      <c r="B2129" t="s">
        <v>1587</v>
      </c>
      <c r="D2129">
        <v>0</v>
      </c>
      <c r="E2129" s="104">
        <v>1090011.28</v>
      </c>
      <c r="F2129" s="104">
        <v>1090011.28</v>
      </c>
      <c r="G2129">
        <v>0</v>
      </c>
    </row>
    <row r="2131" spans="2:7" x14ac:dyDescent="0.25">
      <c r="B2131">
        <v>50203990</v>
      </c>
      <c r="C2131" t="s">
        <v>634</v>
      </c>
    </row>
    <row r="2132" spans="2:7" x14ac:dyDescent="0.25">
      <c r="C2132" t="s">
        <v>2269</v>
      </c>
      <c r="D2132">
        <v>0</v>
      </c>
      <c r="E2132" s="104">
        <v>8854.4699999999993</v>
      </c>
      <c r="F2132" s="104">
        <v>8854.4699999999993</v>
      </c>
      <c r="G2132">
        <v>0</v>
      </c>
    </row>
    <row r="2133" spans="2:7" x14ac:dyDescent="0.25">
      <c r="C2133" t="s">
        <v>2270</v>
      </c>
      <c r="D2133">
        <v>0</v>
      </c>
      <c r="E2133" s="104">
        <v>49296.21</v>
      </c>
      <c r="F2133" s="104">
        <v>49296.21</v>
      </c>
      <c r="G2133">
        <v>0</v>
      </c>
    </row>
    <row r="2134" spans="2:7" x14ac:dyDescent="0.25">
      <c r="C2134" t="s">
        <v>2073</v>
      </c>
      <c r="D2134">
        <v>0</v>
      </c>
      <c r="E2134" s="104">
        <v>1708659.52</v>
      </c>
      <c r="F2134" s="104">
        <v>1708659.52</v>
      </c>
      <c r="G2134">
        <v>0</v>
      </c>
    </row>
    <row r="2135" spans="2:7" x14ac:dyDescent="0.25">
      <c r="C2135" t="s">
        <v>2413</v>
      </c>
      <c r="D2135">
        <v>0</v>
      </c>
      <c r="E2135" s="104">
        <v>5376.79</v>
      </c>
      <c r="F2135" s="104">
        <v>5376.79</v>
      </c>
      <c r="G2135">
        <v>0</v>
      </c>
    </row>
    <row r="2136" spans="2:7" x14ac:dyDescent="0.25">
      <c r="C2136" t="s">
        <v>2415</v>
      </c>
      <c r="D2136">
        <v>0</v>
      </c>
      <c r="E2136">
        <v>267.86</v>
      </c>
      <c r="F2136">
        <v>267.86</v>
      </c>
      <c r="G2136">
        <v>0</v>
      </c>
    </row>
    <row r="2137" spans="2:7" x14ac:dyDescent="0.25">
      <c r="C2137" t="s">
        <v>2416</v>
      </c>
      <c r="D2137">
        <v>0</v>
      </c>
      <c r="E2137" s="104">
        <v>4915.87</v>
      </c>
      <c r="F2137" s="104">
        <v>4915.87</v>
      </c>
      <c r="G2137">
        <v>0</v>
      </c>
    </row>
    <row r="2138" spans="2:7" x14ac:dyDescent="0.25">
      <c r="C2138" t="s">
        <v>2414</v>
      </c>
      <c r="D2138">
        <v>0</v>
      </c>
      <c r="E2138" s="104">
        <v>76112.03</v>
      </c>
      <c r="F2138" s="104">
        <v>76112.03</v>
      </c>
      <c r="G2138">
        <v>0</v>
      </c>
    </row>
    <row r="2139" spans="2:7" x14ac:dyDescent="0.25">
      <c r="C2139" t="s">
        <v>2145</v>
      </c>
      <c r="D2139">
        <v>0</v>
      </c>
      <c r="E2139">
        <v>0</v>
      </c>
      <c r="F2139">
        <v>0</v>
      </c>
      <c r="G2139">
        <v>0</v>
      </c>
    </row>
    <row r="2140" spans="2:7" x14ac:dyDescent="0.25">
      <c r="C2140" t="s">
        <v>2418</v>
      </c>
      <c r="D2140">
        <v>0</v>
      </c>
      <c r="E2140" s="104">
        <v>4687.82</v>
      </c>
      <c r="F2140" s="104">
        <v>4687.82</v>
      </c>
      <c r="G2140">
        <v>0</v>
      </c>
    </row>
    <row r="2141" spans="2:7" x14ac:dyDescent="0.25">
      <c r="C2141" t="s">
        <v>2422</v>
      </c>
      <c r="D2141">
        <v>0</v>
      </c>
      <c r="E2141" s="104">
        <v>5500</v>
      </c>
      <c r="F2141" s="104">
        <v>5500</v>
      </c>
      <c r="G2141">
        <v>0</v>
      </c>
    </row>
    <row r="2142" spans="2:7" x14ac:dyDescent="0.25">
      <c r="C2142" t="s">
        <v>2419</v>
      </c>
      <c r="D2142">
        <v>0</v>
      </c>
      <c r="E2142">
        <v>580.36</v>
      </c>
      <c r="F2142">
        <v>580.36</v>
      </c>
      <c r="G2142">
        <v>0</v>
      </c>
    </row>
    <row r="2143" spans="2:7" x14ac:dyDescent="0.25">
      <c r="B2143" t="s">
        <v>1587</v>
      </c>
      <c r="D2143">
        <v>0</v>
      </c>
      <c r="E2143" s="104">
        <v>1864250.93</v>
      </c>
      <c r="F2143" s="104">
        <v>1864250.93</v>
      </c>
      <c r="G2143">
        <v>0</v>
      </c>
    </row>
    <row r="2145" spans="2:7" x14ac:dyDescent="0.25">
      <c r="B2145">
        <v>50204010</v>
      </c>
      <c r="C2145" t="s">
        <v>508</v>
      </c>
    </row>
    <row r="2146" spans="2:7" x14ac:dyDescent="0.25">
      <c r="C2146" t="s">
        <v>2073</v>
      </c>
      <c r="D2146">
        <v>0</v>
      </c>
      <c r="E2146" s="104">
        <v>533898.61</v>
      </c>
      <c r="F2146" s="104">
        <v>533898.61</v>
      </c>
      <c r="G2146">
        <v>0</v>
      </c>
    </row>
    <row r="2147" spans="2:7" x14ac:dyDescent="0.25">
      <c r="B2147" t="s">
        <v>1587</v>
      </c>
      <c r="D2147">
        <v>0</v>
      </c>
      <c r="E2147" s="104">
        <v>533898.61</v>
      </c>
      <c r="F2147" s="104">
        <v>533898.61</v>
      </c>
      <c r="G2147">
        <v>0</v>
      </c>
    </row>
    <row r="2149" spans="2:7" x14ac:dyDescent="0.25">
      <c r="B2149">
        <v>50204020</v>
      </c>
      <c r="C2149" t="s">
        <v>511</v>
      </c>
    </row>
    <row r="2150" spans="2:7" x14ac:dyDescent="0.25">
      <c r="C2150" t="s">
        <v>2073</v>
      </c>
      <c r="D2150">
        <v>0</v>
      </c>
      <c r="E2150" s="104">
        <v>3737077.88</v>
      </c>
      <c r="F2150" s="104">
        <v>3737077.88</v>
      </c>
      <c r="G2150">
        <v>0</v>
      </c>
    </row>
    <row r="2151" spans="2:7" x14ac:dyDescent="0.25">
      <c r="C2151" t="s">
        <v>2178</v>
      </c>
      <c r="D2151">
        <v>0</v>
      </c>
      <c r="E2151">
        <v>0</v>
      </c>
      <c r="F2151">
        <v>0</v>
      </c>
      <c r="G2151">
        <v>0</v>
      </c>
    </row>
    <row r="2152" spans="2:7" x14ac:dyDescent="0.25">
      <c r="B2152" t="s">
        <v>1587</v>
      </c>
      <c r="D2152">
        <v>0</v>
      </c>
      <c r="E2152" s="104">
        <v>3737077.88</v>
      </c>
      <c r="F2152" s="104">
        <v>3737077.88</v>
      </c>
      <c r="G2152">
        <v>0</v>
      </c>
    </row>
    <row r="2154" spans="2:7" x14ac:dyDescent="0.25">
      <c r="B2154">
        <v>50205010</v>
      </c>
      <c r="C2154" t="s">
        <v>621</v>
      </c>
    </row>
    <row r="2155" spans="2:7" x14ac:dyDescent="0.25">
      <c r="C2155" t="s">
        <v>2269</v>
      </c>
      <c r="D2155">
        <v>0</v>
      </c>
      <c r="E2155">
        <v>393.74</v>
      </c>
      <c r="F2155">
        <v>393.74</v>
      </c>
      <c r="G2155">
        <v>0</v>
      </c>
    </row>
    <row r="2156" spans="2:7" x14ac:dyDescent="0.25">
      <c r="C2156" t="s">
        <v>2270</v>
      </c>
      <c r="D2156">
        <v>0</v>
      </c>
      <c r="E2156" s="104">
        <v>1168.73</v>
      </c>
      <c r="F2156" s="104">
        <v>1168.73</v>
      </c>
      <c r="G2156">
        <v>0</v>
      </c>
    </row>
    <row r="2157" spans="2:7" x14ac:dyDescent="0.25">
      <c r="C2157" t="s">
        <v>2414</v>
      </c>
      <c r="D2157">
        <v>0</v>
      </c>
      <c r="E2157" s="104">
        <v>12164.78</v>
      </c>
      <c r="F2157" s="104">
        <v>12164.78</v>
      </c>
      <c r="G2157">
        <v>0</v>
      </c>
    </row>
    <row r="2158" spans="2:7" x14ac:dyDescent="0.25">
      <c r="C2158" t="s">
        <v>2073</v>
      </c>
      <c r="D2158">
        <v>0</v>
      </c>
      <c r="E2158" s="104">
        <v>9716.18</v>
      </c>
      <c r="F2158" s="104">
        <v>9716.18</v>
      </c>
      <c r="G2158">
        <v>0</v>
      </c>
    </row>
    <row r="2159" spans="2:7" x14ac:dyDescent="0.25">
      <c r="C2159" t="s">
        <v>2413</v>
      </c>
      <c r="D2159">
        <v>0</v>
      </c>
      <c r="E2159" s="104">
        <v>8810</v>
      </c>
      <c r="F2159" s="104">
        <v>8810</v>
      </c>
      <c r="G2159">
        <v>0</v>
      </c>
    </row>
    <row r="2160" spans="2:7" x14ac:dyDescent="0.25">
      <c r="C2160" t="s">
        <v>2416</v>
      </c>
      <c r="D2160">
        <v>0</v>
      </c>
      <c r="E2160" s="104">
        <v>6793.96</v>
      </c>
      <c r="F2160" s="104">
        <v>6793.96</v>
      </c>
      <c r="G2160">
        <v>0</v>
      </c>
    </row>
    <row r="2161" spans="2:7" x14ac:dyDescent="0.25">
      <c r="C2161" t="s">
        <v>2422</v>
      </c>
      <c r="D2161">
        <v>0</v>
      </c>
      <c r="E2161">
        <v>351.78</v>
      </c>
      <c r="F2161">
        <v>351.78</v>
      </c>
      <c r="G2161">
        <v>0</v>
      </c>
    </row>
    <row r="2162" spans="2:7" x14ac:dyDescent="0.25">
      <c r="B2162" t="s">
        <v>1587</v>
      </c>
      <c r="D2162">
        <v>0</v>
      </c>
      <c r="E2162" s="104">
        <v>39399.17</v>
      </c>
      <c r="F2162" s="104">
        <v>39399.17</v>
      </c>
      <c r="G2162">
        <v>0</v>
      </c>
    </row>
    <row r="2164" spans="2:7" x14ac:dyDescent="0.25">
      <c r="B2164">
        <v>50205020</v>
      </c>
      <c r="C2164" t="s">
        <v>617</v>
      </c>
    </row>
    <row r="2165" spans="2:7" x14ac:dyDescent="0.25">
      <c r="C2165" t="s">
        <v>2269</v>
      </c>
      <c r="D2165">
        <v>0</v>
      </c>
      <c r="E2165" s="104">
        <v>39088.980000000003</v>
      </c>
      <c r="F2165" s="104">
        <v>39088.980000000003</v>
      </c>
      <c r="G2165">
        <v>0</v>
      </c>
    </row>
    <row r="2166" spans="2:7" x14ac:dyDescent="0.25">
      <c r="C2166" t="s">
        <v>2270</v>
      </c>
      <c r="D2166">
        <v>0</v>
      </c>
      <c r="E2166" s="104">
        <v>66889.25</v>
      </c>
      <c r="F2166" s="104">
        <v>66889.25</v>
      </c>
      <c r="G2166">
        <v>0</v>
      </c>
    </row>
    <row r="2167" spans="2:7" x14ac:dyDescent="0.25">
      <c r="C2167" t="s">
        <v>2414</v>
      </c>
      <c r="D2167">
        <v>0</v>
      </c>
      <c r="E2167" s="104">
        <v>111884.02</v>
      </c>
      <c r="F2167" s="104">
        <v>111884.02</v>
      </c>
      <c r="G2167">
        <v>0</v>
      </c>
    </row>
    <row r="2168" spans="2:7" x14ac:dyDescent="0.25">
      <c r="C2168" t="s">
        <v>2073</v>
      </c>
      <c r="D2168">
        <v>0</v>
      </c>
      <c r="E2168" s="104">
        <v>381981.32</v>
      </c>
      <c r="F2168" s="104">
        <v>381981.32</v>
      </c>
      <c r="G2168">
        <v>0</v>
      </c>
    </row>
    <row r="2169" spans="2:7" x14ac:dyDescent="0.25">
      <c r="C2169" t="s">
        <v>2413</v>
      </c>
      <c r="D2169">
        <v>0</v>
      </c>
      <c r="E2169" s="104">
        <v>20924.509999999998</v>
      </c>
      <c r="F2169" s="104">
        <v>20924.509999999998</v>
      </c>
      <c r="G2169">
        <v>0</v>
      </c>
    </row>
    <row r="2170" spans="2:7" x14ac:dyDescent="0.25">
      <c r="C2170" t="s">
        <v>2415</v>
      </c>
      <c r="D2170">
        <v>0</v>
      </c>
      <c r="E2170" s="104">
        <v>31910.99</v>
      </c>
      <c r="F2170" s="104">
        <v>31910.99</v>
      </c>
      <c r="G2170">
        <v>0</v>
      </c>
    </row>
    <row r="2171" spans="2:7" x14ac:dyDescent="0.25">
      <c r="C2171" t="s">
        <v>2416</v>
      </c>
      <c r="D2171">
        <v>0</v>
      </c>
      <c r="E2171" s="104">
        <v>24731.34</v>
      </c>
      <c r="F2171" s="104">
        <v>24731.34</v>
      </c>
      <c r="G2171">
        <v>0</v>
      </c>
    </row>
    <row r="2172" spans="2:7" x14ac:dyDescent="0.25">
      <c r="C2172" t="s">
        <v>2421</v>
      </c>
      <c r="D2172">
        <v>0</v>
      </c>
      <c r="E2172">
        <v>0</v>
      </c>
      <c r="F2172">
        <v>0</v>
      </c>
      <c r="G2172">
        <v>0</v>
      </c>
    </row>
    <row r="2173" spans="2:7" x14ac:dyDescent="0.25">
      <c r="C2173" t="s">
        <v>2418</v>
      </c>
      <c r="D2173">
        <v>0</v>
      </c>
      <c r="E2173">
        <v>835.72</v>
      </c>
      <c r="F2173">
        <v>835.72</v>
      </c>
      <c r="G2173">
        <v>0</v>
      </c>
    </row>
    <row r="2174" spans="2:7" x14ac:dyDescent="0.25">
      <c r="C2174" t="s">
        <v>2422</v>
      </c>
      <c r="D2174">
        <v>0</v>
      </c>
      <c r="E2174">
        <v>300</v>
      </c>
      <c r="F2174">
        <v>300</v>
      </c>
      <c r="G2174">
        <v>0</v>
      </c>
    </row>
    <row r="2175" spans="2:7" x14ac:dyDescent="0.25">
      <c r="C2175" t="s">
        <v>2419</v>
      </c>
      <c r="D2175">
        <v>0</v>
      </c>
      <c r="E2175">
        <v>399.11</v>
      </c>
      <c r="F2175">
        <v>399.11</v>
      </c>
      <c r="G2175">
        <v>0</v>
      </c>
    </row>
    <row r="2176" spans="2:7" x14ac:dyDescent="0.25">
      <c r="B2176" t="s">
        <v>1587</v>
      </c>
      <c r="D2176">
        <v>0</v>
      </c>
      <c r="E2176" s="104">
        <v>678945.24</v>
      </c>
      <c r="F2176" s="104">
        <v>678945.24</v>
      </c>
      <c r="G2176">
        <v>0</v>
      </c>
    </row>
    <row r="2178" spans="2:7" x14ac:dyDescent="0.25">
      <c r="B2178">
        <v>50205030</v>
      </c>
      <c r="C2178" t="s">
        <v>625</v>
      </c>
    </row>
    <row r="2179" spans="2:7" x14ac:dyDescent="0.25">
      <c r="C2179" t="s">
        <v>2269</v>
      </c>
      <c r="D2179">
        <v>0</v>
      </c>
      <c r="E2179">
        <v>0</v>
      </c>
      <c r="F2179">
        <v>0</v>
      </c>
      <c r="G2179">
        <v>0</v>
      </c>
    </row>
    <row r="2180" spans="2:7" x14ac:dyDescent="0.25">
      <c r="C2180" t="s">
        <v>2270</v>
      </c>
      <c r="D2180">
        <v>0</v>
      </c>
      <c r="E2180" s="104">
        <v>1695.54</v>
      </c>
      <c r="F2180" s="104">
        <v>1695.54</v>
      </c>
      <c r="G2180">
        <v>0</v>
      </c>
    </row>
    <row r="2181" spans="2:7" x14ac:dyDescent="0.25">
      <c r="C2181" t="s">
        <v>2073</v>
      </c>
      <c r="D2181">
        <v>0</v>
      </c>
      <c r="E2181" s="104">
        <v>242451.42</v>
      </c>
      <c r="F2181" s="104">
        <v>242451.42</v>
      </c>
      <c r="G2181">
        <v>0</v>
      </c>
    </row>
    <row r="2182" spans="2:7" x14ac:dyDescent="0.25">
      <c r="C2182" t="s">
        <v>2415</v>
      </c>
      <c r="D2182">
        <v>0</v>
      </c>
      <c r="E2182" s="104">
        <v>18650.939999999999</v>
      </c>
      <c r="F2182" s="104">
        <v>18650.939999999999</v>
      </c>
      <c r="G2182">
        <v>0</v>
      </c>
    </row>
    <row r="2183" spans="2:7" x14ac:dyDescent="0.25">
      <c r="C2183" t="s">
        <v>2414</v>
      </c>
      <c r="D2183">
        <v>0</v>
      </c>
      <c r="E2183" s="104">
        <v>5570.99</v>
      </c>
      <c r="F2183" s="104">
        <v>5570.99</v>
      </c>
      <c r="G2183">
        <v>0</v>
      </c>
    </row>
    <row r="2184" spans="2:7" x14ac:dyDescent="0.25">
      <c r="B2184" t="s">
        <v>1587</v>
      </c>
      <c r="D2184">
        <v>0</v>
      </c>
      <c r="E2184" s="104">
        <v>268368.89</v>
      </c>
      <c r="F2184" s="104">
        <v>268368.89</v>
      </c>
      <c r="G2184">
        <v>0</v>
      </c>
    </row>
    <row r="2186" spans="2:7" x14ac:dyDescent="0.25">
      <c r="B2186">
        <v>50205040</v>
      </c>
      <c r="C2186" t="s">
        <v>2430</v>
      </c>
    </row>
    <row r="2187" spans="2:7" x14ac:dyDescent="0.25">
      <c r="B2187">
        <v>50210030</v>
      </c>
      <c r="C2187" t="s">
        <v>2431</v>
      </c>
      <c r="D2187">
        <v>0</v>
      </c>
      <c r="E2187" s="104">
        <v>7255442.8799999999</v>
      </c>
      <c r="F2187" s="104">
        <v>7255442.8799999999</v>
      </c>
      <c r="G2187">
        <v>0</v>
      </c>
    </row>
    <row r="2188" spans="2:7" x14ac:dyDescent="0.25">
      <c r="B2188" t="s">
        <v>2432</v>
      </c>
      <c r="C2188" t="s">
        <v>589</v>
      </c>
    </row>
    <row r="2189" spans="2:7" x14ac:dyDescent="0.25">
      <c r="C2189" t="s">
        <v>2073</v>
      </c>
      <c r="D2189">
        <v>0</v>
      </c>
      <c r="E2189" s="104">
        <v>322188.89</v>
      </c>
      <c r="F2189" s="104">
        <v>322188.89</v>
      </c>
      <c r="G2189">
        <v>0</v>
      </c>
    </row>
    <row r="2190" spans="2:7" x14ac:dyDescent="0.25">
      <c r="B2190" t="s">
        <v>1587</v>
      </c>
      <c r="D2190">
        <v>0</v>
      </c>
      <c r="E2190" s="104">
        <v>322188.89</v>
      </c>
      <c r="F2190" s="104">
        <v>322188.89</v>
      </c>
      <c r="G2190">
        <v>0</v>
      </c>
    </row>
    <row r="2192" spans="2:7" x14ac:dyDescent="0.25">
      <c r="B2192" t="s">
        <v>2433</v>
      </c>
      <c r="C2192" t="s">
        <v>646</v>
      </c>
    </row>
    <row r="2193" spans="3:7" x14ac:dyDescent="0.25">
      <c r="C2193" t="s">
        <v>2269</v>
      </c>
      <c r="D2193">
        <v>0</v>
      </c>
      <c r="E2193" s="104">
        <v>96636.23</v>
      </c>
      <c r="F2193" s="104">
        <v>96636.23</v>
      </c>
      <c r="G2193">
        <v>0</v>
      </c>
    </row>
    <row r="2194" spans="3:7" x14ac:dyDescent="0.25">
      <c r="C2194" t="s">
        <v>2270</v>
      </c>
      <c r="D2194">
        <v>0</v>
      </c>
      <c r="E2194" s="104">
        <v>520124.13</v>
      </c>
      <c r="F2194" s="104">
        <v>520124.13</v>
      </c>
      <c r="G2194">
        <v>0</v>
      </c>
    </row>
    <row r="2195" spans="3:7" x14ac:dyDescent="0.25">
      <c r="C2195" t="s">
        <v>2414</v>
      </c>
      <c r="D2195">
        <v>0</v>
      </c>
      <c r="E2195" s="104">
        <v>59956.06</v>
      </c>
      <c r="F2195" s="104">
        <v>59956.06</v>
      </c>
      <c r="G2195">
        <v>0</v>
      </c>
    </row>
    <row r="2196" spans="3:7" x14ac:dyDescent="0.25">
      <c r="C2196" t="s">
        <v>2073</v>
      </c>
      <c r="D2196">
        <v>0</v>
      </c>
      <c r="E2196" s="104">
        <v>1601608.07</v>
      </c>
      <c r="F2196" s="104">
        <v>1601608.07</v>
      </c>
      <c r="G2196">
        <v>0</v>
      </c>
    </row>
    <row r="2197" spans="3:7" x14ac:dyDescent="0.25">
      <c r="C2197" t="s">
        <v>2413</v>
      </c>
      <c r="D2197">
        <v>0</v>
      </c>
      <c r="E2197" s="104">
        <v>6430.36</v>
      </c>
      <c r="F2197" s="104">
        <v>6430.36</v>
      </c>
      <c r="G2197">
        <v>0</v>
      </c>
    </row>
    <row r="2198" spans="3:7" x14ac:dyDescent="0.25">
      <c r="C2198" t="s">
        <v>2415</v>
      </c>
      <c r="D2198">
        <v>0</v>
      </c>
      <c r="E2198" s="104">
        <v>9430.56</v>
      </c>
      <c r="F2198" s="104">
        <v>9430.56</v>
      </c>
      <c r="G2198">
        <v>0</v>
      </c>
    </row>
    <row r="2199" spans="3:7" x14ac:dyDescent="0.25">
      <c r="C2199" t="s">
        <v>2416</v>
      </c>
      <c r="D2199">
        <v>0</v>
      </c>
      <c r="E2199" s="104">
        <v>65972.67</v>
      </c>
      <c r="F2199" s="104">
        <v>65972.67</v>
      </c>
      <c r="G2199">
        <v>0</v>
      </c>
    </row>
    <row r="2200" spans="3:7" x14ac:dyDescent="0.25">
      <c r="C2200" t="s">
        <v>2428</v>
      </c>
      <c r="D2200">
        <v>0</v>
      </c>
      <c r="E2200" s="104">
        <v>93963.31</v>
      </c>
      <c r="F2200" s="104">
        <v>93963.31</v>
      </c>
      <c r="G2200">
        <v>0</v>
      </c>
    </row>
    <row r="2201" spans="3:7" x14ac:dyDescent="0.25">
      <c r="C2201" t="s">
        <v>2221</v>
      </c>
      <c r="D2201">
        <v>0</v>
      </c>
      <c r="E2201">
        <v>341.07</v>
      </c>
      <c r="F2201">
        <v>341.07</v>
      </c>
      <c r="G2201">
        <v>0</v>
      </c>
    </row>
    <row r="2202" spans="3:7" x14ac:dyDescent="0.25">
      <c r="C2202" t="s">
        <v>1738</v>
      </c>
      <c r="D2202">
        <v>0</v>
      </c>
      <c r="E2202" s="104">
        <v>11455.99</v>
      </c>
      <c r="F2202" s="104">
        <v>11455.99</v>
      </c>
      <c r="G2202">
        <v>0</v>
      </c>
    </row>
    <row r="2203" spans="3:7" x14ac:dyDescent="0.25">
      <c r="C2203" t="s">
        <v>2138</v>
      </c>
      <c r="D2203">
        <v>0</v>
      </c>
      <c r="E2203" s="104">
        <v>2832.4</v>
      </c>
      <c r="F2203" s="104">
        <v>2832.4</v>
      </c>
      <c r="G2203">
        <v>0</v>
      </c>
    </row>
    <row r="2204" spans="3:7" x14ac:dyDescent="0.25">
      <c r="C2204" t="s">
        <v>2417</v>
      </c>
      <c r="D2204">
        <v>0</v>
      </c>
      <c r="E2204" s="104">
        <v>154349.53</v>
      </c>
      <c r="F2204" s="104">
        <v>154349.53</v>
      </c>
      <c r="G2204">
        <v>0</v>
      </c>
    </row>
    <row r="2205" spans="3:7" x14ac:dyDescent="0.25">
      <c r="C2205" t="s">
        <v>2418</v>
      </c>
      <c r="D2205">
        <v>0</v>
      </c>
      <c r="E2205" s="104">
        <v>3696.43</v>
      </c>
      <c r="F2205" s="104">
        <v>3696.43</v>
      </c>
      <c r="G2205">
        <v>0</v>
      </c>
    </row>
    <row r="2206" spans="3:7" x14ac:dyDescent="0.25">
      <c r="C2206" t="s">
        <v>2422</v>
      </c>
      <c r="D2206">
        <v>0</v>
      </c>
      <c r="E2206" s="104">
        <v>65205.36</v>
      </c>
      <c r="F2206" s="104">
        <v>65205.36</v>
      </c>
      <c r="G2206">
        <v>0</v>
      </c>
    </row>
    <row r="2207" spans="3:7" x14ac:dyDescent="0.25">
      <c r="C2207" t="s">
        <v>2423</v>
      </c>
      <c r="D2207">
        <v>0</v>
      </c>
      <c r="E2207" s="104">
        <v>6802.31</v>
      </c>
      <c r="F2207" s="104">
        <v>6802.31</v>
      </c>
      <c r="G2207">
        <v>0</v>
      </c>
    </row>
    <row r="2208" spans="3:7" x14ac:dyDescent="0.25">
      <c r="C2208" t="s">
        <v>2426</v>
      </c>
      <c r="D2208">
        <v>0</v>
      </c>
      <c r="E2208" s="104">
        <v>5548.69</v>
      </c>
      <c r="F2208" s="104">
        <v>5548.69</v>
      </c>
      <c r="G2208">
        <v>0</v>
      </c>
    </row>
    <row r="2209" spans="2:7" x14ac:dyDescent="0.25">
      <c r="C2209" t="s">
        <v>2434</v>
      </c>
      <c r="D2209">
        <v>0</v>
      </c>
      <c r="E2209" s="104">
        <v>14035.8</v>
      </c>
      <c r="F2209" s="104">
        <v>14035.8</v>
      </c>
      <c r="G2209">
        <v>0</v>
      </c>
    </row>
    <row r="2210" spans="2:7" x14ac:dyDescent="0.25">
      <c r="B2210" t="s">
        <v>1587</v>
      </c>
      <c r="D2210">
        <v>0</v>
      </c>
      <c r="E2210" s="104">
        <v>2718388.97</v>
      </c>
      <c r="F2210" s="104">
        <v>2718388.97</v>
      </c>
      <c r="G2210">
        <v>0</v>
      </c>
    </row>
    <row r="2212" spans="2:7" x14ac:dyDescent="0.25">
      <c r="B2212" t="s">
        <v>2435</v>
      </c>
      <c r="C2212" t="s">
        <v>593</v>
      </c>
    </row>
    <row r="2213" spans="2:7" x14ac:dyDescent="0.25">
      <c r="C2213" t="s">
        <v>2269</v>
      </c>
      <c r="D2213">
        <v>0</v>
      </c>
      <c r="E2213" s="104">
        <v>12178.41</v>
      </c>
      <c r="F2213" s="104">
        <v>12178.41</v>
      </c>
      <c r="G2213">
        <v>0</v>
      </c>
    </row>
    <row r="2214" spans="2:7" x14ac:dyDescent="0.25">
      <c r="C2214" t="s">
        <v>2424</v>
      </c>
      <c r="D2214">
        <v>0</v>
      </c>
      <c r="E2214">
        <v>0</v>
      </c>
      <c r="F2214">
        <v>0</v>
      </c>
      <c r="G2214">
        <v>0</v>
      </c>
    </row>
    <row r="2215" spans="2:7" x14ac:dyDescent="0.25">
      <c r="C2215" t="s">
        <v>2270</v>
      </c>
      <c r="D2215">
        <v>0</v>
      </c>
      <c r="E2215" s="104">
        <v>10282.16</v>
      </c>
      <c r="F2215" s="104">
        <v>10282.16</v>
      </c>
      <c r="G2215">
        <v>0</v>
      </c>
    </row>
    <row r="2216" spans="2:7" x14ac:dyDescent="0.25">
      <c r="C2216" t="s">
        <v>2414</v>
      </c>
      <c r="D2216">
        <v>0</v>
      </c>
      <c r="E2216" s="104">
        <v>36692.75</v>
      </c>
      <c r="F2216" s="104">
        <v>36692.75</v>
      </c>
      <c r="G2216">
        <v>0</v>
      </c>
    </row>
    <row r="2217" spans="2:7" x14ac:dyDescent="0.25">
      <c r="C2217" t="s">
        <v>2073</v>
      </c>
      <c r="D2217">
        <v>0</v>
      </c>
      <c r="E2217" s="104">
        <v>2580771.09</v>
      </c>
      <c r="F2217" s="104">
        <v>2580771.09</v>
      </c>
      <c r="G2217">
        <v>0</v>
      </c>
    </row>
    <row r="2218" spans="2:7" x14ac:dyDescent="0.25">
      <c r="C2218" t="s">
        <v>2428</v>
      </c>
      <c r="D2218">
        <v>0</v>
      </c>
      <c r="E2218" s="104">
        <v>74625</v>
      </c>
      <c r="F2218" s="104">
        <v>74625</v>
      </c>
      <c r="G2218">
        <v>0</v>
      </c>
    </row>
    <row r="2219" spans="2:7" x14ac:dyDescent="0.25">
      <c r="C2219" t="s">
        <v>2145</v>
      </c>
      <c r="D2219">
        <v>0</v>
      </c>
      <c r="E2219" s="104">
        <v>122587.67</v>
      </c>
      <c r="F2219" s="104">
        <v>122587.67</v>
      </c>
      <c r="G2219">
        <v>0</v>
      </c>
    </row>
    <row r="2220" spans="2:7" x14ac:dyDescent="0.25">
      <c r="C2220" t="s">
        <v>2413</v>
      </c>
      <c r="D2220">
        <v>0</v>
      </c>
      <c r="E2220" s="104">
        <v>6053.71</v>
      </c>
      <c r="F2220" s="104">
        <v>6053.71</v>
      </c>
      <c r="G2220">
        <v>0</v>
      </c>
    </row>
    <row r="2221" spans="2:7" x14ac:dyDescent="0.25">
      <c r="C2221" t="s">
        <v>2416</v>
      </c>
      <c r="D2221">
        <v>0</v>
      </c>
      <c r="E2221" s="104">
        <v>29463.51</v>
      </c>
      <c r="F2221" s="104">
        <v>29463.51</v>
      </c>
      <c r="G2221">
        <v>0</v>
      </c>
    </row>
    <row r="2222" spans="2:7" x14ac:dyDescent="0.25">
      <c r="C2222" t="s">
        <v>1738</v>
      </c>
      <c r="D2222">
        <v>0</v>
      </c>
      <c r="E2222" s="104">
        <v>24002.67</v>
      </c>
      <c r="F2222" s="104">
        <v>24002.67</v>
      </c>
      <c r="G2222">
        <v>0</v>
      </c>
    </row>
    <row r="2223" spans="2:7" x14ac:dyDescent="0.25">
      <c r="C2223" t="s">
        <v>2138</v>
      </c>
      <c r="D2223">
        <v>0</v>
      </c>
      <c r="E2223" s="104">
        <v>40470</v>
      </c>
      <c r="F2223" s="104">
        <v>40470</v>
      </c>
      <c r="G2223">
        <v>0</v>
      </c>
    </row>
    <row r="2224" spans="2:7" x14ac:dyDescent="0.25">
      <c r="C2224" t="s">
        <v>2418</v>
      </c>
      <c r="D2224">
        <v>0</v>
      </c>
      <c r="E2224" s="104">
        <v>170939.8</v>
      </c>
      <c r="F2224" s="104">
        <v>170939.8</v>
      </c>
      <c r="G2224">
        <v>0</v>
      </c>
    </row>
    <row r="2225" spans="2:7" x14ac:dyDescent="0.25">
      <c r="C2225" t="s">
        <v>2422</v>
      </c>
      <c r="D2225">
        <v>0</v>
      </c>
      <c r="E2225" s="104">
        <v>1200</v>
      </c>
      <c r="F2225" s="104">
        <v>1200</v>
      </c>
      <c r="G2225">
        <v>0</v>
      </c>
    </row>
    <row r="2226" spans="2:7" x14ac:dyDescent="0.25">
      <c r="C2226" t="s">
        <v>2426</v>
      </c>
      <c r="D2226">
        <v>0</v>
      </c>
      <c r="E2226" s="104">
        <v>49361.88</v>
      </c>
      <c r="F2226" s="104">
        <v>49361.88</v>
      </c>
      <c r="G2226">
        <v>0</v>
      </c>
    </row>
    <row r="2227" spans="2:7" x14ac:dyDescent="0.25">
      <c r="C2227" t="s">
        <v>2436</v>
      </c>
      <c r="D2227">
        <v>0</v>
      </c>
      <c r="E2227" s="104">
        <v>51661.54</v>
      </c>
      <c r="F2227" s="104">
        <v>51661.54</v>
      </c>
      <c r="G2227">
        <v>0</v>
      </c>
    </row>
    <row r="2228" spans="2:7" x14ac:dyDescent="0.25">
      <c r="B2228" t="s">
        <v>1587</v>
      </c>
      <c r="D2228">
        <v>0</v>
      </c>
      <c r="E2228" s="104">
        <v>3210290.19</v>
      </c>
      <c r="F2228" s="104">
        <v>3210290.19</v>
      </c>
      <c r="G2228">
        <v>0</v>
      </c>
    </row>
    <row r="2230" spans="2:7" x14ac:dyDescent="0.25">
      <c r="B2230" t="s">
        <v>2437</v>
      </c>
      <c r="C2230" t="s">
        <v>654</v>
      </c>
    </row>
    <row r="2231" spans="2:7" x14ac:dyDescent="0.25">
      <c r="C2231" t="s">
        <v>2269</v>
      </c>
      <c r="D2231">
        <v>0</v>
      </c>
      <c r="E2231" s="104">
        <v>159226.14000000001</v>
      </c>
      <c r="F2231" s="104">
        <v>159226.14000000001</v>
      </c>
      <c r="G2231">
        <v>0</v>
      </c>
    </row>
    <row r="2232" spans="2:7" x14ac:dyDescent="0.25">
      <c r="C2232" t="s">
        <v>2270</v>
      </c>
      <c r="D2232">
        <v>0</v>
      </c>
      <c r="E2232" s="104">
        <v>179527.2</v>
      </c>
      <c r="F2232" s="104">
        <v>179527.2</v>
      </c>
      <c r="G2232">
        <v>0</v>
      </c>
    </row>
    <row r="2233" spans="2:7" x14ac:dyDescent="0.25">
      <c r="C2233" t="s">
        <v>2416</v>
      </c>
      <c r="D2233">
        <v>0</v>
      </c>
      <c r="E2233" s="104">
        <v>135603.42000000001</v>
      </c>
      <c r="F2233" s="104">
        <v>135603.42000000001</v>
      </c>
      <c r="G2233">
        <v>0</v>
      </c>
    </row>
    <row r="2234" spans="2:7" x14ac:dyDescent="0.25">
      <c r="C2234" t="s">
        <v>2414</v>
      </c>
      <c r="D2234">
        <v>0</v>
      </c>
      <c r="E2234" s="104">
        <v>134753.25</v>
      </c>
      <c r="F2234" s="104">
        <v>134753.25</v>
      </c>
      <c r="G2234">
        <v>0</v>
      </c>
    </row>
    <row r="2235" spans="2:7" x14ac:dyDescent="0.25">
      <c r="C2235" t="s">
        <v>2429</v>
      </c>
      <c r="D2235">
        <v>0</v>
      </c>
      <c r="E2235" s="104">
        <v>18819.79</v>
      </c>
      <c r="F2235" s="104">
        <v>18819.79</v>
      </c>
      <c r="G2235">
        <v>0</v>
      </c>
    </row>
    <row r="2236" spans="2:7" x14ac:dyDescent="0.25">
      <c r="C2236" t="s">
        <v>2417</v>
      </c>
      <c r="D2236">
        <v>0</v>
      </c>
      <c r="E2236" s="104">
        <v>104334.38</v>
      </c>
      <c r="F2236" s="104">
        <v>104334.38</v>
      </c>
      <c r="G2236">
        <v>0</v>
      </c>
    </row>
    <row r="2237" spans="2:7" x14ac:dyDescent="0.25">
      <c r="C2237" t="s">
        <v>2418</v>
      </c>
      <c r="D2237">
        <v>0</v>
      </c>
      <c r="E2237" s="104">
        <v>68290.649999999994</v>
      </c>
      <c r="F2237" s="104">
        <v>68290.649999999994</v>
      </c>
      <c r="G2237">
        <v>0</v>
      </c>
    </row>
    <row r="2238" spans="2:7" x14ac:dyDescent="0.25">
      <c r="C2238" t="s">
        <v>2422</v>
      </c>
      <c r="D2238">
        <v>0</v>
      </c>
      <c r="E2238" s="104">
        <v>56868.29</v>
      </c>
      <c r="F2238" s="104">
        <v>56868.29</v>
      </c>
      <c r="G2238">
        <v>0</v>
      </c>
    </row>
    <row r="2239" spans="2:7" x14ac:dyDescent="0.25">
      <c r="C2239" t="s">
        <v>2423</v>
      </c>
      <c r="D2239">
        <v>0</v>
      </c>
      <c r="E2239" s="104">
        <v>71552.3</v>
      </c>
      <c r="F2239" s="104">
        <v>71552.3</v>
      </c>
      <c r="G2239">
        <v>0</v>
      </c>
    </row>
    <row r="2240" spans="2:7" x14ac:dyDescent="0.25">
      <c r="C2240" t="s">
        <v>2419</v>
      </c>
      <c r="D2240">
        <v>0</v>
      </c>
      <c r="E2240" s="104">
        <v>75599.41</v>
      </c>
      <c r="F2240" s="104">
        <v>75599.41</v>
      </c>
      <c r="G2240">
        <v>0</v>
      </c>
    </row>
    <row r="2241" spans="2:7" x14ac:dyDescent="0.25">
      <c r="B2241" t="s">
        <v>1587</v>
      </c>
      <c r="D2241">
        <v>0</v>
      </c>
      <c r="E2241" s="104">
        <v>1004574.83</v>
      </c>
      <c r="F2241" s="104">
        <v>1004574.83</v>
      </c>
      <c r="G2241">
        <v>0</v>
      </c>
    </row>
    <row r="2243" spans="2:7" x14ac:dyDescent="0.25">
      <c r="B2243">
        <v>50211010</v>
      </c>
      <c r="C2243" t="s">
        <v>458</v>
      </c>
    </row>
    <row r="2244" spans="2:7" x14ac:dyDescent="0.25">
      <c r="C2244" t="s">
        <v>2414</v>
      </c>
      <c r="D2244">
        <v>0</v>
      </c>
      <c r="E2244" s="104">
        <v>540000</v>
      </c>
      <c r="F2244" s="104">
        <v>540000</v>
      </c>
      <c r="G2244">
        <v>0</v>
      </c>
    </row>
    <row r="2245" spans="2:7" x14ac:dyDescent="0.25">
      <c r="B2245" t="s">
        <v>1587</v>
      </c>
      <c r="D2245">
        <v>0</v>
      </c>
      <c r="E2245" s="104">
        <v>540000</v>
      </c>
      <c r="F2245" s="104">
        <v>540000</v>
      </c>
      <c r="G2245">
        <v>0</v>
      </c>
    </row>
    <row r="2247" spans="2:7" x14ac:dyDescent="0.25">
      <c r="B2247">
        <v>50211020</v>
      </c>
      <c r="C2247" t="s">
        <v>466</v>
      </c>
    </row>
    <row r="2248" spans="2:7" x14ac:dyDescent="0.25">
      <c r="C2248" t="s">
        <v>2250</v>
      </c>
      <c r="D2248">
        <v>0</v>
      </c>
      <c r="E2248" s="104">
        <v>8664789.4800000004</v>
      </c>
      <c r="F2248" s="104">
        <v>8664789.4800000004</v>
      </c>
      <c r="G2248">
        <v>0</v>
      </c>
    </row>
    <row r="2249" spans="2:7" x14ac:dyDescent="0.25">
      <c r="B2249" t="s">
        <v>1587</v>
      </c>
      <c r="D2249">
        <v>0</v>
      </c>
      <c r="E2249" s="104">
        <v>8664789.4800000004</v>
      </c>
      <c r="F2249" s="104">
        <v>8664789.4800000004</v>
      </c>
      <c r="G2249">
        <v>0</v>
      </c>
    </row>
    <row r="2251" spans="2:7" x14ac:dyDescent="0.25">
      <c r="B2251">
        <v>50211030</v>
      </c>
      <c r="C2251" t="s">
        <v>462</v>
      </c>
    </row>
    <row r="2252" spans="2:7" x14ac:dyDescent="0.25">
      <c r="C2252" t="s">
        <v>2270</v>
      </c>
      <c r="D2252">
        <v>0</v>
      </c>
      <c r="E2252" s="104">
        <v>1841097.04</v>
      </c>
      <c r="F2252" s="104">
        <v>1841097.04</v>
      </c>
      <c r="G2252">
        <v>0</v>
      </c>
    </row>
    <row r="2253" spans="2:7" x14ac:dyDescent="0.25">
      <c r="C2253" t="s">
        <v>2073</v>
      </c>
      <c r="D2253">
        <v>0</v>
      </c>
      <c r="E2253" s="104">
        <v>720000</v>
      </c>
      <c r="F2253" s="104">
        <v>720000</v>
      </c>
      <c r="G2253">
        <v>0</v>
      </c>
    </row>
    <row r="2254" spans="2:7" x14ac:dyDescent="0.25">
      <c r="C2254" t="s">
        <v>2269</v>
      </c>
      <c r="D2254">
        <v>0</v>
      </c>
      <c r="E2254">
        <v>0</v>
      </c>
      <c r="F2254">
        <v>0</v>
      </c>
      <c r="G2254">
        <v>0</v>
      </c>
    </row>
    <row r="2255" spans="2:7" x14ac:dyDescent="0.25">
      <c r="C2255" t="s">
        <v>2416</v>
      </c>
      <c r="D2255">
        <v>0</v>
      </c>
      <c r="E2255" s="104">
        <v>590393.25</v>
      </c>
      <c r="F2255" s="104">
        <v>590393.25</v>
      </c>
      <c r="G2255">
        <v>0</v>
      </c>
    </row>
    <row r="2256" spans="2:7" x14ac:dyDescent="0.25">
      <c r="C2256" t="s">
        <v>2428</v>
      </c>
      <c r="D2256">
        <v>0</v>
      </c>
      <c r="E2256" s="104">
        <v>348500</v>
      </c>
      <c r="F2256" s="104">
        <v>348500</v>
      </c>
      <c r="G2256">
        <v>0</v>
      </c>
    </row>
    <row r="2257" spans="2:7" x14ac:dyDescent="0.25">
      <c r="C2257" t="s">
        <v>2429</v>
      </c>
      <c r="D2257">
        <v>0</v>
      </c>
      <c r="E2257">
        <v>0</v>
      </c>
      <c r="F2257">
        <v>0</v>
      </c>
      <c r="G2257">
        <v>0</v>
      </c>
    </row>
    <row r="2258" spans="2:7" x14ac:dyDescent="0.25">
      <c r="B2258" t="s">
        <v>1587</v>
      </c>
      <c r="D2258">
        <v>0</v>
      </c>
      <c r="E2258" s="104">
        <v>3499990.29</v>
      </c>
      <c r="F2258" s="104">
        <v>3499990.29</v>
      </c>
      <c r="G2258">
        <v>0</v>
      </c>
    </row>
    <row r="2260" spans="2:7" x14ac:dyDescent="0.25">
      <c r="B2260">
        <v>50211990</v>
      </c>
      <c r="C2260" t="s">
        <v>2438</v>
      </c>
    </row>
    <row r="2261" spans="2:7" x14ac:dyDescent="0.25">
      <c r="B2261">
        <v>50212010</v>
      </c>
      <c r="C2261" t="s">
        <v>472</v>
      </c>
    </row>
    <row r="2262" spans="2:7" x14ac:dyDescent="0.25">
      <c r="C2262" t="s">
        <v>2073</v>
      </c>
      <c r="D2262">
        <v>0</v>
      </c>
      <c r="E2262" s="104">
        <v>344393.31</v>
      </c>
      <c r="F2262" s="104">
        <v>344393.31</v>
      </c>
      <c r="G2262">
        <v>0</v>
      </c>
    </row>
    <row r="2263" spans="2:7" x14ac:dyDescent="0.25">
      <c r="B2263" t="s">
        <v>1587</v>
      </c>
      <c r="D2263">
        <v>0</v>
      </c>
      <c r="E2263" s="104">
        <v>344393.31</v>
      </c>
      <c r="F2263" s="104">
        <v>344393.31</v>
      </c>
      <c r="G2263">
        <v>0</v>
      </c>
    </row>
    <row r="2265" spans="2:7" x14ac:dyDescent="0.25">
      <c r="B2265">
        <v>50212020</v>
      </c>
      <c r="C2265" t="s">
        <v>561</v>
      </c>
    </row>
    <row r="2266" spans="2:7" x14ac:dyDescent="0.25">
      <c r="C2266" t="s">
        <v>2073</v>
      </c>
      <c r="D2266">
        <v>0</v>
      </c>
      <c r="E2266" s="104">
        <v>3567365.06</v>
      </c>
      <c r="F2266" s="104">
        <v>3567365.06</v>
      </c>
      <c r="G2266">
        <v>0</v>
      </c>
    </row>
    <row r="2267" spans="2:7" x14ac:dyDescent="0.25">
      <c r="B2267" t="s">
        <v>1587</v>
      </c>
      <c r="D2267">
        <v>0</v>
      </c>
      <c r="E2267" s="104">
        <v>3567365.06</v>
      </c>
      <c r="F2267" s="104">
        <v>3567365.06</v>
      </c>
      <c r="G2267">
        <v>0</v>
      </c>
    </row>
    <row r="2269" spans="2:7" x14ac:dyDescent="0.25">
      <c r="B2269">
        <v>50212030</v>
      </c>
      <c r="C2269" t="s">
        <v>555</v>
      </c>
    </row>
    <row r="2270" spans="2:7" x14ac:dyDescent="0.25">
      <c r="C2270" t="s">
        <v>2073</v>
      </c>
      <c r="D2270">
        <v>0</v>
      </c>
      <c r="E2270" s="104">
        <v>21389312.350000001</v>
      </c>
      <c r="F2270" s="104">
        <v>21389312.350000001</v>
      </c>
      <c r="G2270">
        <v>0</v>
      </c>
    </row>
    <row r="2271" spans="2:7" x14ac:dyDescent="0.25">
      <c r="C2271" t="s">
        <v>2414</v>
      </c>
      <c r="D2271">
        <v>0</v>
      </c>
      <c r="E2271" s="104">
        <v>1118118.3600000001</v>
      </c>
      <c r="F2271" s="104">
        <v>1118118.3600000001</v>
      </c>
      <c r="G2271">
        <v>0</v>
      </c>
    </row>
    <row r="2272" spans="2:7" x14ac:dyDescent="0.25">
      <c r="B2272" t="s">
        <v>1587</v>
      </c>
      <c r="D2272">
        <v>0</v>
      </c>
      <c r="E2272" s="104">
        <v>22507430.710000001</v>
      </c>
      <c r="F2272" s="104">
        <v>22507430.710000001</v>
      </c>
      <c r="G2272">
        <v>0</v>
      </c>
    </row>
    <row r="2274" spans="2:7" x14ac:dyDescent="0.25">
      <c r="B2274">
        <v>50212990</v>
      </c>
      <c r="C2274" t="s">
        <v>2439</v>
      </c>
      <c r="D2274">
        <v>0</v>
      </c>
      <c r="E2274" s="104">
        <v>13561704.130000001</v>
      </c>
      <c r="F2274" s="104">
        <v>13561704.130000001</v>
      </c>
      <c r="G2274">
        <v>0</v>
      </c>
    </row>
    <row r="2275" spans="2:7" x14ac:dyDescent="0.25">
      <c r="B2275" t="s">
        <v>2440</v>
      </c>
      <c r="C2275" t="s">
        <v>558</v>
      </c>
    </row>
    <row r="2276" spans="2:7" x14ac:dyDescent="0.25">
      <c r="C2276" t="s">
        <v>2073</v>
      </c>
      <c r="D2276">
        <v>0</v>
      </c>
      <c r="E2276" s="104">
        <v>804471.39</v>
      </c>
      <c r="F2276" s="104">
        <v>804471.39</v>
      </c>
      <c r="G2276">
        <v>0</v>
      </c>
    </row>
    <row r="2277" spans="2:7" x14ac:dyDescent="0.25">
      <c r="C2277" t="s">
        <v>2414</v>
      </c>
      <c r="D2277">
        <v>0</v>
      </c>
      <c r="E2277">
        <v>0</v>
      </c>
      <c r="F2277">
        <v>0</v>
      </c>
      <c r="G2277">
        <v>0</v>
      </c>
    </row>
    <row r="2278" spans="2:7" x14ac:dyDescent="0.25">
      <c r="C2278" t="s">
        <v>2441</v>
      </c>
      <c r="D2278">
        <v>0</v>
      </c>
      <c r="E2278" s="104">
        <v>13968.42</v>
      </c>
      <c r="F2278" s="104">
        <v>13968.42</v>
      </c>
      <c r="G2278">
        <v>0</v>
      </c>
    </row>
    <row r="2279" spans="2:7" x14ac:dyDescent="0.25">
      <c r="B2279" t="s">
        <v>1587</v>
      </c>
      <c r="D2279">
        <v>0</v>
      </c>
      <c r="E2279" s="104">
        <v>818439.81</v>
      </c>
      <c r="F2279" s="104">
        <v>818439.81</v>
      </c>
      <c r="G2279">
        <v>0</v>
      </c>
    </row>
    <row r="2281" spans="2:7" x14ac:dyDescent="0.25">
      <c r="B2281" t="s">
        <v>2442</v>
      </c>
      <c r="C2281" t="s">
        <v>582</v>
      </c>
    </row>
    <row r="2282" spans="2:7" x14ac:dyDescent="0.25">
      <c r="C2282" t="s">
        <v>2269</v>
      </c>
      <c r="D2282">
        <v>0</v>
      </c>
      <c r="E2282" s="104">
        <v>941228.87</v>
      </c>
      <c r="F2282" s="104">
        <v>941228.87</v>
      </c>
      <c r="G2282">
        <v>0</v>
      </c>
    </row>
    <row r="2283" spans="2:7" x14ac:dyDescent="0.25">
      <c r="C2283" t="s">
        <v>2270</v>
      </c>
      <c r="D2283">
        <v>0</v>
      </c>
      <c r="E2283" s="104">
        <v>1434390.68</v>
      </c>
      <c r="F2283" s="104">
        <v>1434390.68</v>
      </c>
      <c r="G2283">
        <v>0</v>
      </c>
    </row>
    <row r="2284" spans="2:7" x14ac:dyDescent="0.25">
      <c r="C2284" t="s">
        <v>2414</v>
      </c>
      <c r="D2284">
        <v>0</v>
      </c>
      <c r="E2284" s="104">
        <v>2787793.56</v>
      </c>
      <c r="F2284" s="104">
        <v>2787793.56</v>
      </c>
      <c r="G2284">
        <v>0</v>
      </c>
    </row>
    <row r="2285" spans="2:7" x14ac:dyDescent="0.25">
      <c r="C2285" t="s">
        <v>2073</v>
      </c>
      <c r="D2285">
        <v>0</v>
      </c>
      <c r="E2285" s="104">
        <v>4685762.49</v>
      </c>
      <c r="F2285" s="104">
        <v>4685762.49</v>
      </c>
      <c r="G2285">
        <v>0</v>
      </c>
    </row>
    <row r="2286" spans="2:7" x14ac:dyDescent="0.25">
      <c r="C2286" t="s">
        <v>2415</v>
      </c>
      <c r="D2286">
        <v>0</v>
      </c>
      <c r="E2286" s="104">
        <v>1198835.04</v>
      </c>
      <c r="F2286" s="104">
        <v>1198835.04</v>
      </c>
      <c r="G2286">
        <v>0</v>
      </c>
    </row>
    <row r="2287" spans="2:7" x14ac:dyDescent="0.25">
      <c r="C2287" t="s">
        <v>2416</v>
      </c>
      <c r="D2287">
        <v>0</v>
      </c>
      <c r="E2287" s="104">
        <v>1041454.91</v>
      </c>
      <c r="F2287" s="104">
        <v>1041454.91</v>
      </c>
      <c r="G2287">
        <v>0</v>
      </c>
    </row>
    <row r="2288" spans="2:7" x14ac:dyDescent="0.25">
      <c r="C2288" t="s">
        <v>1979</v>
      </c>
      <c r="D2288">
        <v>0</v>
      </c>
      <c r="E2288">
        <v>0</v>
      </c>
      <c r="F2288">
        <v>0</v>
      </c>
      <c r="G2288">
        <v>0</v>
      </c>
    </row>
    <row r="2289" spans="2:7" x14ac:dyDescent="0.25">
      <c r="C2289" t="s">
        <v>2138</v>
      </c>
      <c r="D2289">
        <v>0</v>
      </c>
      <c r="E2289" s="104">
        <v>17857.14</v>
      </c>
      <c r="F2289" s="104">
        <v>17857.14</v>
      </c>
      <c r="G2289">
        <v>0</v>
      </c>
    </row>
    <row r="2290" spans="2:7" x14ac:dyDescent="0.25">
      <c r="C2290" t="s">
        <v>2417</v>
      </c>
      <c r="D2290">
        <v>0</v>
      </c>
      <c r="E2290" s="104">
        <v>101223.58</v>
      </c>
      <c r="F2290" s="104">
        <v>101223.58</v>
      </c>
      <c r="G2290">
        <v>0</v>
      </c>
    </row>
    <row r="2291" spans="2:7" x14ac:dyDescent="0.25">
      <c r="C2291" t="s">
        <v>2418</v>
      </c>
      <c r="D2291">
        <v>0</v>
      </c>
      <c r="E2291" s="104">
        <v>149871.35999999999</v>
      </c>
      <c r="F2291" s="104">
        <v>149871.35999999999</v>
      </c>
      <c r="G2291">
        <v>0</v>
      </c>
    </row>
    <row r="2292" spans="2:7" x14ac:dyDescent="0.25">
      <c r="C2292" t="s">
        <v>2422</v>
      </c>
      <c r="D2292">
        <v>0</v>
      </c>
      <c r="E2292" s="104">
        <v>384846.69</v>
      </c>
      <c r="F2292" s="104">
        <v>384846.69</v>
      </c>
      <c r="G2292">
        <v>0</v>
      </c>
    </row>
    <row r="2293" spans="2:7" x14ac:dyDescent="0.25">
      <c r="B2293" t="s">
        <v>1587</v>
      </c>
      <c r="D2293">
        <v>0</v>
      </c>
      <c r="E2293" s="104">
        <v>12743264.32</v>
      </c>
      <c r="F2293" s="104">
        <v>12743264.32</v>
      </c>
      <c r="G2293">
        <v>0</v>
      </c>
    </row>
    <row r="2295" spans="2:7" x14ac:dyDescent="0.25">
      <c r="B2295">
        <v>50213010</v>
      </c>
      <c r="C2295" t="s">
        <v>525</v>
      </c>
    </row>
    <row r="2296" spans="2:7" x14ac:dyDescent="0.25">
      <c r="C2296" t="s">
        <v>2416</v>
      </c>
      <c r="D2296">
        <v>0</v>
      </c>
      <c r="E2296" s="104">
        <v>1000</v>
      </c>
      <c r="F2296" s="104">
        <v>1000</v>
      </c>
      <c r="G2296">
        <v>0</v>
      </c>
    </row>
    <row r="2297" spans="2:7" x14ac:dyDescent="0.25">
      <c r="C2297" t="s">
        <v>2073</v>
      </c>
      <c r="D2297">
        <v>0</v>
      </c>
      <c r="E2297" s="104">
        <v>2928533.73</v>
      </c>
      <c r="F2297" s="104">
        <v>2928533.73</v>
      </c>
      <c r="G2297">
        <v>0</v>
      </c>
    </row>
    <row r="2298" spans="2:7" x14ac:dyDescent="0.25">
      <c r="B2298" t="s">
        <v>1587</v>
      </c>
      <c r="D2298">
        <v>0</v>
      </c>
      <c r="E2298" s="104">
        <v>2929533.73</v>
      </c>
      <c r="F2298" s="104">
        <v>2929533.73</v>
      </c>
      <c r="G2298">
        <v>0</v>
      </c>
    </row>
    <row r="2300" spans="2:7" x14ac:dyDescent="0.25">
      <c r="B2300">
        <v>50213040</v>
      </c>
      <c r="C2300" t="s">
        <v>516</v>
      </c>
    </row>
    <row r="2301" spans="2:7" x14ac:dyDescent="0.25">
      <c r="C2301" t="s">
        <v>2073</v>
      </c>
      <c r="D2301">
        <v>0</v>
      </c>
      <c r="E2301" s="104">
        <v>55745.83</v>
      </c>
      <c r="F2301" s="104">
        <v>55745.83</v>
      </c>
      <c r="G2301">
        <v>0</v>
      </c>
    </row>
    <row r="2302" spans="2:7" x14ac:dyDescent="0.25">
      <c r="B2302" t="s">
        <v>1587</v>
      </c>
      <c r="D2302">
        <v>0</v>
      </c>
      <c r="E2302" s="104">
        <v>55745.83</v>
      </c>
      <c r="F2302" s="104">
        <v>55745.83</v>
      </c>
      <c r="G2302">
        <v>0</v>
      </c>
    </row>
    <row r="2304" spans="2:7" x14ac:dyDescent="0.25">
      <c r="B2304">
        <v>50213050</v>
      </c>
      <c r="C2304" t="s">
        <v>2443</v>
      </c>
    </row>
    <row r="2305" spans="2:7" x14ac:dyDescent="0.25">
      <c r="C2305" t="s">
        <v>2414</v>
      </c>
      <c r="D2305">
        <v>0</v>
      </c>
      <c r="E2305">
        <v>892.86</v>
      </c>
      <c r="F2305">
        <v>892.86</v>
      </c>
      <c r="G2305">
        <v>0</v>
      </c>
    </row>
    <row r="2306" spans="2:7" x14ac:dyDescent="0.25">
      <c r="C2306" t="s">
        <v>2073</v>
      </c>
      <c r="D2306">
        <v>0</v>
      </c>
      <c r="E2306" s="104">
        <v>571609.59</v>
      </c>
      <c r="F2306" s="104">
        <v>571609.59</v>
      </c>
      <c r="G2306">
        <v>0</v>
      </c>
    </row>
    <row r="2307" spans="2:7" x14ac:dyDescent="0.25">
      <c r="B2307" t="s">
        <v>1587</v>
      </c>
      <c r="D2307">
        <v>0</v>
      </c>
      <c r="E2307" s="104">
        <v>572502.44999999995</v>
      </c>
      <c r="F2307" s="104">
        <v>572502.44999999995</v>
      </c>
      <c r="G2307">
        <v>0</v>
      </c>
    </row>
    <row r="2309" spans="2:7" x14ac:dyDescent="0.25">
      <c r="B2309">
        <v>50213060</v>
      </c>
      <c r="C2309" t="s">
        <v>2444</v>
      </c>
      <c r="D2309">
        <v>0</v>
      </c>
      <c r="E2309" s="104">
        <v>556527.38</v>
      </c>
      <c r="F2309" s="104">
        <v>556527.38</v>
      </c>
      <c r="G2309">
        <v>0</v>
      </c>
    </row>
    <row r="2310" spans="2:7" x14ac:dyDescent="0.25">
      <c r="B2310" t="s">
        <v>2445</v>
      </c>
      <c r="C2310" t="s">
        <v>527</v>
      </c>
    </row>
    <row r="2311" spans="2:7" x14ac:dyDescent="0.25">
      <c r="C2311" t="s">
        <v>2073</v>
      </c>
      <c r="D2311">
        <v>0</v>
      </c>
      <c r="E2311" s="104">
        <v>145207.29999999999</v>
      </c>
      <c r="F2311" s="104">
        <v>145207.29999999999</v>
      </c>
      <c r="G2311">
        <v>0</v>
      </c>
    </row>
    <row r="2312" spans="2:7" x14ac:dyDescent="0.25">
      <c r="C2312" t="s">
        <v>2270</v>
      </c>
      <c r="D2312">
        <v>0</v>
      </c>
      <c r="E2312">
        <v>0</v>
      </c>
      <c r="F2312">
        <v>0</v>
      </c>
      <c r="G2312">
        <v>0</v>
      </c>
    </row>
    <row r="2313" spans="2:7" x14ac:dyDescent="0.25">
      <c r="C2313" t="s">
        <v>2414</v>
      </c>
      <c r="D2313">
        <v>0</v>
      </c>
      <c r="E2313" s="104">
        <v>1896.43</v>
      </c>
      <c r="F2313" s="104">
        <v>1896.43</v>
      </c>
      <c r="G2313">
        <v>0</v>
      </c>
    </row>
    <row r="2314" spans="2:7" x14ac:dyDescent="0.25">
      <c r="B2314" t="s">
        <v>1587</v>
      </c>
      <c r="D2314">
        <v>0</v>
      </c>
      <c r="E2314" s="104">
        <v>147103.73000000001</v>
      </c>
      <c r="F2314" s="104">
        <v>147103.73000000001</v>
      </c>
      <c r="G2314">
        <v>0</v>
      </c>
    </row>
    <row r="2316" spans="2:7" x14ac:dyDescent="0.25">
      <c r="B2316" t="s">
        <v>2446</v>
      </c>
      <c r="C2316" t="s">
        <v>530</v>
      </c>
    </row>
    <row r="2317" spans="2:7" x14ac:dyDescent="0.25">
      <c r="C2317" t="s">
        <v>2073</v>
      </c>
      <c r="D2317">
        <v>0</v>
      </c>
      <c r="E2317" s="104">
        <v>408977.23</v>
      </c>
      <c r="F2317" s="104">
        <v>408977.23</v>
      </c>
      <c r="G2317">
        <v>0</v>
      </c>
    </row>
    <row r="2318" spans="2:7" x14ac:dyDescent="0.25">
      <c r="C2318" t="s">
        <v>2269</v>
      </c>
      <c r="D2318">
        <v>0</v>
      </c>
      <c r="E2318">
        <v>0</v>
      </c>
      <c r="F2318">
        <v>0</v>
      </c>
      <c r="G2318">
        <v>0</v>
      </c>
    </row>
    <row r="2319" spans="2:7" x14ac:dyDescent="0.25">
      <c r="C2319" t="s">
        <v>2270</v>
      </c>
      <c r="D2319">
        <v>0</v>
      </c>
      <c r="E2319">
        <v>0</v>
      </c>
      <c r="F2319">
        <v>0</v>
      </c>
      <c r="G2319">
        <v>0</v>
      </c>
    </row>
    <row r="2320" spans="2:7" x14ac:dyDescent="0.25">
      <c r="C2320" t="s">
        <v>2414</v>
      </c>
      <c r="D2320">
        <v>0</v>
      </c>
      <c r="E2320">
        <v>446.42</v>
      </c>
      <c r="F2320">
        <v>446.42</v>
      </c>
      <c r="G2320">
        <v>0</v>
      </c>
    </row>
    <row r="2321" spans="2:7" x14ac:dyDescent="0.25">
      <c r="B2321" t="s">
        <v>1587</v>
      </c>
      <c r="D2321">
        <v>0</v>
      </c>
      <c r="E2321" s="104">
        <v>409423.65</v>
      </c>
      <c r="F2321" s="104">
        <v>409423.65</v>
      </c>
      <c r="G2321">
        <v>0</v>
      </c>
    </row>
    <row r="2323" spans="2:7" x14ac:dyDescent="0.25">
      <c r="B2323" t="s">
        <v>2447</v>
      </c>
      <c r="C2323" t="s">
        <v>2448</v>
      </c>
    </row>
    <row r="2324" spans="2:7" x14ac:dyDescent="0.25">
      <c r="C2324" t="s">
        <v>2269</v>
      </c>
      <c r="D2324">
        <v>0</v>
      </c>
      <c r="E2324">
        <v>0</v>
      </c>
      <c r="F2324">
        <v>0</v>
      </c>
      <c r="G2324">
        <v>0</v>
      </c>
    </row>
    <row r="2325" spans="2:7" x14ac:dyDescent="0.25">
      <c r="C2325" t="s">
        <v>2073</v>
      </c>
      <c r="D2325">
        <v>0</v>
      </c>
      <c r="E2325">
        <v>0</v>
      </c>
      <c r="F2325">
        <v>0</v>
      </c>
      <c r="G2325">
        <v>0</v>
      </c>
    </row>
    <row r="2326" spans="2:7" x14ac:dyDescent="0.25">
      <c r="B2326">
        <v>50213070</v>
      </c>
      <c r="C2326" t="s">
        <v>520</v>
      </c>
    </row>
    <row r="2327" spans="2:7" x14ac:dyDescent="0.25">
      <c r="C2327" t="s">
        <v>2073</v>
      </c>
      <c r="D2327">
        <v>0</v>
      </c>
      <c r="E2327">
        <v>0</v>
      </c>
      <c r="F2327">
        <v>0</v>
      </c>
      <c r="G2327">
        <v>0</v>
      </c>
    </row>
    <row r="2328" spans="2:7" x14ac:dyDescent="0.25">
      <c r="B2328" t="s">
        <v>1587</v>
      </c>
      <c r="D2328">
        <v>0</v>
      </c>
      <c r="E2328">
        <v>0</v>
      </c>
      <c r="F2328">
        <v>0</v>
      </c>
      <c r="G2328">
        <v>0</v>
      </c>
    </row>
    <row r="2330" spans="2:7" x14ac:dyDescent="0.25">
      <c r="B2330">
        <v>50213990</v>
      </c>
      <c r="C2330" t="s">
        <v>524</v>
      </c>
    </row>
    <row r="2331" spans="2:7" x14ac:dyDescent="0.25">
      <c r="C2331" t="s">
        <v>2269</v>
      </c>
      <c r="D2331">
        <v>0</v>
      </c>
      <c r="E2331">
        <v>0</v>
      </c>
      <c r="F2331">
        <v>0</v>
      </c>
      <c r="G2331">
        <v>0</v>
      </c>
    </row>
    <row r="2332" spans="2:7" x14ac:dyDescent="0.25">
      <c r="C2332" t="s">
        <v>2073</v>
      </c>
      <c r="D2332">
        <v>0</v>
      </c>
      <c r="E2332" s="104">
        <v>1084321.31</v>
      </c>
      <c r="F2332" s="104">
        <v>1084321.31</v>
      </c>
      <c r="G2332">
        <v>0</v>
      </c>
    </row>
    <row r="2333" spans="2:7" x14ac:dyDescent="0.25">
      <c r="B2333" t="s">
        <v>1587</v>
      </c>
      <c r="D2333">
        <v>0</v>
      </c>
      <c r="E2333" s="104">
        <v>1084321.31</v>
      </c>
      <c r="F2333" s="104">
        <v>1084321.31</v>
      </c>
      <c r="G2333">
        <v>0</v>
      </c>
    </row>
    <row r="2335" spans="2:7" x14ac:dyDescent="0.25">
      <c r="B2335">
        <v>50215010</v>
      </c>
      <c r="C2335" t="s">
        <v>2449</v>
      </c>
      <c r="D2335">
        <v>0</v>
      </c>
      <c r="E2335" s="104">
        <v>64652194.479999997</v>
      </c>
      <c r="F2335" s="104">
        <v>64652194.479999997</v>
      </c>
      <c r="G2335">
        <v>0</v>
      </c>
    </row>
    <row r="2336" spans="2:7" x14ac:dyDescent="0.25">
      <c r="B2336" t="s">
        <v>2450</v>
      </c>
      <c r="C2336" t="s">
        <v>599</v>
      </c>
    </row>
    <row r="2337" spans="2:7" x14ac:dyDescent="0.25">
      <c r="C2337" t="s">
        <v>2073</v>
      </c>
      <c r="D2337">
        <v>0</v>
      </c>
      <c r="E2337" s="104">
        <v>35371807.020000003</v>
      </c>
      <c r="F2337" s="104">
        <v>35371807.020000003</v>
      </c>
      <c r="G2337">
        <v>0</v>
      </c>
    </row>
    <row r="2338" spans="2:7" x14ac:dyDescent="0.25">
      <c r="B2338" t="s">
        <v>1587</v>
      </c>
      <c r="D2338">
        <v>0</v>
      </c>
      <c r="E2338" s="104">
        <v>35371807.020000003</v>
      </c>
      <c r="F2338" s="104">
        <v>35371807.020000003</v>
      </c>
      <c r="G2338">
        <v>0</v>
      </c>
    </row>
    <row r="2340" spans="2:7" x14ac:dyDescent="0.25">
      <c r="B2340" t="s">
        <v>2451</v>
      </c>
      <c r="C2340" t="s">
        <v>602</v>
      </c>
    </row>
    <row r="2341" spans="2:7" x14ac:dyDescent="0.25">
      <c r="C2341" t="s">
        <v>2073</v>
      </c>
      <c r="D2341">
        <v>0</v>
      </c>
      <c r="E2341" s="104">
        <v>24376.07</v>
      </c>
      <c r="F2341" s="104">
        <v>24376.07</v>
      </c>
      <c r="G2341">
        <v>0</v>
      </c>
    </row>
    <row r="2342" spans="2:7" x14ac:dyDescent="0.25">
      <c r="B2342" t="s">
        <v>1587</v>
      </c>
      <c r="D2342">
        <v>0</v>
      </c>
      <c r="E2342" s="104">
        <v>24376.07</v>
      </c>
      <c r="F2342" s="104">
        <v>24376.07</v>
      </c>
      <c r="G2342">
        <v>0</v>
      </c>
    </row>
    <row r="2344" spans="2:7" x14ac:dyDescent="0.25">
      <c r="B2344" t="s">
        <v>2452</v>
      </c>
      <c r="C2344" t="s">
        <v>608</v>
      </c>
    </row>
    <row r="2345" spans="2:7" x14ac:dyDescent="0.25">
      <c r="C2345" t="s">
        <v>2269</v>
      </c>
      <c r="D2345">
        <v>0</v>
      </c>
      <c r="E2345">
        <v>0</v>
      </c>
      <c r="F2345">
        <v>0</v>
      </c>
      <c r="G2345">
        <v>0</v>
      </c>
    </row>
    <row r="2346" spans="2:7" x14ac:dyDescent="0.25">
      <c r="C2346" t="s">
        <v>2073</v>
      </c>
      <c r="D2346">
        <v>0</v>
      </c>
      <c r="E2346" s="104">
        <v>1749719.89</v>
      </c>
      <c r="F2346" s="104">
        <v>1749719.89</v>
      </c>
      <c r="G2346">
        <v>0</v>
      </c>
    </row>
    <row r="2347" spans="2:7" x14ac:dyDescent="0.25">
      <c r="C2347" t="s">
        <v>2414</v>
      </c>
      <c r="D2347">
        <v>0</v>
      </c>
      <c r="E2347">
        <v>954.22</v>
      </c>
      <c r="F2347">
        <v>954.22</v>
      </c>
      <c r="G2347">
        <v>0</v>
      </c>
    </row>
    <row r="2348" spans="2:7" x14ac:dyDescent="0.25">
      <c r="C2348" t="s">
        <v>2418</v>
      </c>
      <c r="D2348">
        <v>0</v>
      </c>
      <c r="E2348" s="104">
        <v>4193.5200000000004</v>
      </c>
      <c r="F2348" s="104">
        <v>4193.5200000000004</v>
      </c>
      <c r="G2348">
        <v>0</v>
      </c>
    </row>
    <row r="2349" spans="2:7" x14ac:dyDescent="0.25">
      <c r="B2349" t="s">
        <v>1587</v>
      </c>
      <c r="D2349">
        <v>0</v>
      </c>
      <c r="E2349" s="104">
        <v>1754867.63</v>
      </c>
      <c r="F2349" s="104">
        <v>1754867.63</v>
      </c>
      <c r="G2349">
        <v>0</v>
      </c>
    </row>
    <row r="2351" spans="2:7" x14ac:dyDescent="0.25">
      <c r="B2351" t="s">
        <v>2453</v>
      </c>
      <c r="C2351" t="s">
        <v>610</v>
      </c>
    </row>
    <row r="2352" spans="2:7" x14ac:dyDescent="0.25">
      <c r="C2352" t="s">
        <v>2307</v>
      </c>
      <c r="D2352">
        <v>0</v>
      </c>
      <c r="E2352">
        <v>0.12</v>
      </c>
      <c r="F2352">
        <v>0.12</v>
      </c>
      <c r="G2352">
        <v>0</v>
      </c>
    </row>
    <row r="2353" spans="2:7" x14ac:dyDescent="0.25">
      <c r="B2353" t="s">
        <v>1587</v>
      </c>
      <c r="D2353">
        <v>0</v>
      </c>
      <c r="E2353">
        <v>0.12</v>
      </c>
      <c r="F2353">
        <v>0.12</v>
      </c>
      <c r="G2353">
        <v>0</v>
      </c>
    </row>
    <row r="2355" spans="2:7" x14ac:dyDescent="0.25">
      <c r="B2355" t="s">
        <v>2454</v>
      </c>
      <c r="C2355" t="s">
        <v>664</v>
      </c>
    </row>
    <row r="2356" spans="2:7" x14ac:dyDescent="0.25">
      <c r="C2356" t="s">
        <v>1724</v>
      </c>
      <c r="D2356">
        <v>0</v>
      </c>
      <c r="E2356">
        <v>332.42</v>
      </c>
      <c r="F2356">
        <v>332.42</v>
      </c>
      <c r="G2356">
        <v>0</v>
      </c>
    </row>
    <row r="2357" spans="2:7" x14ac:dyDescent="0.25">
      <c r="C2357" t="s">
        <v>1735</v>
      </c>
      <c r="D2357">
        <v>0</v>
      </c>
      <c r="E2357">
        <v>25.17</v>
      </c>
      <c r="F2357">
        <v>25.17</v>
      </c>
      <c r="G2357">
        <v>0</v>
      </c>
    </row>
    <row r="2358" spans="2:7" x14ac:dyDescent="0.25">
      <c r="C2358" t="s">
        <v>1736</v>
      </c>
      <c r="D2358">
        <v>0</v>
      </c>
      <c r="E2358">
        <v>289.12</v>
      </c>
      <c r="F2358">
        <v>289.12</v>
      </c>
      <c r="G2358">
        <v>0</v>
      </c>
    </row>
    <row r="2359" spans="2:7" x14ac:dyDescent="0.25">
      <c r="C2359" t="s">
        <v>1740</v>
      </c>
      <c r="D2359">
        <v>0</v>
      </c>
      <c r="E2359">
        <v>55.91</v>
      </c>
      <c r="F2359">
        <v>55.91</v>
      </c>
      <c r="G2359">
        <v>0</v>
      </c>
    </row>
    <row r="2360" spans="2:7" x14ac:dyDescent="0.25">
      <c r="C2360" t="s">
        <v>1737</v>
      </c>
      <c r="D2360">
        <v>0</v>
      </c>
      <c r="E2360">
        <v>0</v>
      </c>
      <c r="F2360">
        <v>0</v>
      </c>
      <c r="G2360">
        <v>0</v>
      </c>
    </row>
    <row r="2361" spans="2:7" x14ac:dyDescent="0.25">
      <c r="C2361" t="s">
        <v>1738</v>
      </c>
      <c r="D2361">
        <v>0</v>
      </c>
      <c r="E2361">
        <v>29.12</v>
      </c>
      <c r="F2361">
        <v>29.12</v>
      </c>
      <c r="G2361">
        <v>0</v>
      </c>
    </row>
    <row r="2362" spans="2:7" x14ac:dyDescent="0.25">
      <c r="C2362" t="s">
        <v>1726</v>
      </c>
      <c r="D2362">
        <v>0</v>
      </c>
      <c r="E2362" s="104">
        <v>2206.27</v>
      </c>
      <c r="F2362" s="104">
        <v>2206.27</v>
      </c>
      <c r="G2362">
        <v>0</v>
      </c>
    </row>
    <row r="2363" spans="2:7" x14ac:dyDescent="0.25">
      <c r="B2363" t="s">
        <v>1587</v>
      </c>
      <c r="D2363">
        <v>0</v>
      </c>
      <c r="E2363" s="104">
        <v>2938.01</v>
      </c>
      <c r="F2363" s="104">
        <v>2938.01</v>
      </c>
      <c r="G2363">
        <v>0</v>
      </c>
    </row>
    <row r="2365" spans="2:7" x14ac:dyDescent="0.25">
      <c r="B2365" t="s">
        <v>2455</v>
      </c>
      <c r="C2365" t="s">
        <v>667</v>
      </c>
    </row>
    <row r="2366" spans="2:7" x14ac:dyDescent="0.25">
      <c r="C2366" t="s">
        <v>2004</v>
      </c>
      <c r="D2366">
        <v>0</v>
      </c>
      <c r="E2366" s="104">
        <v>19166696.68</v>
      </c>
      <c r="F2366" s="104">
        <v>19166696.68</v>
      </c>
      <c r="G2366">
        <v>0</v>
      </c>
    </row>
    <row r="2367" spans="2:7" x14ac:dyDescent="0.25">
      <c r="C2367" t="s">
        <v>1745</v>
      </c>
      <c r="D2367">
        <v>0</v>
      </c>
      <c r="E2367">
        <v>0</v>
      </c>
      <c r="F2367">
        <v>0</v>
      </c>
      <c r="G2367">
        <v>0</v>
      </c>
    </row>
    <row r="2368" spans="2:7" x14ac:dyDescent="0.25">
      <c r="C2368" t="s">
        <v>1742</v>
      </c>
      <c r="D2368">
        <v>0</v>
      </c>
      <c r="E2368">
        <v>0</v>
      </c>
      <c r="F2368">
        <v>0</v>
      </c>
      <c r="G2368">
        <v>0</v>
      </c>
    </row>
    <row r="2369" spans="2:7" x14ac:dyDescent="0.25">
      <c r="C2369" t="s">
        <v>2180</v>
      </c>
      <c r="D2369">
        <v>0</v>
      </c>
      <c r="E2369">
        <v>0</v>
      </c>
      <c r="F2369">
        <v>0</v>
      </c>
      <c r="G2369">
        <v>0</v>
      </c>
    </row>
    <row r="2370" spans="2:7" x14ac:dyDescent="0.25">
      <c r="C2370" t="s">
        <v>1796</v>
      </c>
      <c r="D2370">
        <v>0</v>
      </c>
      <c r="E2370" s="104">
        <v>1152787.04</v>
      </c>
      <c r="F2370" s="104">
        <v>1152787.04</v>
      </c>
      <c r="G2370">
        <v>0</v>
      </c>
    </row>
    <row r="2371" spans="2:7" x14ac:dyDescent="0.25">
      <c r="C2371" t="s">
        <v>1797</v>
      </c>
      <c r="D2371">
        <v>0</v>
      </c>
      <c r="E2371" s="104">
        <v>1378171.74</v>
      </c>
      <c r="F2371" s="104">
        <v>1378171.74</v>
      </c>
      <c r="G2371">
        <v>0</v>
      </c>
    </row>
    <row r="2372" spans="2:7" x14ac:dyDescent="0.25">
      <c r="C2372" t="s">
        <v>1798</v>
      </c>
      <c r="D2372">
        <v>0</v>
      </c>
      <c r="E2372" s="104">
        <v>4234.7299999999996</v>
      </c>
      <c r="F2372" s="104">
        <v>4234.7299999999996</v>
      </c>
      <c r="G2372">
        <v>0</v>
      </c>
    </row>
    <row r="2373" spans="2:7" x14ac:dyDescent="0.25">
      <c r="C2373" t="s">
        <v>1741</v>
      </c>
      <c r="D2373">
        <v>0</v>
      </c>
      <c r="E2373">
        <v>0</v>
      </c>
      <c r="F2373">
        <v>0</v>
      </c>
      <c r="G2373">
        <v>0</v>
      </c>
    </row>
    <row r="2374" spans="2:7" x14ac:dyDescent="0.25">
      <c r="C2374" t="s">
        <v>1724</v>
      </c>
      <c r="D2374">
        <v>0</v>
      </c>
      <c r="E2374">
        <v>0</v>
      </c>
      <c r="F2374">
        <v>0</v>
      </c>
      <c r="G2374">
        <v>0</v>
      </c>
    </row>
    <row r="2375" spans="2:7" x14ac:dyDescent="0.25">
      <c r="C2375" t="s">
        <v>1738</v>
      </c>
      <c r="D2375">
        <v>0</v>
      </c>
      <c r="E2375" s="104">
        <v>5796315.4400000004</v>
      </c>
      <c r="F2375" s="104">
        <v>5796315.4400000004</v>
      </c>
      <c r="G2375">
        <v>0</v>
      </c>
    </row>
    <row r="2376" spans="2:7" x14ac:dyDescent="0.25">
      <c r="B2376" t="s">
        <v>1587</v>
      </c>
      <c r="D2376">
        <v>0</v>
      </c>
      <c r="E2376" s="104">
        <v>27498205.629999999</v>
      </c>
      <c r="F2376" s="104">
        <v>27498205.629999999</v>
      </c>
      <c r="G2376">
        <v>0</v>
      </c>
    </row>
    <row r="2378" spans="2:7" x14ac:dyDescent="0.25">
      <c r="B2378">
        <v>50215020</v>
      </c>
      <c r="C2378" t="s">
        <v>581</v>
      </c>
    </row>
    <row r="2379" spans="2:7" x14ac:dyDescent="0.25">
      <c r="C2379" t="s">
        <v>2073</v>
      </c>
      <c r="D2379">
        <v>0</v>
      </c>
      <c r="E2379" s="104">
        <v>475598.28</v>
      </c>
      <c r="F2379" s="104">
        <v>475598.28</v>
      </c>
      <c r="G2379">
        <v>0</v>
      </c>
    </row>
    <row r="2380" spans="2:7" x14ac:dyDescent="0.25">
      <c r="C2380" t="s">
        <v>2414</v>
      </c>
      <c r="D2380">
        <v>0</v>
      </c>
      <c r="E2380" s="104">
        <v>3282.53</v>
      </c>
      <c r="F2380" s="104">
        <v>3282.53</v>
      </c>
      <c r="G2380">
        <v>0</v>
      </c>
    </row>
    <row r="2381" spans="2:7" x14ac:dyDescent="0.25">
      <c r="B2381" t="s">
        <v>1587</v>
      </c>
      <c r="D2381">
        <v>0</v>
      </c>
      <c r="E2381" s="104">
        <v>478880.81</v>
      </c>
      <c r="F2381" s="104">
        <v>478880.81</v>
      </c>
      <c r="G2381">
        <v>0</v>
      </c>
    </row>
    <row r="2383" spans="2:7" x14ac:dyDescent="0.25">
      <c r="B2383">
        <v>50215030</v>
      </c>
      <c r="C2383" t="s">
        <v>1017</v>
      </c>
      <c r="D2383">
        <v>0</v>
      </c>
      <c r="E2383" s="104">
        <v>1713271.71</v>
      </c>
      <c r="F2383" s="104">
        <v>1713271.71</v>
      </c>
      <c r="G2383">
        <v>0</v>
      </c>
    </row>
    <row r="2384" spans="2:7" x14ac:dyDescent="0.25">
      <c r="B2384" t="s">
        <v>2456</v>
      </c>
      <c r="C2384" t="s">
        <v>564</v>
      </c>
    </row>
    <row r="2385" spans="2:7" x14ac:dyDescent="0.25">
      <c r="C2385" t="s">
        <v>2073</v>
      </c>
      <c r="D2385">
        <v>0</v>
      </c>
      <c r="E2385" s="104">
        <v>1713271.71</v>
      </c>
      <c r="F2385" s="104">
        <v>1713271.71</v>
      </c>
      <c r="G2385">
        <v>0</v>
      </c>
    </row>
    <row r="2386" spans="2:7" x14ac:dyDescent="0.25">
      <c r="B2386" t="s">
        <v>1587</v>
      </c>
      <c r="D2386">
        <v>0</v>
      </c>
      <c r="E2386" s="104">
        <v>1713271.71</v>
      </c>
      <c r="F2386" s="104">
        <v>1713271.71</v>
      </c>
      <c r="G2386">
        <v>0</v>
      </c>
    </row>
    <row r="2388" spans="2:7" x14ac:dyDescent="0.25">
      <c r="B2388" t="s">
        <v>2457</v>
      </c>
      <c r="C2388" t="s">
        <v>567</v>
      </c>
    </row>
    <row r="2389" spans="2:7" x14ac:dyDescent="0.25">
      <c r="C2389" t="s">
        <v>2269</v>
      </c>
      <c r="D2389">
        <v>0</v>
      </c>
      <c r="E2389">
        <v>0</v>
      </c>
      <c r="F2389">
        <v>0</v>
      </c>
      <c r="G2389">
        <v>0</v>
      </c>
    </row>
    <row r="2390" spans="2:7" x14ac:dyDescent="0.25">
      <c r="C2390" t="s">
        <v>2270</v>
      </c>
      <c r="D2390">
        <v>0</v>
      </c>
      <c r="E2390">
        <v>0</v>
      </c>
      <c r="F2390">
        <v>0</v>
      </c>
      <c r="G2390">
        <v>0</v>
      </c>
    </row>
    <row r="2391" spans="2:7" x14ac:dyDescent="0.25">
      <c r="B2391">
        <v>50215040</v>
      </c>
      <c r="C2391" t="s">
        <v>663</v>
      </c>
    </row>
    <row r="2392" spans="2:7" x14ac:dyDescent="0.25">
      <c r="C2392" t="s">
        <v>1955</v>
      </c>
      <c r="D2392">
        <v>0</v>
      </c>
      <c r="E2392" s="104">
        <v>2099574423.05</v>
      </c>
      <c r="F2392" s="104">
        <v>3062083952.6799998</v>
      </c>
      <c r="G2392" s="104">
        <v>-962509529.63</v>
      </c>
    </row>
    <row r="2393" spans="2:7" x14ac:dyDescent="0.25">
      <c r="C2393" t="s">
        <v>2073</v>
      </c>
      <c r="D2393">
        <v>0</v>
      </c>
      <c r="E2393">
        <v>0</v>
      </c>
      <c r="F2393">
        <v>0</v>
      </c>
      <c r="G2393">
        <v>0</v>
      </c>
    </row>
    <row r="2394" spans="2:7" x14ac:dyDescent="0.25">
      <c r="C2394" t="s">
        <v>2258</v>
      </c>
      <c r="D2394">
        <v>0</v>
      </c>
      <c r="E2394">
        <v>0</v>
      </c>
      <c r="F2394">
        <v>0</v>
      </c>
      <c r="G2394">
        <v>0</v>
      </c>
    </row>
    <row r="2395" spans="2:7" x14ac:dyDescent="0.25">
      <c r="B2395" t="s">
        <v>1587</v>
      </c>
      <c r="D2395">
        <v>0</v>
      </c>
      <c r="E2395" s="104">
        <v>2099574423.05</v>
      </c>
      <c r="F2395" s="104">
        <v>3062083952.6799998</v>
      </c>
      <c r="G2395" s="104">
        <v>-962509529.63</v>
      </c>
    </row>
    <row r="2397" spans="2:7" x14ac:dyDescent="0.25">
      <c r="B2397">
        <v>50299010</v>
      </c>
      <c r="C2397" t="s">
        <v>572</v>
      </c>
    </row>
    <row r="2398" spans="2:7" x14ac:dyDescent="0.25">
      <c r="C2398" t="s">
        <v>2073</v>
      </c>
      <c r="D2398">
        <v>0</v>
      </c>
      <c r="E2398" s="104">
        <v>439821.43</v>
      </c>
      <c r="F2398" s="104">
        <v>439821.43</v>
      </c>
      <c r="G2398">
        <v>0</v>
      </c>
    </row>
    <row r="2399" spans="2:7" x14ac:dyDescent="0.25">
      <c r="C2399" t="s">
        <v>2270</v>
      </c>
      <c r="D2399">
        <v>0</v>
      </c>
      <c r="E2399" s="104">
        <v>1526.79</v>
      </c>
      <c r="F2399" s="104">
        <v>1526.79</v>
      </c>
      <c r="G2399">
        <v>0</v>
      </c>
    </row>
    <row r="2400" spans="2:7" x14ac:dyDescent="0.25">
      <c r="C2400" t="s">
        <v>2418</v>
      </c>
      <c r="D2400">
        <v>0</v>
      </c>
      <c r="E2400" s="104">
        <v>3570</v>
      </c>
      <c r="F2400" s="104">
        <v>3570</v>
      </c>
      <c r="G2400">
        <v>0</v>
      </c>
    </row>
    <row r="2401" spans="2:7" x14ac:dyDescent="0.25">
      <c r="B2401" t="s">
        <v>1587</v>
      </c>
      <c r="D2401">
        <v>0</v>
      </c>
      <c r="E2401" s="104">
        <v>444918.22</v>
      </c>
      <c r="F2401" s="104">
        <v>444918.22</v>
      </c>
      <c r="G2401">
        <v>0</v>
      </c>
    </row>
    <row r="2403" spans="2:7" x14ac:dyDescent="0.25">
      <c r="B2403">
        <v>50299020</v>
      </c>
      <c r="C2403" t="s">
        <v>573</v>
      </c>
    </row>
    <row r="2404" spans="2:7" x14ac:dyDescent="0.25">
      <c r="C2404" t="s">
        <v>2269</v>
      </c>
      <c r="D2404">
        <v>0</v>
      </c>
      <c r="E2404">
        <v>0</v>
      </c>
      <c r="F2404">
        <v>0</v>
      </c>
      <c r="G2404">
        <v>0</v>
      </c>
    </row>
    <row r="2405" spans="2:7" x14ac:dyDescent="0.25">
      <c r="B2405" t="s">
        <v>1587</v>
      </c>
      <c r="D2405">
        <v>0</v>
      </c>
      <c r="E2405">
        <v>0</v>
      </c>
      <c r="F2405">
        <v>0</v>
      </c>
      <c r="G2405">
        <v>0</v>
      </c>
    </row>
    <row r="2407" spans="2:7" x14ac:dyDescent="0.25">
      <c r="B2407">
        <v>50299030</v>
      </c>
      <c r="C2407" t="s">
        <v>2458</v>
      </c>
    </row>
    <row r="2408" spans="2:7" x14ac:dyDescent="0.25">
      <c r="C2408" t="s">
        <v>2270</v>
      </c>
      <c r="D2408">
        <v>0</v>
      </c>
      <c r="E2408">
        <v>0</v>
      </c>
      <c r="F2408">
        <v>0</v>
      </c>
      <c r="G2408">
        <v>0</v>
      </c>
    </row>
    <row r="2409" spans="2:7" x14ac:dyDescent="0.25">
      <c r="B2409" t="s">
        <v>1587</v>
      </c>
      <c r="D2409">
        <v>0</v>
      </c>
      <c r="E2409">
        <v>0</v>
      </c>
      <c r="F2409">
        <v>0</v>
      </c>
      <c r="G2409">
        <v>0</v>
      </c>
    </row>
    <row r="2411" spans="2:7" x14ac:dyDescent="0.25">
      <c r="B2411">
        <v>50299040</v>
      </c>
      <c r="C2411" t="s">
        <v>596</v>
      </c>
    </row>
    <row r="2412" spans="2:7" x14ac:dyDescent="0.25">
      <c r="C2412" t="s">
        <v>2414</v>
      </c>
      <c r="D2412">
        <v>0</v>
      </c>
      <c r="E2412" s="104">
        <v>2325.54</v>
      </c>
      <c r="F2412" s="104">
        <v>2325.54</v>
      </c>
      <c r="G2412">
        <v>0</v>
      </c>
    </row>
    <row r="2413" spans="2:7" x14ac:dyDescent="0.25">
      <c r="C2413" t="s">
        <v>2269</v>
      </c>
      <c r="D2413">
        <v>0</v>
      </c>
      <c r="E2413" s="104">
        <v>1237.47</v>
      </c>
      <c r="F2413" s="104">
        <v>1237.47</v>
      </c>
      <c r="G2413">
        <v>0</v>
      </c>
    </row>
    <row r="2414" spans="2:7" x14ac:dyDescent="0.25">
      <c r="C2414" t="s">
        <v>2270</v>
      </c>
      <c r="D2414">
        <v>0</v>
      </c>
      <c r="E2414" s="104">
        <v>2587.04</v>
      </c>
      <c r="F2414" s="104">
        <v>2587.04</v>
      </c>
      <c r="G2414">
        <v>0</v>
      </c>
    </row>
    <row r="2415" spans="2:7" x14ac:dyDescent="0.25">
      <c r="C2415" t="s">
        <v>2413</v>
      </c>
      <c r="D2415">
        <v>0</v>
      </c>
      <c r="E2415">
        <v>246.07</v>
      </c>
      <c r="F2415">
        <v>246.07</v>
      </c>
      <c r="G2415">
        <v>0</v>
      </c>
    </row>
    <row r="2416" spans="2:7" x14ac:dyDescent="0.25">
      <c r="C2416" t="s">
        <v>2416</v>
      </c>
      <c r="D2416">
        <v>0</v>
      </c>
      <c r="E2416" s="104">
        <v>1092.56</v>
      </c>
      <c r="F2416" s="104">
        <v>1092.56</v>
      </c>
      <c r="G2416">
        <v>0</v>
      </c>
    </row>
    <row r="2417" spans="2:7" x14ac:dyDescent="0.25">
      <c r="C2417" t="s">
        <v>2073</v>
      </c>
      <c r="D2417">
        <v>0</v>
      </c>
      <c r="E2417">
        <v>26.79</v>
      </c>
      <c r="F2417">
        <v>26.79</v>
      </c>
      <c r="G2417">
        <v>0</v>
      </c>
    </row>
    <row r="2418" spans="2:7" x14ac:dyDescent="0.25">
      <c r="C2418" t="s">
        <v>2138</v>
      </c>
      <c r="D2418">
        <v>0</v>
      </c>
      <c r="E2418">
        <v>83.57</v>
      </c>
      <c r="F2418">
        <v>83.57</v>
      </c>
      <c r="G2418">
        <v>0</v>
      </c>
    </row>
    <row r="2419" spans="2:7" x14ac:dyDescent="0.25">
      <c r="B2419" t="s">
        <v>1587</v>
      </c>
      <c r="D2419">
        <v>0</v>
      </c>
      <c r="E2419" s="104">
        <v>7599.04</v>
      </c>
      <c r="F2419" s="104">
        <v>7599.04</v>
      </c>
      <c r="G2419">
        <v>0</v>
      </c>
    </row>
    <row r="2421" spans="2:7" x14ac:dyDescent="0.25">
      <c r="B2421">
        <v>50299050</v>
      </c>
      <c r="C2421" t="s">
        <v>2459</v>
      </c>
      <c r="D2421">
        <v>0</v>
      </c>
      <c r="E2421" s="104">
        <v>1896636.49</v>
      </c>
      <c r="F2421" s="104">
        <v>1896636.49</v>
      </c>
      <c r="G2421">
        <v>0</v>
      </c>
    </row>
    <row r="2422" spans="2:7" x14ac:dyDescent="0.25">
      <c r="B2422" t="s">
        <v>2460</v>
      </c>
      <c r="C2422" t="s">
        <v>2461</v>
      </c>
    </row>
    <row r="2423" spans="2:7" x14ac:dyDescent="0.25">
      <c r="C2423" t="s">
        <v>2073</v>
      </c>
      <c r="D2423">
        <v>0</v>
      </c>
      <c r="E2423" s="104">
        <v>476080.1</v>
      </c>
      <c r="F2423" s="104">
        <v>476080.1</v>
      </c>
      <c r="G2423">
        <v>0</v>
      </c>
    </row>
    <row r="2424" spans="2:7" x14ac:dyDescent="0.25">
      <c r="C2424" t="s">
        <v>2269</v>
      </c>
      <c r="D2424">
        <v>0</v>
      </c>
      <c r="E2424">
        <v>272.61</v>
      </c>
      <c r="F2424">
        <v>272.61</v>
      </c>
      <c r="G2424">
        <v>0</v>
      </c>
    </row>
    <row r="2425" spans="2:7" x14ac:dyDescent="0.25">
      <c r="C2425" t="s">
        <v>2270</v>
      </c>
      <c r="D2425">
        <v>0</v>
      </c>
      <c r="E2425">
        <v>94.82</v>
      </c>
      <c r="F2425">
        <v>94.82</v>
      </c>
      <c r="G2425">
        <v>0</v>
      </c>
    </row>
    <row r="2426" spans="2:7" x14ac:dyDescent="0.25">
      <c r="C2426" t="s">
        <v>2413</v>
      </c>
      <c r="D2426">
        <v>0</v>
      </c>
      <c r="E2426">
        <v>99.56</v>
      </c>
      <c r="F2426">
        <v>99.56</v>
      </c>
      <c r="G2426">
        <v>0</v>
      </c>
    </row>
    <row r="2427" spans="2:7" x14ac:dyDescent="0.25">
      <c r="C2427" t="s">
        <v>2416</v>
      </c>
      <c r="D2427">
        <v>0</v>
      </c>
      <c r="E2427" s="104">
        <v>1946.21</v>
      </c>
      <c r="F2427" s="104">
        <v>1946.21</v>
      </c>
      <c r="G2427">
        <v>0</v>
      </c>
    </row>
    <row r="2428" spans="2:7" x14ac:dyDescent="0.25">
      <c r="C2428" t="s">
        <v>2414</v>
      </c>
      <c r="D2428">
        <v>0</v>
      </c>
      <c r="E2428" s="104">
        <v>6871.4</v>
      </c>
      <c r="F2428" s="104">
        <v>6871.4</v>
      </c>
      <c r="G2428">
        <v>0</v>
      </c>
    </row>
    <row r="2429" spans="2:7" x14ac:dyDescent="0.25">
      <c r="B2429" t="s">
        <v>1587</v>
      </c>
      <c r="D2429">
        <v>0</v>
      </c>
      <c r="E2429" s="104">
        <v>485364.7</v>
      </c>
      <c r="F2429" s="104">
        <v>485364.7</v>
      </c>
      <c r="G2429">
        <v>0</v>
      </c>
    </row>
    <row r="2431" spans="2:7" x14ac:dyDescent="0.25">
      <c r="B2431" t="s">
        <v>2462</v>
      </c>
      <c r="C2431" t="s">
        <v>502</v>
      </c>
    </row>
    <row r="2432" spans="2:7" x14ac:dyDescent="0.25">
      <c r="C2432" t="s">
        <v>2269</v>
      </c>
      <c r="D2432">
        <v>0</v>
      </c>
      <c r="E2432" s="104">
        <v>11385.56</v>
      </c>
      <c r="F2432" s="104">
        <v>11385.56</v>
      </c>
      <c r="G2432">
        <v>0</v>
      </c>
    </row>
    <row r="2433" spans="2:7" x14ac:dyDescent="0.25">
      <c r="C2433" t="s">
        <v>2270</v>
      </c>
      <c r="D2433">
        <v>0</v>
      </c>
      <c r="E2433" s="104">
        <v>9105.86</v>
      </c>
      <c r="F2433" s="104">
        <v>9105.86</v>
      </c>
      <c r="G2433">
        <v>0</v>
      </c>
    </row>
    <row r="2434" spans="2:7" x14ac:dyDescent="0.25">
      <c r="C2434" t="s">
        <v>2414</v>
      </c>
      <c r="D2434">
        <v>0</v>
      </c>
      <c r="E2434" s="104">
        <v>99567.4</v>
      </c>
      <c r="F2434" s="104">
        <v>99567.4</v>
      </c>
      <c r="G2434">
        <v>0</v>
      </c>
    </row>
    <row r="2435" spans="2:7" x14ac:dyDescent="0.25">
      <c r="C2435" t="s">
        <v>2073</v>
      </c>
      <c r="D2435">
        <v>0</v>
      </c>
      <c r="E2435" s="104">
        <v>1251267.74</v>
      </c>
      <c r="F2435" s="104">
        <v>1251267.74</v>
      </c>
      <c r="G2435">
        <v>0</v>
      </c>
    </row>
    <row r="2436" spans="2:7" x14ac:dyDescent="0.25">
      <c r="C2436" t="s">
        <v>2413</v>
      </c>
      <c r="D2436">
        <v>0</v>
      </c>
      <c r="E2436" s="104">
        <v>3247.09</v>
      </c>
      <c r="F2436" s="104">
        <v>3247.09</v>
      </c>
      <c r="G2436">
        <v>0</v>
      </c>
    </row>
    <row r="2437" spans="2:7" x14ac:dyDescent="0.25">
      <c r="C2437" t="s">
        <v>2416</v>
      </c>
      <c r="D2437">
        <v>0</v>
      </c>
      <c r="E2437" s="104">
        <v>36698.14</v>
      </c>
      <c r="F2437" s="104">
        <v>36698.14</v>
      </c>
      <c r="G2437">
        <v>0</v>
      </c>
    </row>
    <row r="2438" spans="2:7" x14ac:dyDescent="0.25">
      <c r="B2438" t="s">
        <v>1587</v>
      </c>
      <c r="D2438">
        <v>0</v>
      </c>
      <c r="E2438" s="104">
        <v>1411271.79</v>
      </c>
      <c r="F2438" s="104">
        <v>1411271.79</v>
      </c>
      <c r="G2438">
        <v>0</v>
      </c>
    </row>
    <row r="2440" spans="2:7" x14ac:dyDescent="0.25">
      <c r="B2440">
        <v>50299060</v>
      </c>
      <c r="C2440" t="s">
        <v>553</v>
      </c>
    </row>
    <row r="2441" spans="2:7" x14ac:dyDescent="0.25">
      <c r="C2441" t="s">
        <v>2073</v>
      </c>
      <c r="D2441">
        <v>0</v>
      </c>
      <c r="E2441" s="104">
        <v>1602770.67</v>
      </c>
      <c r="F2441" s="104">
        <v>1602770.67</v>
      </c>
      <c r="G2441">
        <v>0</v>
      </c>
    </row>
    <row r="2442" spans="2:7" x14ac:dyDescent="0.25">
      <c r="C2442" t="s">
        <v>2413</v>
      </c>
      <c r="D2442">
        <v>0</v>
      </c>
      <c r="E2442" s="104">
        <v>2735.65</v>
      </c>
      <c r="F2442" s="104">
        <v>2735.65</v>
      </c>
      <c r="G2442">
        <v>0</v>
      </c>
    </row>
    <row r="2443" spans="2:7" x14ac:dyDescent="0.25">
      <c r="B2443" t="s">
        <v>1587</v>
      </c>
      <c r="D2443">
        <v>0</v>
      </c>
      <c r="E2443" s="104">
        <v>1605506.32</v>
      </c>
      <c r="F2443" s="104">
        <v>1605506.32</v>
      </c>
      <c r="G2443">
        <v>0</v>
      </c>
    </row>
    <row r="2445" spans="2:7" x14ac:dyDescent="0.25">
      <c r="B2445">
        <v>50299070</v>
      </c>
      <c r="C2445" t="s">
        <v>577</v>
      </c>
    </row>
    <row r="2446" spans="2:7" x14ac:dyDescent="0.25">
      <c r="C2446" t="s">
        <v>2073</v>
      </c>
      <c r="D2446">
        <v>0</v>
      </c>
      <c r="E2446" s="104">
        <v>42160</v>
      </c>
      <c r="F2446" s="104">
        <v>42160</v>
      </c>
      <c r="G2446">
        <v>0</v>
      </c>
    </row>
    <row r="2447" spans="2:7" x14ac:dyDescent="0.25">
      <c r="C2447" t="s">
        <v>2269</v>
      </c>
      <c r="D2447">
        <v>0</v>
      </c>
      <c r="E2447" s="104">
        <v>12361.92</v>
      </c>
      <c r="F2447" s="104">
        <v>12361.92</v>
      </c>
      <c r="G2447">
        <v>0</v>
      </c>
    </row>
    <row r="2448" spans="2:7" x14ac:dyDescent="0.25">
      <c r="C2448" t="s">
        <v>2416</v>
      </c>
      <c r="D2448">
        <v>0</v>
      </c>
      <c r="E2448" s="104">
        <v>11953.96</v>
      </c>
      <c r="F2448" s="104">
        <v>11953.96</v>
      </c>
      <c r="G2448">
        <v>0</v>
      </c>
    </row>
    <row r="2449" spans="2:7" x14ac:dyDescent="0.25">
      <c r="C2449" t="s">
        <v>2414</v>
      </c>
      <c r="D2449">
        <v>0</v>
      </c>
      <c r="E2449" s="104">
        <v>16697.66</v>
      </c>
      <c r="F2449" s="104">
        <v>16697.66</v>
      </c>
      <c r="G2449">
        <v>0</v>
      </c>
    </row>
    <row r="2450" spans="2:7" x14ac:dyDescent="0.25">
      <c r="C2450" t="s">
        <v>2061</v>
      </c>
      <c r="D2450">
        <v>0</v>
      </c>
      <c r="E2450" s="104">
        <v>8532.7800000000007</v>
      </c>
      <c r="F2450" s="104">
        <v>8532.7800000000007</v>
      </c>
      <c r="G2450">
        <v>0</v>
      </c>
    </row>
    <row r="2451" spans="2:7" x14ac:dyDescent="0.25">
      <c r="C2451" t="s">
        <v>2422</v>
      </c>
      <c r="D2451">
        <v>0</v>
      </c>
      <c r="E2451" s="104">
        <v>7800.89</v>
      </c>
      <c r="F2451" s="104">
        <v>7800.89</v>
      </c>
      <c r="G2451">
        <v>0</v>
      </c>
    </row>
    <row r="2452" spans="2:7" x14ac:dyDescent="0.25">
      <c r="B2452" t="s">
        <v>1587</v>
      </c>
      <c r="D2452">
        <v>0</v>
      </c>
      <c r="E2452" s="104">
        <v>99507.21</v>
      </c>
      <c r="F2452" s="104">
        <v>99507.21</v>
      </c>
      <c r="G2452">
        <v>0</v>
      </c>
    </row>
    <row r="2454" spans="2:7" x14ac:dyDescent="0.25">
      <c r="B2454">
        <v>50299090</v>
      </c>
      <c r="C2454" t="s">
        <v>653</v>
      </c>
    </row>
    <row r="2455" spans="2:7" x14ac:dyDescent="0.25">
      <c r="B2455">
        <v>50299140</v>
      </c>
      <c r="C2455" t="s">
        <v>609</v>
      </c>
    </row>
    <row r="2456" spans="2:7" x14ac:dyDescent="0.25">
      <c r="C2456" t="s">
        <v>2414</v>
      </c>
      <c r="D2456">
        <v>0</v>
      </c>
      <c r="E2456">
        <v>112</v>
      </c>
      <c r="F2456">
        <v>112</v>
      </c>
      <c r="G2456">
        <v>0</v>
      </c>
    </row>
    <row r="2457" spans="2:7" x14ac:dyDescent="0.25">
      <c r="C2457" t="s">
        <v>2073</v>
      </c>
      <c r="D2457">
        <v>0</v>
      </c>
      <c r="E2457" s="104">
        <v>270909.5</v>
      </c>
      <c r="F2457" s="104">
        <v>270909.5</v>
      </c>
      <c r="G2457">
        <v>0</v>
      </c>
    </row>
    <row r="2458" spans="2:7" x14ac:dyDescent="0.25">
      <c r="B2458" t="s">
        <v>1587</v>
      </c>
      <c r="D2458">
        <v>0</v>
      </c>
      <c r="E2458" s="104">
        <v>271021.5</v>
      </c>
      <c r="F2458" s="104">
        <v>271021.5</v>
      </c>
      <c r="G2458">
        <v>0</v>
      </c>
    </row>
    <row r="2460" spans="2:7" x14ac:dyDescent="0.25">
      <c r="B2460">
        <v>50299180</v>
      </c>
      <c r="C2460" t="s">
        <v>650</v>
      </c>
    </row>
    <row r="2461" spans="2:7" x14ac:dyDescent="0.25">
      <c r="C2461" t="s">
        <v>2270</v>
      </c>
      <c r="D2461">
        <v>0</v>
      </c>
      <c r="E2461">
        <v>0</v>
      </c>
      <c r="F2461">
        <v>0</v>
      </c>
      <c r="G2461">
        <v>0</v>
      </c>
    </row>
    <row r="2462" spans="2:7" x14ac:dyDescent="0.25">
      <c r="C2462" t="s">
        <v>2073</v>
      </c>
      <c r="D2462">
        <v>0</v>
      </c>
      <c r="E2462" s="104">
        <v>1023943.51</v>
      </c>
      <c r="F2462" s="104">
        <v>1023943.51</v>
      </c>
      <c r="G2462">
        <v>0</v>
      </c>
    </row>
    <row r="2463" spans="2:7" x14ac:dyDescent="0.25">
      <c r="C2463" t="s">
        <v>2145</v>
      </c>
      <c r="D2463">
        <v>0</v>
      </c>
      <c r="E2463">
        <v>0</v>
      </c>
      <c r="F2463">
        <v>0</v>
      </c>
      <c r="G2463">
        <v>0</v>
      </c>
    </row>
    <row r="2464" spans="2:7" x14ac:dyDescent="0.25">
      <c r="B2464" t="s">
        <v>1587</v>
      </c>
      <c r="D2464">
        <v>0</v>
      </c>
      <c r="E2464" s="104">
        <v>1023943.51</v>
      </c>
      <c r="F2464" s="104">
        <v>1023943.51</v>
      </c>
      <c r="G2464">
        <v>0</v>
      </c>
    </row>
    <row r="2466" spans="2:7" x14ac:dyDescent="0.25">
      <c r="B2466">
        <v>50299990</v>
      </c>
      <c r="C2466" t="s">
        <v>2463</v>
      </c>
    </row>
    <row r="2467" spans="2:7" x14ac:dyDescent="0.25">
      <c r="B2467">
        <v>50301020</v>
      </c>
      <c r="C2467" t="s">
        <v>393</v>
      </c>
    </row>
    <row r="2468" spans="2:7" x14ac:dyDescent="0.25">
      <c r="C2468" t="s">
        <v>2256</v>
      </c>
      <c r="D2468">
        <v>0</v>
      </c>
      <c r="E2468" s="104">
        <v>3754705.8</v>
      </c>
      <c r="F2468" s="104">
        <v>3754705.8</v>
      </c>
      <c r="G2468">
        <v>0</v>
      </c>
    </row>
    <row r="2469" spans="2:7" x14ac:dyDescent="0.25">
      <c r="B2469" t="s">
        <v>1587</v>
      </c>
      <c r="D2469">
        <v>0</v>
      </c>
      <c r="E2469" s="104">
        <v>3754705.8</v>
      </c>
      <c r="F2469" s="104">
        <v>3754705.8</v>
      </c>
      <c r="G2469">
        <v>0</v>
      </c>
    </row>
    <row r="2471" spans="2:7" x14ac:dyDescent="0.25">
      <c r="B2471">
        <v>50301040</v>
      </c>
      <c r="C2471" t="s">
        <v>394</v>
      </c>
    </row>
    <row r="2472" spans="2:7" x14ac:dyDescent="0.25">
      <c r="C2472" t="s">
        <v>2004</v>
      </c>
      <c r="D2472">
        <v>0</v>
      </c>
      <c r="E2472" s="104">
        <v>8386.7000000000007</v>
      </c>
      <c r="F2472" s="104">
        <v>8386.7000000000007</v>
      </c>
      <c r="G2472">
        <v>0</v>
      </c>
    </row>
    <row r="2473" spans="2:7" x14ac:dyDescent="0.25">
      <c r="C2473" t="s">
        <v>2073</v>
      </c>
      <c r="D2473">
        <v>0</v>
      </c>
      <c r="E2473" s="104">
        <v>2800</v>
      </c>
      <c r="F2473" s="104">
        <v>2800</v>
      </c>
      <c r="G2473">
        <v>0</v>
      </c>
    </row>
    <row r="2474" spans="2:7" x14ac:dyDescent="0.25">
      <c r="C2474" t="s">
        <v>1724</v>
      </c>
      <c r="D2474">
        <v>0</v>
      </c>
      <c r="E2474" s="104">
        <v>142305.06</v>
      </c>
      <c r="F2474" s="104">
        <v>142305.06</v>
      </c>
      <c r="G2474">
        <v>0</v>
      </c>
    </row>
    <row r="2475" spans="2:7" x14ac:dyDescent="0.25">
      <c r="C2475" t="s">
        <v>1735</v>
      </c>
      <c r="D2475">
        <v>0</v>
      </c>
      <c r="E2475">
        <v>150</v>
      </c>
      <c r="F2475">
        <v>150</v>
      </c>
      <c r="G2475">
        <v>0</v>
      </c>
    </row>
    <row r="2476" spans="2:7" x14ac:dyDescent="0.25">
      <c r="C2476" t="s">
        <v>1736</v>
      </c>
      <c r="D2476">
        <v>0</v>
      </c>
      <c r="E2476" s="104">
        <v>3265</v>
      </c>
      <c r="F2476" s="104">
        <v>3265</v>
      </c>
      <c r="G2476">
        <v>0</v>
      </c>
    </row>
    <row r="2477" spans="2:7" x14ac:dyDescent="0.25">
      <c r="C2477" t="s">
        <v>1726</v>
      </c>
      <c r="D2477">
        <v>0</v>
      </c>
      <c r="E2477" s="104">
        <v>14840.59</v>
      </c>
      <c r="F2477" s="104">
        <v>14840.59</v>
      </c>
      <c r="G2477">
        <v>0</v>
      </c>
    </row>
    <row r="2478" spans="2:7" x14ac:dyDescent="0.25">
      <c r="B2478" t="s">
        <v>1587</v>
      </c>
      <c r="D2478">
        <v>0</v>
      </c>
      <c r="E2478" s="104">
        <v>171747.35</v>
      </c>
      <c r="F2478" s="104">
        <v>171747.35</v>
      </c>
      <c r="G2478">
        <v>0</v>
      </c>
    </row>
    <row r="2480" spans="2:7" x14ac:dyDescent="0.25">
      <c r="B2480">
        <v>50501010</v>
      </c>
      <c r="C2480" t="s">
        <v>2464</v>
      </c>
    </row>
    <row r="2481" spans="2:7" x14ac:dyDescent="0.25">
      <c r="B2481">
        <v>50501020</v>
      </c>
      <c r="C2481" t="s">
        <v>493</v>
      </c>
    </row>
    <row r="2482" spans="2:7" x14ac:dyDescent="0.25">
      <c r="C2482" t="s">
        <v>2073</v>
      </c>
      <c r="D2482">
        <v>0</v>
      </c>
      <c r="E2482" s="104">
        <v>266891.90000000002</v>
      </c>
      <c r="F2482" s="104">
        <v>266891.90000000002</v>
      </c>
      <c r="G2482">
        <v>0</v>
      </c>
    </row>
    <row r="2483" spans="2:7" x14ac:dyDescent="0.25">
      <c r="B2483" t="s">
        <v>1587</v>
      </c>
      <c r="D2483">
        <v>0</v>
      </c>
      <c r="E2483" s="104">
        <v>266891.90000000002</v>
      </c>
      <c r="F2483" s="104">
        <v>266891.90000000002</v>
      </c>
      <c r="G2483">
        <v>0</v>
      </c>
    </row>
    <row r="2485" spans="2:7" x14ac:dyDescent="0.25">
      <c r="B2485">
        <v>50501040</v>
      </c>
      <c r="C2485" t="s">
        <v>497</v>
      </c>
    </row>
    <row r="2486" spans="2:7" x14ac:dyDescent="0.25">
      <c r="C2486" t="s">
        <v>2073</v>
      </c>
      <c r="D2486">
        <v>0</v>
      </c>
      <c r="E2486" s="104">
        <v>62214.84</v>
      </c>
      <c r="F2486" s="104">
        <v>62214.84</v>
      </c>
      <c r="G2486">
        <v>0</v>
      </c>
    </row>
    <row r="2487" spans="2:7" x14ac:dyDescent="0.25">
      <c r="B2487" t="s">
        <v>1587</v>
      </c>
      <c r="D2487">
        <v>0</v>
      </c>
      <c r="E2487" s="104">
        <v>62214.84</v>
      </c>
      <c r="F2487" s="104">
        <v>62214.84</v>
      </c>
      <c r="G2487">
        <v>0</v>
      </c>
    </row>
    <row r="2489" spans="2:7" x14ac:dyDescent="0.25">
      <c r="B2489">
        <v>50501050</v>
      </c>
      <c r="C2489" t="s">
        <v>485</v>
      </c>
    </row>
    <row r="2490" spans="2:7" x14ac:dyDescent="0.25">
      <c r="C2490" t="s">
        <v>2073</v>
      </c>
      <c r="D2490">
        <v>0</v>
      </c>
      <c r="E2490" s="104">
        <v>908938.86</v>
      </c>
      <c r="F2490" s="104">
        <v>908938.86</v>
      </c>
      <c r="G2490">
        <v>0</v>
      </c>
    </row>
    <row r="2491" spans="2:7" x14ac:dyDescent="0.25">
      <c r="B2491" t="s">
        <v>1587</v>
      </c>
      <c r="D2491">
        <v>0</v>
      </c>
      <c r="E2491" s="104">
        <v>908938.86</v>
      </c>
      <c r="F2491" s="104">
        <v>908938.86</v>
      </c>
      <c r="G2491">
        <v>0</v>
      </c>
    </row>
    <row r="2493" spans="2:7" x14ac:dyDescent="0.25">
      <c r="B2493">
        <v>50501060</v>
      </c>
      <c r="C2493" t="s">
        <v>489</v>
      </c>
    </row>
    <row r="2494" spans="2:7" x14ac:dyDescent="0.25">
      <c r="C2494" t="s">
        <v>2073</v>
      </c>
      <c r="D2494">
        <v>0</v>
      </c>
      <c r="E2494" s="104">
        <v>924033.3</v>
      </c>
      <c r="F2494" s="104">
        <v>924033.3</v>
      </c>
      <c r="G2494">
        <v>0</v>
      </c>
    </row>
    <row r="2495" spans="2:7" x14ac:dyDescent="0.25">
      <c r="B2495" t="s">
        <v>1587</v>
      </c>
      <c r="D2495">
        <v>0</v>
      </c>
      <c r="E2495" s="104">
        <v>924033.3</v>
      </c>
      <c r="F2495" s="104">
        <v>924033.3</v>
      </c>
      <c r="G2495">
        <v>0</v>
      </c>
    </row>
    <row r="2497" spans="2:7" x14ac:dyDescent="0.25">
      <c r="B2497">
        <v>50501070</v>
      </c>
      <c r="C2497" t="s">
        <v>2465</v>
      </c>
    </row>
    <row r="2498" spans="2:7" x14ac:dyDescent="0.25">
      <c r="C2498" t="s">
        <v>2073</v>
      </c>
      <c r="D2498">
        <v>0</v>
      </c>
      <c r="E2498" s="104">
        <v>96495.24</v>
      </c>
      <c r="F2498" s="104">
        <v>96495.24</v>
      </c>
      <c r="G2498">
        <v>0</v>
      </c>
    </row>
    <row r="2499" spans="2:7" x14ac:dyDescent="0.25">
      <c r="B2499" t="s">
        <v>1587</v>
      </c>
      <c r="D2499">
        <v>0</v>
      </c>
      <c r="E2499" s="104">
        <v>96495.24</v>
      </c>
      <c r="F2499" s="104">
        <v>96495.24</v>
      </c>
      <c r="G2499">
        <v>0</v>
      </c>
    </row>
    <row r="2501" spans="2:7" x14ac:dyDescent="0.25">
      <c r="B2501">
        <v>50501990</v>
      </c>
      <c r="C2501" t="s">
        <v>477</v>
      </c>
    </row>
    <row r="2502" spans="2:7" x14ac:dyDescent="0.25">
      <c r="C2502" t="s">
        <v>2073</v>
      </c>
      <c r="D2502">
        <v>0</v>
      </c>
      <c r="E2502" s="104">
        <v>2538100</v>
      </c>
      <c r="F2502" s="104">
        <v>2538100</v>
      </c>
      <c r="G2502">
        <v>0</v>
      </c>
    </row>
    <row r="2503" spans="2:7" x14ac:dyDescent="0.25">
      <c r="B2503" t="s">
        <v>1587</v>
      </c>
      <c r="D2503">
        <v>0</v>
      </c>
      <c r="E2503" s="104">
        <v>2538100</v>
      </c>
      <c r="F2503" s="104">
        <v>2538100</v>
      </c>
      <c r="G2503">
        <v>0</v>
      </c>
    </row>
    <row r="2505" spans="2:7" x14ac:dyDescent="0.25">
      <c r="B2505">
        <v>50503020</v>
      </c>
      <c r="C2505" t="s">
        <v>542</v>
      </c>
    </row>
    <row r="2506" spans="2:7" x14ac:dyDescent="0.25">
      <c r="C2506" t="s">
        <v>2073</v>
      </c>
      <c r="D2506">
        <v>0</v>
      </c>
      <c r="E2506" s="104">
        <v>2532497.6</v>
      </c>
      <c r="F2506" s="104">
        <v>2532497.6</v>
      </c>
      <c r="G2506">
        <v>0</v>
      </c>
    </row>
    <row r="2507" spans="2:7" x14ac:dyDescent="0.25">
      <c r="B2507" t="s">
        <v>1587</v>
      </c>
      <c r="D2507">
        <v>0</v>
      </c>
      <c r="E2507" s="104">
        <v>2532497.6</v>
      </c>
      <c r="F2507" s="104">
        <v>2532497.6</v>
      </c>
      <c r="G2507">
        <v>0</v>
      </c>
    </row>
    <row r="2509" spans="2:7" x14ac:dyDescent="0.25">
      <c r="B2509">
        <v>50503060</v>
      </c>
      <c r="C2509" t="s">
        <v>773</v>
      </c>
    </row>
    <row r="2510" spans="2:7" x14ac:dyDescent="0.25">
      <c r="C2510" t="s">
        <v>2148</v>
      </c>
      <c r="D2510">
        <v>0</v>
      </c>
      <c r="E2510" s="104">
        <v>631166.64</v>
      </c>
      <c r="F2510" s="104">
        <v>631166.64</v>
      </c>
      <c r="G2510">
        <v>0</v>
      </c>
    </row>
    <row r="2511" spans="2:7" x14ac:dyDescent="0.25">
      <c r="B2511" t="s">
        <v>1587</v>
      </c>
      <c r="D2511">
        <v>0</v>
      </c>
      <c r="E2511" s="104">
        <v>631166.64</v>
      </c>
      <c r="F2511" s="104">
        <v>631166.64</v>
      </c>
      <c r="G2511">
        <v>0</v>
      </c>
    </row>
    <row r="2513" spans="2:7" x14ac:dyDescent="0.25">
      <c r="B2513">
        <v>50503150</v>
      </c>
      <c r="C2513" t="s">
        <v>2466</v>
      </c>
    </row>
    <row r="2514" spans="2:7" x14ac:dyDescent="0.25">
      <c r="B2514">
        <v>50504010</v>
      </c>
      <c r="C2514" t="s">
        <v>545</v>
      </c>
    </row>
    <row r="2515" spans="2:7" x14ac:dyDescent="0.25">
      <c r="C2515" t="s">
        <v>1745</v>
      </c>
      <c r="D2515">
        <v>0</v>
      </c>
      <c r="E2515" s="104">
        <v>4149900</v>
      </c>
      <c r="F2515" s="104">
        <v>4149900</v>
      </c>
      <c r="G2515">
        <v>0</v>
      </c>
    </row>
    <row r="2516" spans="2:7" x14ac:dyDescent="0.25">
      <c r="C2516" t="s">
        <v>1724</v>
      </c>
      <c r="D2516">
        <v>0</v>
      </c>
      <c r="E2516">
        <v>0</v>
      </c>
      <c r="F2516">
        <v>0</v>
      </c>
      <c r="G2516">
        <v>0</v>
      </c>
    </row>
    <row r="2517" spans="2:7" x14ac:dyDescent="0.25">
      <c r="C2517" t="s">
        <v>1740</v>
      </c>
      <c r="D2517">
        <v>0</v>
      </c>
      <c r="E2517" s="104">
        <v>29879.200000000001</v>
      </c>
      <c r="F2517" s="104">
        <v>29879.200000000001</v>
      </c>
      <c r="G2517">
        <v>0</v>
      </c>
    </row>
    <row r="2518" spans="2:7" x14ac:dyDescent="0.25">
      <c r="B2518" t="s">
        <v>1587</v>
      </c>
      <c r="D2518">
        <v>0</v>
      </c>
      <c r="E2518" s="104">
        <v>4179779.2</v>
      </c>
      <c r="F2518" s="104">
        <v>4179779.2</v>
      </c>
      <c r="G2518">
        <v>0</v>
      </c>
    </row>
    <row r="2520" spans="2:7" x14ac:dyDescent="0.25">
      <c r="B2520">
        <v>50504030</v>
      </c>
      <c r="C2520" t="s">
        <v>747</v>
      </c>
    </row>
    <row r="2521" spans="2:7" x14ac:dyDescent="0.25">
      <c r="B2521">
        <v>50504180</v>
      </c>
      <c r="C2521" t="s">
        <v>2467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E225-05A7-452E-8F3D-8532D2125089}">
  <sheetPr codeName="Sheet9">
    <tabColor rgb="FFFFC000"/>
  </sheetPr>
  <dimension ref="A1:I2145"/>
  <sheetViews>
    <sheetView topLeftCell="A209" zoomScale="130" zoomScaleNormal="130" workbookViewId="0">
      <selection activeCell="G238" sqref="G238:G239"/>
    </sheetView>
  </sheetViews>
  <sheetFormatPr defaultRowHeight="15" x14ac:dyDescent="0.25"/>
  <cols>
    <col min="1" max="1" width="4.28515625" customWidth="1"/>
    <col min="2" max="2" width="19.140625" customWidth="1"/>
    <col min="3" max="3" width="5.140625" customWidth="1"/>
    <col min="4" max="4" width="43.140625" customWidth="1"/>
    <col min="5" max="5" width="8.7109375" hidden="1" customWidth="1"/>
    <col min="6" max="6" width="36.28515625" customWidth="1"/>
    <col min="7" max="7" width="27.28515625" customWidth="1"/>
    <col min="8" max="8" width="34.28515625" customWidth="1"/>
    <col min="9" max="9" width="22" customWidth="1"/>
  </cols>
  <sheetData>
    <row r="1" spans="1:7" x14ac:dyDescent="0.25">
      <c r="A1" s="48" t="s">
        <v>22</v>
      </c>
      <c r="B1" s="48"/>
      <c r="C1" s="48"/>
      <c r="D1" s="48"/>
    </row>
    <row r="2" spans="1:7" x14ac:dyDescent="0.25">
      <c r="A2" s="48" t="s">
        <v>1583</v>
      </c>
      <c r="B2" s="48"/>
      <c r="C2" s="48"/>
      <c r="D2" s="48"/>
    </row>
    <row r="3" spans="1:7" x14ac:dyDescent="0.25">
      <c r="A3" s="48"/>
      <c r="B3" s="48"/>
      <c r="C3" s="48"/>
      <c r="D3" s="525"/>
      <c r="G3" s="104"/>
    </row>
    <row r="4" spans="1:7" ht="15.75" x14ac:dyDescent="0.25">
      <c r="A4" s="48"/>
      <c r="B4" s="526"/>
      <c r="C4" s="48"/>
      <c r="D4" s="48"/>
    </row>
    <row r="5" spans="1:7" ht="15.75" hidden="1" x14ac:dyDescent="0.25">
      <c r="A5" s="48" t="s">
        <v>1584</v>
      </c>
      <c r="B5" s="527" t="s">
        <v>1470</v>
      </c>
      <c r="C5" s="48"/>
      <c r="D5" s="48"/>
      <c r="G5" s="528" t="s">
        <v>1585</v>
      </c>
    </row>
    <row r="6" spans="1:7" hidden="1" x14ac:dyDescent="0.25">
      <c r="A6" s="48"/>
      <c r="B6" s="48"/>
      <c r="C6" s="48"/>
      <c r="D6" s="48"/>
    </row>
    <row r="7" spans="1:7" hidden="1" x14ac:dyDescent="0.25">
      <c r="A7" s="48"/>
      <c r="B7" s="66"/>
      <c r="C7" t="s">
        <v>67</v>
      </c>
    </row>
    <row r="8" spans="1:7" hidden="1" x14ac:dyDescent="0.25">
      <c r="A8" s="48"/>
      <c r="B8" s="66"/>
    </row>
    <row r="9" spans="1:7" hidden="1" x14ac:dyDescent="0.25">
      <c r="A9" s="48"/>
      <c r="C9" t="s">
        <v>1586</v>
      </c>
      <c r="E9" s="104"/>
      <c r="G9" s="104">
        <v>205124655</v>
      </c>
    </row>
    <row r="10" spans="1:7" ht="15.75" hidden="1" thickBot="1" x14ac:dyDescent="0.3">
      <c r="A10" s="48"/>
      <c r="C10" s="48"/>
      <c r="D10" s="525"/>
      <c r="E10" s="525"/>
      <c r="F10" s="386" t="s">
        <v>1587</v>
      </c>
      <c r="G10" s="529">
        <v>205124655</v>
      </c>
    </row>
    <row r="11" spans="1:7" hidden="1" x14ac:dyDescent="0.25">
      <c r="A11" s="48"/>
      <c r="B11" s="48"/>
      <c r="C11" s="48"/>
      <c r="D11" s="48"/>
    </row>
    <row r="12" spans="1:7" hidden="1" x14ac:dyDescent="0.25">
      <c r="A12" s="48"/>
      <c r="C12" t="s">
        <v>1588</v>
      </c>
    </row>
    <row r="13" spans="1:7" hidden="1" x14ac:dyDescent="0.25">
      <c r="A13" s="48"/>
    </row>
    <row r="14" spans="1:7" hidden="1" x14ac:dyDescent="0.25">
      <c r="A14" s="48"/>
      <c r="C14" t="s">
        <v>1589</v>
      </c>
      <c r="D14" s="104"/>
      <c r="G14" s="104">
        <v>142866471.68000001</v>
      </c>
    </row>
    <row r="15" spans="1:7" hidden="1" x14ac:dyDescent="0.25">
      <c r="A15" s="48"/>
      <c r="C15" t="s">
        <v>1590</v>
      </c>
      <c r="D15" s="104"/>
      <c r="G15" s="104">
        <v>170653621.75999999</v>
      </c>
    </row>
    <row r="16" spans="1:7" hidden="1" x14ac:dyDescent="0.25">
      <c r="A16" s="48"/>
      <c r="C16" t="s">
        <v>1591</v>
      </c>
      <c r="D16" s="104"/>
      <c r="G16" s="104">
        <v>522091.48</v>
      </c>
    </row>
    <row r="17" spans="1:7" hidden="1" x14ac:dyDescent="0.25">
      <c r="A17" s="48"/>
      <c r="C17" t="s">
        <v>60</v>
      </c>
      <c r="D17" s="104"/>
      <c r="G17" s="104">
        <v>705000000</v>
      </c>
    </row>
    <row r="18" spans="1:7" hidden="1" x14ac:dyDescent="0.25">
      <c r="A18" s="48"/>
      <c r="C18" t="s">
        <v>1592</v>
      </c>
      <c r="D18" s="104"/>
      <c r="G18" s="104">
        <v>15226886.050000001</v>
      </c>
    </row>
    <row r="19" spans="1:7" ht="15.75" hidden="1" thickBot="1" x14ac:dyDescent="0.3">
      <c r="A19" s="48"/>
      <c r="C19" s="48"/>
      <c r="D19" s="525"/>
      <c r="F19" s="386" t="s">
        <v>1587</v>
      </c>
      <c r="G19" s="529">
        <v>1034269070.97</v>
      </c>
    </row>
    <row r="20" spans="1:7" hidden="1" x14ac:dyDescent="0.25">
      <c r="A20" s="48"/>
      <c r="B20" s="48"/>
      <c r="C20" s="48"/>
      <c r="D20" s="48"/>
    </row>
    <row r="21" spans="1:7" hidden="1" x14ac:dyDescent="0.25">
      <c r="A21" s="48"/>
      <c r="C21" t="s">
        <v>777</v>
      </c>
    </row>
    <row r="22" spans="1:7" hidden="1" x14ac:dyDescent="0.25">
      <c r="A22" s="48"/>
    </row>
    <row r="23" spans="1:7" hidden="1" x14ac:dyDescent="0.25">
      <c r="A23" s="48"/>
      <c r="C23" t="s">
        <v>1593</v>
      </c>
      <c r="D23" s="104"/>
      <c r="G23" s="104">
        <v>22659060</v>
      </c>
    </row>
    <row r="24" spans="1:7" hidden="1" x14ac:dyDescent="0.25">
      <c r="A24" s="48"/>
      <c r="C24" t="s">
        <v>1594</v>
      </c>
      <c r="D24" s="104"/>
      <c r="G24" s="104">
        <v>87500000</v>
      </c>
    </row>
    <row r="25" spans="1:7" hidden="1" x14ac:dyDescent="0.25">
      <c r="A25" s="48"/>
      <c r="C25" t="s">
        <v>1595</v>
      </c>
      <c r="D25" s="104"/>
      <c r="G25" s="104">
        <v>850000</v>
      </c>
    </row>
    <row r="26" spans="1:7" hidden="1" x14ac:dyDescent="0.25">
      <c r="A26" s="48"/>
      <c r="C26" t="s">
        <v>1596</v>
      </c>
      <c r="D26" s="104"/>
      <c r="G26" s="104">
        <v>100000</v>
      </c>
    </row>
    <row r="27" spans="1:7" ht="15.75" hidden="1" thickBot="1" x14ac:dyDescent="0.3">
      <c r="A27" s="48"/>
      <c r="C27" s="48"/>
      <c r="D27" s="525"/>
      <c r="E27" s="48"/>
      <c r="F27" s="386" t="s">
        <v>1587</v>
      </c>
      <c r="G27" s="529">
        <v>111109060</v>
      </c>
    </row>
    <row r="28" spans="1:7" hidden="1" x14ac:dyDescent="0.25">
      <c r="A28" s="48"/>
      <c r="C28" s="48"/>
      <c r="D28" s="525"/>
      <c r="E28" s="48"/>
      <c r="F28" s="48"/>
      <c r="G28" s="525"/>
    </row>
    <row r="29" spans="1:7" hidden="1" x14ac:dyDescent="0.25">
      <c r="A29" s="48"/>
      <c r="B29" s="48"/>
      <c r="C29" s="48"/>
      <c r="D29" s="48"/>
    </row>
    <row r="30" spans="1:7" ht="15.75" hidden="1" thickBot="1" x14ac:dyDescent="0.3">
      <c r="A30" s="48"/>
      <c r="B30" s="48"/>
      <c r="C30" s="48"/>
      <c r="E30" s="386"/>
      <c r="F30" s="530" t="s">
        <v>1597</v>
      </c>
      <c r="G30" s="531">
        <f>G10+G19+G27</f>
        <v>1350502785.97</v>
      </c>
    </row>
    <row r="31" spans="1:7" hidden="1" x14ac:dyDescent="0.25">
      <c r="A31" s="48"/>
      <c r="B31" s="48"/>
      <c r="C31" s="48"/>
      <c r="D31" s="48"/>
    </row>
    <row r="32" spans="1:7" x14ac:dyDescent="0.25">
      <c r="A32" s="48"/>
      <c r="B32" s="48"/>
      <c r="C32" s="48"/>
      <c r="D32" s="48"/>
    </row>
    <row r="33" spans="1:8" ht="15.75" x14ac:dyDescent="0.25">
      <c r="A33" s="48" t="s">
        <v>1598</v>
      </c>
      <c r="B33" s="527" t="s">
        <v>1599</v>
      </c>
      <c r="C33" s="532"/>
      <c r="D33" s="532"/>
    </row>
    <row r="34" spans="1:8" x14ac:dyDescent="0.25">
      <c r="A34" s="48"/>
      <c r="B34" s="48"/>
      <c r="C34" s="48"/>
      <c r="D34" s="48"/>
    </row>
    <row r="35" spans="1:8" x14ac:dyDescent="0.25">
      <c r="A35" s="48"/>
      <c r="B35" s="48"/>
      <c r="C35" s="48" t="s">
        <v>2506</v>
      </c>
      <c r="D35" s="48"/>
    </row>
    <row r="36" spans="1:8" x14ac:dyDescent="0.25">
      <c r="A36" s="48"/>
      <c r="C36" t="s">
        <v>1600</v>
      </c>
      <c r="D36" s="104"/>
      <c r="G36" s="104">
        <v>1000000</v>
      </c>
    </row>
    <row r="37" spans="1:8" x14ac:dyDescent="0.25">
      <c r="A37" s="48"/>
      <c r="C37" s="48" t="s">
        <v>2507</v>
      </c>
      <c r="D37" s="104"/>
      <c r="G37" s="104"/>
    </row>
    <row r="38" spans="1:8" x14ac:dyDescent="0.25">
      <c r="A38" s="48"/>
      <c r="C38" t="s">
        <v>1600</v>
      </c>
      <c r="D38" s="104"/>
      <c r="E38">
        <v>0</v>
      </c>
      <c r="G38" s="104">
        <v>-1000000</v>
      </c>
    </row>
    <row r="39" spans="1:8" ht="15.75" thickBot="1" x14ac:dyDescent="0.3">
      <c r="A39" s="48"/>
      <c r="D39" s="104"/>
      <c r="F39" s="48" t="s">
        <v>1601</v>
      </c>
      <c r="G39" s="529">
        <f>G36+G38</f>
        <v>0</v>
      </c>
      <c r="H39" s="48"/>
    </row>
    <row r="40" spans="1:8" ht="15.75" thickTop="1" x14ac:dyDescent="0.25">
      <c r="A40" s="48"/>
      <c r="D40" s="104"/>
      <c r="G40" s="104"/>
    </row>
    <row r="41" spans="1:8" x14ac:dyDescent="0.25">
      <c r="A41" s="48"/>
      <c r="C41" s="48" t="s">
        <v>2506</v>
      </c>
      <c r="D41" s="104"/>
      <c r="G41" s="104"/>
    </row>
    <row r="42" spans="1:8" x14ac:dyDescent="0.25">
      <c r="A42" s="48"/>
      <c r="C42" t="s">
        <v>1602</v>
      </c>
      <c r="D42" s="104"/>
      <c r="G42" s="104">
        <v>12000000</v>
      </c>
    </row>
    <row r="43" spans="1:8" x14ac:dyDescent="0.25">
      <c r="A43" s="48"/>
      <c r="C43" s="48" t="s">
        <v>2507</v>
      </c>
      <c r="E43" s="104"/>
      <c r="G43" s="104"/>
    </row>
    <row r="44" spans="1:8" x14ac:dyDescent="0.25">
      <c r="A44" s="48"/>
      <c r="C44" t="s">
        <v>1602</v>
      </c>
      <c r="D44" s="104"/>
      <c r="E44">
        <v>0</v>
      </c>
      <c r="G44" s="104">
        <v>-12000000</v>
      </c>
    </row>
    <row r="45" spans="1:8" ht="15.75" thickBot="1" x14ac:dyDescent="0.3">
      <c r="A45" s="48"/>
      <c r="D45" s="104"/>
      <c r="F45" s="48" t="s">
        <v>1601</v>
      </c>
      <c r="G45" s="529">
        <f>G42+G44</f>
        <v>0</v>
      </c>
      <c r="H45" s="48"/>
    </row>
    <row r="46" spans="1:8" ht="15.75" thickTop="1" x14ac:dyDescent="0.25">
      <c r="A46" s="48"/>
      <c r="D46" s="104"/>
      <c r="F46" s="48"/>
      <c r="G46" s="525"/>
      <c r="H46" s="48"/>
    </row>
    <row r="47" spans="1:8" x14ac:dyDescent="0.25">
      <c r="A47" s="48"/>
      <c r="C47" s="48" t="s">
        <v>2506</v>
      </c>
      <c r="D47" s="104"/>
      <c r="G47" s="104"/>
    </row>
    <row r="48" spans="1:8" x14ac:dyDescent="0.25">
      <c r="A48" s="48"/>
      <c r="C48" t="s">
        <v>1603</v>
      </c>
      <c r="D48" s="104"/>
      <c r="G48" s="104">
        <v>2400000</v>
      </c>
    </row>
    <row r="49" spans="1:8" x14ac:dyDescent="0.25">
      <c r="A49" s="48"/>
      <c r="C49" s="48" t="s">
        <v>2508</v>
      </c>
      <c r="D49" s="525"/>
      <c r="G49" s="104"/>
    </row>
    <row r="50" spans="1:8" x14ac:dyDescent="0.25">
      <c r="A50" s="48"/>
      <c r="C50" t="s">
        <v>1603</v>
      </c>
      <c r="D50" s="104"/>
      <c r="G50" s="104">
        <v>1206679.2</v>
      </c>
    </row>
    <row r="51" spans="1:8" x14ac:dyDescent="0.25">
      <c r="A51" s="48"/>
      <c r="C51" s="48" t="s">
        <v>2507</v>
      </c>
      <c r="D51" s="48"/>
    </row>
    <row r="52" spans="1:8" x14ac:dyDescent="0.25">
      <c r="A52" s="48"/>
      <c r="C52" t="s">
        <v>1603</v>
      </c>
      <c r="D52" s="104"/>
      <c r="E52">
        <v>0</v>
      </c>
      <c r="G52" s="104">
        <v>-2400000</v>
      </c>
    </row>
    <row r="53" spans="1:8" ht="15.75" thickBot="1" x14ac:dyDescent="0.3">
      <c r="A53" s="48"/>
      <c r="F53" s="48" t="s">
        <v>1601</v>
      </c>
      <c r="G53" s="529">
        <f>G48+G52+G50</f>
        <v>1206679.2</v>
      </c>
      <c r="H53" s="48"/>
    </row>
    <row r="54" spans="1:8" ht="15.75" thickTop="1" x14ac:dyDescent="0.25">
      <c r="A54" s="48"/>
    </row>
    <row r="55" spans="1:8" x14ac:dyDescent="0.25">
      <c r="A55" s="48"/>
      <c r="C55" s="48" t="s">
        <v>2506</v>
      </c>
      <c r="D55" s="104"/>
    </row>
    <row r="56" spans="1:8" x14ac:dyDescent="0.25">
      <c r="A56" s="48"/>
      <c r="C56" t="s">
        <v>1604</v>
      </c>
      <c r="D56" s="104"/>
      <c r="G56" s="104">
        <v>101650000</v>
      </c>
    </row>
    <row r="57" spans="1:8" x14ac:dyDescent="0.25">
      <c r="A57" s="48"/>
      <c r="C57" s="48" t="s">
        <v>2507</v>
      </c>
      <c r="D57" s="48"/>
      <c r="G57" s="104"/>
    </row>
    <row r="58" spans="1:8" x14ac:dyDescent="0.25">
      <c r="A58" s="48"/>
      <c r="C58" t="s">
        <v>1604</v>
      </c>
      <c r="D58" s="104"/>
      <c r="E58">
        <v>0</v>
      </c>
      <c r="G58" s="104">
        <v>-101650000</v>
      </c>
    </row>
    <row r="59" spans="1:8" ht="15.75" thickBot="1" x14ac:dyDescent="0.3">
      <c r="A59" s="48"/>
      <c r="D59" s="104"/>
      <c r="F59" s="48" t="s">
        <v>1601</v>
      </c>
      <c r="G59" s="529">
        <f>G56+G58</f>
        <v>0</v>
      </c>
      <c r="H59" s="48"/>
    </row>
    <row r="60" spans="1:8" ht="15.75" thickTop="1" x14ac:dyDescent="0.25">
      <c r="A60" s="48"/>
      <c r="D60" s="104"/>
      <c r="F60" s="48"/>
      <c r="G60" s="525"/>
      <c r="H60" s="48"/>
    </row>
    <row r="61" spans="1:8" x14ac:dyDescent="0.25">
      <c r="A61" s="48"/>
      <c r="C61" s="48" t="s">
        <v>2506</v>
      </c>
      <c r="D61" s="104"/>
    </row>
    <row r="62" spans="1:8" x14ac:dyDescent="0.25">
      <c r="A62" s="48"/>
      <c r="C62" t="s">
        <v>1605</v>
      </c>
      <c r="D62" s="104"/>
      <c r="G62" s="104">
        <v>17000000</v>
      </c>
    </row>
    <row r="63" spans="1:8" x14ac:dyDescent="0.25">
      <c r="A63" s="48"/>
      <c r="C63" s="48" t="s">
        <v>2507</v>
      </c>
      <c r="D63" s="48"/>
    </row>
    <row r="64" spans="1:8" x14ac:dyDescent="0.25">
      <c r="A64" s="48"/>
      <c r="C64" t="s">
        <v>1605</v>
      </c>
      <c r="D64" s="104"/>
      <c r="E64">
        <v>0</v>
      </c>
      <c r="G64" s="104">
        <v>-17000000</v>
      </c>
    </row>
    <row r="65" spans="1:8" ht="15.75" thickBot="1" x14ac:dyDescent="0.3">
      <c r="A65" s="48"/>
      <c r="F65" s="48" t="s">
        <v>1601</v>
      </c>
      <c r="G65" s="529">
        <f>G62+G64</f>
        <v>0</v>
      </c>
      <c r="H65" s="48"/>
    </row>
    <row r="66" spans="1:8" ht="15.75" thickTop="1" x14ac:dyDescent="0.25">
      <c r="A66" s="48"/>
    </row>
    <row r="67" spans="1:8" x14ac:dyDescent="0.25">
      <c r="A67" s="48"/>
      <c r="C67" s="48" t="s">
        <v>2506</v>
      </c>
      <c r="D67" s="104"/>
    </row>
    <row r="68" spans="1:8" x14ac:dyDescent="0.25">
      <c r="A68" s="48"/>
      <c r="C68" t="s">
        <v>1606</v>
      </c>
      <c r="D68" s="104"/>
      <c r="G68" s="104">
        <v>15000000</v>
      </c>
    </row>
    <row r="69" spans="1:8" x14ac:dyDescent="0.25">
      <c r="A69" s="48"/>
      <c r="C69" s="48" t="s">
        <v>2507</v>
      </c>
      <c r="D69" s="48"/>
    </row>
    <row r="70" spans="1:8" x14ac:dyDescent="0.25">
      <c r="A70" s="48"/>
      <c r="C70" t="s">
        <v>1607</v>
      </c>
      <c r="D70" s="104"/>
      <c r="E70">
        <v>0</v>
      </c>
      <c r="G70" s="104">
        <v>-15000000</v>
      </c>
    </row>
    <row r="71" spans="1:8" ht="15.75" thickBot="1" x14ac:dyDescent="0.3">
      <c r="A71" s="48"/>
      <c r="F71" s="48" t="s">
        <v>1601</v>
      </c>
      <c r="G71" s="529">
        <f>G68+G70</f>
        <v>0</v>
      </c>
      <c r="H71" s="48"/>
    </row>
    <row r="72" spans="1:8" ht="15.75" thickTop="1" x14ac:dyDescent="0.25">
      <c r="A72" s="48"/>
    </row>
    <row r="73" spans="1:8" x14ac:dyDescent="0.25">
      <c r="A73" s="48"/>
      <c r="C73" s="48" t="s">
        <v>2506</v>
      </c>
      <c r="D73" s="104"/>
    </row>
    <row r="74" spans="1:8" x14ac:dyDescent="0.25">
      <c r="A74" s="48"/>
      <c r="C74" t="s">
        <v>1608</v>
      </c>
      <c r="D74" s="104"/>
      <c r="G74" s="104">
        <v>193620979</v>
      </c>
    </row>
    <row r="75" spans="1:8" x14ac:dyDescent="0.25">
      <c r="A75" s="48"/>
      <c r="C75" s="48" t="s">
        <v>2507</v>
      </c>
      <c r="D75" s="48"/>
    </row>
    <row r="76" spans="1:8" x14ac:dyDescent="0.25">
      <c r="A76" s="48"/>
      <c r="C76" t="s">
        <v>1608</v>
      </c>
      <c r="D76" s="104"/>
      <c r="E76">
        <v>0</v>
      </c>
      <c r="G76" s="104">
        <v>-193620979</v>
      </c>
    </row>
    <row r="77" spans="1:8" ht="15.75" thickBot="1" x14ac:dyDescent="0.3">
      <c r="A77" s="48"/>
      <c r="F77" s="48" t="s">
        <v>1601</v>
      </c>
      <c r="G77" s="529">
        <f>G74+G76</f>
        <v>0</v>
      </c>
    </row>
    <row r="78" spans="1:8" ht="15.75" thickTop="1" x14ac:dyDescent="0.25">
      <c r="A78" s="48"/>
    </row>
    <row r="79" spans="1:8" x14ac:dyDescent="0.25">
      <c r="A79" s="48"/>
      <c r="C79" s="48" t="s">
        <v>2506</v>
      </c>
      <c r="D79" s="104"/>
    </row>
    <row r="80" spans="1:8" x14ac:dyDescent="0.25">
      <c r="A80" s="48"/>
      <c r="C80" t="s">
        <v>1609</v>
      </c>
      <c r="D80" s="104"/>
      <c r="G80" s="104">
        <v>65435000</v>
      </c>
    </row>
    <row r="81" spans="1:8" x14ac:dyDescent="0.25">
      <c r="A81" s="48"/>
      <c r="C81" s="48" t="s">
        <v>2507</v>
      </c>
      <c r="D81" s="48"/>
    </row>
    <row r="82" spans="1:8" x14ac:dyDescent="0.25">
      <c r="A82" s="48"/>
      <c r="C82" t="s">
        <v>1609</v>
      </c>
      <c r="D82" s="104"/>
      <c r="E82">
        <v>0</v>
      </c>
      <c r="G82" s="104">
        <v>-65435000</v>
      </c>
    </row>
    <row r="83" spans="1:8" ht="15.75" thickBot="1" x14ac:dyDescent="0.3">
      <c r="A83" s="48"/>
      <c r="F83" s="48" t="s">
        <v>1601</v>
      </c>
      <c r="G83" s="529">
        <f>G80+G82</f>
        <v>0</v>
      </c>
    </row>
    <row r="84" spans="1:8" ht="15.75" thickTop="1" x14ac:dyDescent="0.25">
      <c r="A84" s="48"/>
      <c r="F84" s="48"/>
      <c r="G84" s="48"/>
    </row>
    <row r="85" spans="1:8" x14ac:dyDescent="0.25">
      <c r="A85" s="48"/>
      <c r="C85" s="48" t="s">
        <v>2506</v>
      </c>
      <c r="D85" s="104"/>
    </row>
    <row r="86" spans="1:8" x14ac:dyDescent="0.25">
      <c r="A86" s="48"/>
      <c r="C86" t="s">
        <v>1610</v>
      </c>
      <c r="D86" s="104"/>
      <c r="G86" s="104">
        <v>1000000</v>
      </c>
    </row>
    <row r="87" spans="1:8" x14ac:dyDescent="0.25">
      <c r="A87" s="48"/>
      <c r="C87" s="48" t="s">
        <v>2507</v>
      </c>
      <c r="D87" s="48"/>
    </row>
    <row r="88" spans="1:8" x14ac:dyDescent="0.25">
      <c r="A88" s="48"/>
      <c r="C88" t="s">
        <v>1610</v>
      </c>
      <c r="D88" s="104"/>
      <c r="E88">
        <v>0</v>
      </c>
      <c r="G88" s="104">
        <v>-1000000</v>
      </c>
    </row>
    <row r="89" spans="1:8" ht="15.75" thickBot="1" x14ac:dyDescent="0.3">
      <c r="A89" s="48"/>
      <c r="F89" s="48" t="s">
        <v>1601</v>
      </c>
      <c r="G89" s="529">
        <f>G86+G88</f>
        <v>0</v>
      </c>
    </row>
    <row r="90" spans="1:8" ht="15.75" thickTop="1" x14ac:dyDescent="0.25">
      <c r="A90" s="48"/>
    </row>
    <row r="91" spans="1:8" x14ac:dyDescent="0.25">
      <c r="A91" s="48"/>
      <c r="C91" s="48" t="s">
        <v>2506</v>
      </c>
      <c r="D91" s="104"/>
    </row>
    <row r="92" spans="1:8" x14ac:dyDescent="0.25">
      <c r="A92" s="48"/>
      <c r="C92" t="s">
        <v>1611</v>
      </c>
      <c r="D92" s="104"/>
      <c r="G92" s="104">
        <v>4000000</v>
      </c>
    </row>
    <row r="93" spans="1:8" x14ac:dyDescent="0.25">
      <c r="A93" s="48"/>
      <c r="C93" s="48" t="s">
        <v>2507</v>
      </c>
      <c r="D93" s="48"/>
    </row>
    <row r="94" spans="1:8" x14ac:dyDescent="0.25">
      <c r="A94" s="48"/>
      <c r="C94" t="s">
        <v>1611</v>
      </c>
      <c r="D94" s="104"/>
      <c r="E94">
        <v>0</v>
      </c>
      <c r="G94" s="104">
        <v>-4000000</v>
      </c>
    </row>
    <row r="95" spans="1:8" ht="15.75" thickBot="1" x14ac:dyDescent="0.3">
      <c r="A95" s="48"/>
      <c r="F95" s="48" t="s">
        <v>1601</v>
      </c>
      <c r="G95" s="529">
        <f>G92+G94</f>
        <v>0</v>
      </c>
      <c r="H95" s="48"/>
    </row>
    <row r="96" spans="1:8" ht="15.75" thickTop="1" x14ac:dyDescent="0.25">
      <c r="A96" s="48"/>
    </row>
    <row r="97" spans="1:7" x14ac:dyDescent="0.25">
      <c r="A97" s="48"/>
      <c r="C97" s="48" t="s">
        <v>2506</v>
      </c>
      <c r="D97" s="104"/>
    </row>
    <row r="98" spans="1:7" x14ac:dyDescent="0.25">
      <c r="A98" s="48"/>
      <c r="C98" t="s">
        <v>1612</v>
      </c>
      <c r="D98" s="104"/>
      <c r="G98" s="104">
        <v>172900000</v>
      </c>
    </row>
    <row r="99" spans="1:7" x14ac:dyDescent="0.25">
      <c r="A99" s="48"/>
      <c r="D99" s="104"/>
      <c r="G99" s="104"/>
    </row>
    <row r="100" spans="1:7" x14ac:dyDescent="0.25">
      <c r="A100" s="48"/>
      <c r="C100" s="48" t="s">
        <v>2507</v>
      </c>
      <c r="D100" s="48"/>
    </row>
    <row r="101" spans="1:7" x14ac:dyDescent="0.25">
      <c r="A101" s="48"/>
      <c r="C101" t="s">
        <v>1612</v>
      </c>
      <c r="D101" s="104"/>
      <c r="E101">
        <v>0</v>
      </c>
      <c r="G101" s="104">
        <v>-172900000</v>
      </c>
    </row>
    <row r="102" spans="1:7" ht="15.75" thickBot="1" x14ac:dyDescent="0.3">
      <c r="A102" s="48"/>
      <c r="F102" t="s">
        <v>1601</v>
      </c>
      <c r="G102" s="533">
        <f>G98+G101</f>
        <v>0</v>
      </c>
    </row>
    <row r="103" spans="1:7" ht="15.75" thickTop="1" x14ac:dyDescent="0.25">
      <c r="A103" s="48"/>
      <c r="G103" s="104"/>
    </row>
    <row r="104" spans="1:7" x14ac:dyDescent="0.25">
      <c r="A104" s="48"/>
      <c r="C104" s="48" t="s">
        <v>2506</v>
      </c>
      <c r="D104" s="104"/>
      <c r="G104" s="104"/>
    </row>
    <row r="105" spans="1:7" x14ac:dyDescent="0.25">
      <c r="A105" s="48"/>
      <c r="C105" t="s">
        <v>1613</v>
      </c>
      <c r="D105" s="104"/>
      <c r="G105" s="104">
        <v>1712.75</v>
      </c>
    </row>
    <row r="106" spans="1:7" x14ac:dyDescent="0.25">
      <c r="A106" s="48"/>
      <c r="C106" s="48" t="s">
        <v>2507</v>
      </c>
      <c r="D106" s="48"/>
      <c r="G106" s="104"/>
    </row>
    <row r="107" spans="1:7" x14ac:dyDescent="0.25">
      <c r="A107" s="48"/>
      <c r="C107" t="s">
        <v>1613</v>
      </c>
      <c r="D107" s="104"/>
      <c r="G107" s="104">
        <v>-1711.75</v>
      </c>
    </row>
    <row r="108" spans="1:7" ht="15.75" thickBot="1" x14ac:dyDescent="0.3">
      <c r="A108" s="48"/>
      <c r="F108" s="48" t="s">
        <v>1601</v>
      </c>
      <c r="G108" s="529">
        <f>G105+G107</f>
        <v>1</v>
      </c>
    </row>
    <row r="109" spans="1:7" ht="15.75" thickTop="1" x14ac:dyDescent="0.25">
      <c r="A109" s="48"/>
    </row>
    <row r="110" spans="1:7" x14ac:dyDescent="0.25">
      <c r="A110" s="48"/>
      <c r="C110" s="48" t="s">
        <v>2505</v>
      </c>
    </row>
    <row r="111" spans="1:7" x14ac:dyDescent="0.25">
      <c r="A111" s="48"/>
      <c r="C111" t="s">
        <v>1614</v>
      </c>
      <c r="D111" s="104"/>
      <c r="G111" s="104">
        <v>1000000</v>
      </c>
    </row>
    <row r="112" spans="1:7" x14ac:dyDescent="0.25">
      <c r="A112" s="48"/>
      <c r="C112" t="s">
        <v>1615</v>
      </c>
      <c r="D112" s="104"/>
      <c r="G112" s="104">
        <v>120000000</v>
      </c>
    </row>
    <row r="113" spans="1:9" x14ac:dyDescent="0.25">
      <c r="A113" s="48"/>
      <c r="C113" t="s">
        <v>1616</v>
      </c>
      <c r="D113" s="104"/>
      <c r="G113" s="104">
        <v>20000</v>
      </c>
    </row>
    <row r="114" spans="1:9" x14ac:dyDescent="0.25">
      <c r="A114" s="48"/>
      <c r="C114" t="s">
        <v>1617</v>
      </c>
      <c r="D114" s="104"/>
      <c r="G114" s="104">
        <v>58800000</v>
      </c>
    </row>
    <row r="115" spans="1:9" x14ac:dyDescent="0.25">
      <c r="A115" s="48"/>
      <c r="C115" t="s">
        <v>1618</v>
      </c>
      <c r="D115" s="104"/>
      <c r="G115" s="104">
        <v>25000000</v>
      </c>
    </row>
    <row r="116" spans="1:9" x14ac:dyDescent="0.25">
      <c r="A116" s="48"/>
    </row>
    <row r="117" spans="1:9" ht="15.75" thickBot="1" x14ac:dyDescent="0.3">
      <c r="A117" s="48"/>
      <c r="D117" s="104"/>
      <c r="F117" s="386" t="s">
        <v>1587</v>
      </c>
      <c r="G117" s="529">
        <f>SUM(G111:G116)</f>
        <v>204820000</v>
      </c>
    </row>
    <row r="118" spans="1:9" ht="15.75" thickTop="1" x14ac:dyDescent="0.25">
      <c r="A118" s="48"/>
      <c r="D118" s="104"/>
      <c r="G118" s="104"/>
    </row>
    <row r="119" spans="1:9" x14ac:dyDescent="0.25">
      <c r="A119" s="48"/>
      <c r="C119" s="48" t="s">
        <v>935</v>
      </c>
      <c r="G119" s="50"/>
    </row>
    <row r="120" spans="1:9" x14ac:dyDescent="0.25">
      <c r="A120" s="48"/>
      <c r="C120" t="s">
        <v>1615</v>
      </c>
      <c r="D120" s="104"/>
      <c r="G120" s="104">
        <v>30103662.059999999</v>
      </c>
    </row>
    <row r="121" spans="1:9" x14ac:dyDescent="0.25">
      <c r="A121" s="48"/>
      <c r="C121" t="s">
        <v>1616</v>
      </c>
      <c r="D121" s="104"/>
      <c r="G121" s="104">
        <v>56978239.539999999</v>
      </c>
    </row>
    <row r="122" spans="1:9" x14ac:dyDescent="0.25">
      <c r="A122" s="48"/>
      <c r="C122" t="s">
        <v>1617</v>
      </c>
      <c r="D122" s="104"/>
      <c r="G122" s="104">
        <v>855415.4</v>
      </c>
    </row>
    <row r="123" spans="1:9" x14ac:dyDescent="0.25">
      <c r="A123" s="48"/>
      <c r="C123" t="s">
        <v>1618</v>
      </c>
      <c r="D123" s="104"/>
      <c r="G123" s="104">
        <v>-18654126.600000001</v>
      </c>
    </row>
    <row r="124" spans="1:9" ht="15.75" thickBot="1" x14ac:dyDescent="0.3">
      <c r="A124" s="48"/>
      <c r="D124" s="104"/>
      <c r="F124" s="386" t="s">
        <v>1587</v>
      </c>
      <c r="G124" s="529">
        <f>SUM(G119:G123)</f>
        <v>69283190.400000006</v>
      </c>
    </row>
    <row r="125" spans="1:9" ht="15.75" thickTop="1" x14ac:dyDescent="0.25">
      <c r="A125" s="48"/>
      <c r="D125" s="104"/>
      <c r="G125" s="525"/>
    </row>
    <row r="126" spans="1:9" x14ac:dyDescent="0.25">
      <c r="A126" s="48"/>
      <c r="B126" s="48"/>
      <c r="C126" s="48"/>
      <c r="D126" s="48"/>
    </row>
    <row r="127" spans="1:9" ht="15.75" thickBot="1" x14ac:dyDescent="0.3">
      <c r="A127" s="48"/>
      <c r="B127" s="48"/>
      <c r="C127" s="48"/>
      <c r="D127" s="532" t="s">
        <v>1619</v>
      </c>
      <c r="E127" s="534" t="s">
        <v>1601</v>
      </c>
      <c r="F127" s="534"/>
      <c r="G127" s="531">
        <f>G39+G45+G53+G59+G65+G77+G83+G89+G95+G102+G108+G117+G124</f>
        <v>275309870.60000002</v>
      </c>
      <c r="H127" s="535">
        <f>'balance sheet'!C25</f>
        <v>275309870.60000002</v>
      </c>
      <c r="I127" s="179">
        <f>G127-H127</f>
        <v>0</v>
      </c>
    </row>
    <row r="128" spans="1:9" ht="15.75" thickTop="1" x14ac:dyDescent="0.25">
      <c r="A128" s="48"/>
      <c r="B128" s="48"/>
      <c r="C128" s="48"/>
      <c r="D128" s="48"/>
      <c r="G128" s="525"/>
      <c r="H128" s="179"/>
      <c r="I128" s="179"/>
    </row>
    <row r="129" spans="1:7" x14ac:dyDescent="0.25">
      <c r="A129" s="48"/>
      <c r="B129" s="48"/>
      <c r="C129" s="48"/>
      <c r="D129" s="48"/>
      <c r="G129" s="525"/>
    </row>
    <row r="130" spans="1:7" x14ac:dyDescent="0.25">
      <c r="A130" s="48"/>
      <c r="B130" s="48"/>
      <c r="C130" s="48"/>
      <c r="D130" s="48"/>
    </row>
    <row r="131" spans="1:7" ht="15.75" x14ac:dyDescent="0.25">
      <c r="A131" s="48" t="s">
        <v>1620</v>
      </c>
      <c r="B131" s="527" t="s">
        <v>50</v>
      </c>
      <c r="C131" s="532"/>
      <c r="D131" s="532"/>
    </row>
    <row r="132" spans="1:7" x14ac:dyDescent="0.25">
      <c r="A132" s="48"/>
      <c r="B132" s="48"/>
      <c r="C132" s="48"/>
      <c r="D132" s="48"/>
    </row>
    <row r="133" spans="1:7" x14ac:dyDescent="0.25">
      <c r="A133" s="48"/>
      <c r="B133" s="48"/>
      <c r="C133" s="48" t="s">
        <v>2509</v>
      </c>
      <c r="D133" s="48"/>
    </row>
    <row r="134" spans="1:7" x14ac:dyDescent="0.25">
      <c r="A134" s="48"/>
      <c r="C134" t="s">
        <v>1621</v>
      </c>
      <c r="D134" s="104"/>
      <c r="E134">
        <v>0</v>
      </c>
      <c r="G134" s="104">
        <v>900000000</v>
      </c>
    </row>
    <row r="135" spans="1:7" x14ac:dyDescent="0.25">
      <c r="A135" s="48"/>
      <c r="C135" s="48" t="s">
        <v>2510</v>
      </c>
      <c r="D135" s="48"/>
      <c r="G135" s="104"/>
    </row>
    <row r="136" spans="1:7" x14ac:dyDescent="0.25">
      <c r="A136" s="48"/>
      <c r="C136" t="s">
        <v>1621</v>
      </c>
      <c r="D136" s="104"/>
      <c r="E136">
        <v>0</v>
      </c>
      <c r="G136" s="104">
        <v>-900000000</v>
      </c>
    </row>
    <row r="137" spans="1:7" ht="15.75" thickBot="1" x14ac:dyDescent="0.3">
      <c r="A137" s="48"/>
      <c r="F137" s="48" t="s">
        <v>1601</v>
      </c>
      <c r="G137" s="529">
        <f>G134+G136</f>
        <v>0</v>
      </c>
    </row>
    <row r="138" spans="1:7" ht="15.75" thickTop="1" x14ac:dyDescent="0.25">
      <c r="A138" s="48"/>
      <c r="G138" s="104"/>
    </row>
    <row r="139" spans="1:7" x14ac:dyDescent="0.25">
      <c r="A139" s="48"/>
      <c r="C139" s="48" t="s">
        <v>2509</v>
      </c>
      <c r="D139" s="48"/>
      <c r="G139" s="104"/>
    </row>
    <row r="140" spans="1:7" x14ac:dyDescent="0.25">
      <c r="A140" s="48"/>
      <c r="C140" t="s">
        <v>1622</v>
      </c>
      <c r="D140" s="104"/>
      <c r="E140">
        <v>0</v>
      </c>
      <c r="G140" s="104">
        <v>330987000</v>
      </c>
    </row>
    <row r="141" spans="1:7" x14ac:dyDescent="0.25">
      <c r="A141" s="48"/>
      <c r="C141" s="48" t="s">
        <v>2510</v>
      </c>
      <c r="D141" s="48"/>
      <c r="G141" s="104"/>
    </row>
    <row r="142" spans="1:7" x14ac:dyDescent="0.25">
      <c r="A142" s="48"/>
      <c r="C142" t="s">
        <v>1622</v>
      </c>
      <c r="D142" s="104"/>
      <c r="E142">
        <v>0</v>
      </c>
      <c r="G142" s="104">
        <v>-330987000</v>
      </c>
    </row>
    <row r="143" spans="1:7" ht="15.75" thickBot="1" x14ac:dyDescent="0.3">
      <c r="A143" s="48"/>
      <c r="F143" s="48" t="s">
        <v>1601</v>
      </c>
      <c r="G143" s="529">
        <f>G140+G142</f>
        <v>0</v>
      </c>
    </row>
    <row r="144" spans="1:7" ht="15.75" thickTop="1" x14ac:dyDescent="0.25">
      <c r="A144" s="48"/>
      <c r="F144" s="48"/>
      <c r="G144" s="525"/>
    </row>
    <row r="145" spans="1:7" x14ac:dyDescent="0.25">
      <c r="A145" s="48"/>
      <c r="C145" s="48" t="s">
        <v>2509</v>
      </c>
      <c r="F145" s="48"/>
      <c r="G145" s="525"/>
    </row>
    <row r="146" spans="1:7" x14ac:dyDescent="0.25">
      <c r="A146" s="48"/>
      <c r="C146" t="s">
        <v>1623</v>
      </c>
      <c r="D146" s="104"/>
      <c r="E146">
        <v>0</v>
      </c>
      <c r="G146" s="104">
        <v>8845038.5</v>
      </c>
    </row>
    <row r="147" spans="1:7" x14ac:dyDescent="0.25">
      <c r="A147" s="48"/>
      <c r="C147" s="48" t="s">
        <v>2510</v>
      </c>
      <c r="D147" s="48"/>
      <c r="G147" s="104"/>
    </row>
    <row r="148" spans="1:7" x14ac:dyDescent="0.25">
      <c r="A148" s="48"/>
      <c r="C148" t="s">
        <v>1623</v>
      </c>
      <c r="D148" s="104"/>
      <c r="E148">
        <v>0</v>
      </c>
      <c r="G148" s="104">
        <v>-8845038.5</v>
      </c>
    </row>
    <row r="149" spans="1:7" ht="15.75" thickBot="1" x14ac:dyDescent="0.3">
      <c r="A149" s="48"/>
      <c r="F149" s="48" t="s">
        <v>1601</v>
      </c>
      <c r="G149" s="529">
        <f>G146+G148</f>
        <v>0</v>
      </c>
    </row>
    <row r="150" spans="1:7" ht="15.75" thickTop="1" x14ac:dyDescent="0.25">
      <c r="A150" s="48"/>
      <c r="G150" s="104"/>
    </row>
    <row r="151" spans="1:7" x14ac:dyDescent="0.25">
      <c r="A151" s="48"/>
      <c r="C151" s="48" t="s">
        <v>2509</v>
      </c>
      <c r="G151" s="104"/>
    </row>
    <row r="152" spans="1:7" x14ac:dyDescent="0.25">
      <c r="A152" s="48"/>
      <c r="C152" t="s">
        <v>1624</v>
      </c>
      <c r="D152" s="104"/>
      <c r="E152">
        <v>0</v>
      </c>
      <c r="G152" s="104">
        <v>80000000</v>
      </c>
    </row>
    <row r="153" spans="1:7" x14ac:dyDescent="0.25">
      <c r="A153" s="48"/>
      <c r="C153" s="48" t="s">
        <v>2510</v>
      </c>
      <c r="D153" s="48"/>
      <c r="G153" s="104"/>
    </row>
    <row r="154" spans="1:7" x14ac:dyDescent="0.25">
      <c r="A154" s="48"/>
      <c r="C154" t="s">
        <v>1624</v>
      </c>
      <c r="D154" s="104"/>
      <c r="E154">
        <v>0</v>
      </c>
      <c r="G154" s="104">
        <v>-30000000</v>
      </c>
    </row>
    <row r="155" spans="1:7" ht="15.75" thickBot="1" x14ac:dyDescent="0.3">
      <c r="A155" s="48"/>
      <c r="F155" s="48" t="s">
        <v>1601</v>
      </c>
      <c r="G155" s="529">
        <f>G152+G154</f>
        <v>50000000</v>
      </c>
    </row>
    <row r="156" spans="1:7" ht="15.75" thickTop="1" x14ac:dyDescent="0.25">
      <c r="A156" s="48"/>
      <c r="G156" s="104"/>
    </row>
    <row r="157" spans="1:7" x14ac:dyDescent="0.25">
      <c r="A157" s="48"/>
      <c r="G157" s="104"/>
    </row>
    <row r="158" spans="1:7" x14ac:dyDescent="0.25">
      <c r="A158" s="48"/>
      <c r="C158" s="48" t="s">
        <v>2509</v>
      </c>
      <c r="D158" s="104"/>
      <c r="G158" s="104"/>
    </row>
    <row r="159" spans="1:7" x14ac:dyDescent="0.25">
      <c r="A159" s="48"/>
      <c r="C159" t="s">
        <v>1625</v>
      </c>
      <c r="D159" s="104"/>
      <c r="E159">
        <v>0</v>
      </c>
      <c r="G159" s="104">
        <v>55659300</v>
      </c>
    </row>
    <row r="160" spans="1:7" x14ac:dyDescent="0.25">
      <c r="A160" s="48"/>
      <c r="C160" t="s">
        <v>1626</v>
      </c>
      <c r="D160" s="104"/>
      <c r="E160">
        <v>0</v>
      </c>
      <c r="G160" s="104">
        <v>13084200</v>
      </c>
    </row>
    <row r="161" spans="1:9" x14ac:dyDescent="0.25">
      <c r="A161" s="48"/>
      <c r="C161" t="s">
        <v>1627</v>
      </c>
      <c r="D161" s="104"/>
      <c r="E161">
        <v>0</v>
      </c>
      <c r="G161" s="104">
        <v>7447000</v>
      </c>
    </row>
    <row r="162" spans="1:9" x14ac:dyDescent="0.25">
      <c r="A162" s="48"/>
      <c r="C162" t="s">
        <v>1628</v>
      </c>
      <c r="D162" s="104"/>
      <c r="E162">
        <v>0</v>
      </c>
      <c r="G162" s="104">
        <v>74616000</v>
      </c>
    </row>
    <row r="163" spans="1:9" x14ac:dyDescent="0.25">
      <c r="A163" s="48"/>
      <c r="C163" t="s">
        <v>1629</v>
      </c>
      <c r="D163" s="104"/>
      <c r="E163">
        <v>0</v>
      </c>
      <c r="G163" s="104">
        <v>199000000</v>
      </c>
    </row>
    <row r="164" spans="1:9" x14ac:dyDescent="0.25">
      <c r="A164" s="48"/>
      <c r="C164" t="s">
        <v>1630</v>
      </c>
      <c r="D164" s="104"/>
      <c r="E164">
        <v>0</v>
      </c>
      <c r="G164" s="104">
        <v>2508629.59</v>
      </c>
    </row>
    <row r="165" spans="1:9" ht="15.75" thickBot="1" x14ac:dyDescent="0.3">
      <c r="D165" s="104"/>
      <c r="E165">
        <v>0</v>
      </c>
      <c r="F165" s="386" t="s">
        <v>1587</v>
      </c>
      <c r="G165" s="529">
        <f>SUM(G159:G164)</f>
        <v>352315129.58999997</v>
      </c>
    </row>
    <row r="166" spans="1:9" ht="15.75" thickTop="1" x14ac:dyDescent="0.25">
      <c r="D166" s="104"/>
      <c r="G166" s="104"/>
    </row>
    <row r="167" spans="1:9" x14ac:dyDescent="0.25">
      <c r="D167" s="104"/>
      <c r="G167" s="104"/>
    </row>
    <row r="168" spans="1:9" ht="15.75" thickBot="1" x14ac:dyDescent="0.3">
      <c r="D168" s="532" t="s">
        <v>1631</v>
      </c>
      <c r="G168" s="531">
        <f>G137+G143+G149+G155+G165</f>
        <v>402315129.58999997</v>
      </c>
      <c r="H168" s="103">
        <f>'balance sheet'!C26</f>
        <v>402315128.58999991</v>
      </c>
      <c r="I168" s="104">
        <f>G168-H168</f>
        <v>1.0000000596046448</v>
      </c>
    </row>
    <row r="169" spans="1:9" ht="15.75" thickTop="1" x14ac:dyDescent="0.25">
      <c r="D169" s="104"/>
      <c r="G169" s="104"/>
    </row>
    <row r="170" spans="1:9" x14ac:dyDescent="0.25">
      <c r="D170" s="104"/>
      <c r="G170" s="104"/>
    </row>
    <row r="171" spans="1:9" ht="15.75" x14ac:dyDescent="0.25">
      <c r="A171" s="48" t="s">
        <v>1632</v>
      </c>
      <c r="B171" s="527" t="s">
        <v>262</v>
      </c>
      <c r="C171" s="532"/>
      <c r="D171" s="532"/>
      <c r="G171" s="104"/>
    </row>
    <row r="172" spans="1:9" ht="15.75" x14ac:dyDescent="0.25">
      <c r="A172" s="48"/>
      <c r="B172" s="527"/>
      <c r="C172" s="532"/>
      <c r="D172" s="532"/>
      <c r="G172" s="104"/>
    </row>
    <row r="173" spans="1:9" x14ac:dyDescent="0.25">
      <c r="C173" s="48" t="s">
        <v>2511</v>
      </c>
      <c r="D173" s="525"/>
      <c r="G173" s="104"/>
    </row>
    <row r="174" spans="1:9" x14ac:dyDescent="0.25">
      <c r="C174" t="s">
        <v>1633</v>
      </c>
      <c r="D174" s="104"/>
      <c r="E174">
        <v>0</v>
      </c>
      <c r="F174">
        <v>0</v>
      </c>
      <c r="G174" s="104">
        <v>10000000</v>
      </c>
    </row>
    <row r="175" spans="1:9" x14ac:dyDescent="0.25">
      <c r="C175" s="48" t="s">
        <v>2512</v>
      </c>
      <c r="D175" s="48"/>
      <c r="G175" s="104"/>
    </row>
    <row r="176" spans="1:9" x14ac:dyDescent="0.25">
      <c r="C176" t="s">
        <v>1633</v>
      </c>
      <c r="D176" s="104"/>
      <c r="E176">
        <v>0</v>
      </c>
      <c r="G176" s="104">
        <v>-10000000</v>
      </c>
    </row>
    <row r="177" spans="3:8" ht="15.75" thickBot="1" x14ac:dyDescent="0.3">
      <c r="D177" s="104"/>
      <c r="F177" s="48" t="s">
        <v>1601</v>
      </c>
      <c r="G177" s="529">
        <f>G174+G176</f>
        <v>0</v>
      </c>
    </row>
    <row r="178" spans="3:8" ht="15.75" thickTop="1" x14ac:dyDescent="0.25">
      <c r="D178" s="104"/>
      <c r="G178" s="104"/>
    </row>
    <row r="179" spans="3:8" x14ac:dyDescent="0.25">
      <c r="C179" s="48" t="s">
        <v>2511</v>
      </c>
      <c r="D179" s="104"/>
      <c r="G179" s="104"/>
    </row>
    <row r="180" spans="3:8" x14ac:dyDescent="0.25">
      <c r="C180" t="s">
        <v>1634</v>
      </c>
      <c r="D180" s="104"/>
      <c r="E180">
        <v>0</v>
      </c>
      <c r="F180">
        <v>0</v>
      </c>
      <c r="G180" s="104">
        <v>1819272909.0799999</v>
      </c>
    </row>
    <row r="181" spans="3:8" x14ac:dyDescent="0.25">
      <c r="C181" s="48" t="s">
        <v>2512</v>
      </c>
      <c r="D181" s="48"/>
      <c r="G181" s="104"/>
    </row>
    <row r="182" spans="3:8" x14ac:dyDescent="0.25">
      <c r="C182" t="s">
        <v>1634</v>
      </c>
      <c r="D182" s="104"/>
      <c r="E182">
        <v>0</v>
      </c>
      <c r="G182" s="104">
        <v>-1819272909.0799999</v>
      </c>
    </row>
    <row r="183" spans="3:8" ht="15.75" thickBot="1" x14ac:dyDescent="0.3">
      <c r="D183" s="104"/>
      <c r="F183" s="48" t="s">
        <v>1601</v>
      </c>
      <c r="G183" s="529">
        <f>G180+G182</f>
        <v>0</v>
      </c>
    </row>
    <row r="184" spans="3:8" ht="15.75" thickTop="1" x14ac:dyDescent="0.25">
      <c r="D184" s="104"/>
      <c r="G184" s="104"/>
    </row>
    <row r="185" spans="3:8" x14ac:dyDescent="0.25">
      <c r="C185" s="48" t="s">
        <v>2511</v>
      </c>
      <c r="D185" s="104"/>
      <c r="G185" s="104"/>
    </row>
    <row r="186" spans="3:8" x14ac:dyDescent="0.25">
      <c r="C186" t="s">
        <v>1635</v>
      </c>
      <c r="D186" s="104"/>
      <c r="E186">
        <v>0</v>
      </c>
      <c r="F186">
        <v>0</v>
      </c>
      <c r="G186" s="104">
        <v>15000000</v>
      </c>
    </row>
    <row r="187" spans="3:8" x14ac:dyDescent="0.25">
      <c r="C187" s="48" t="s">
        <v>2512</v>
      </c>
      <c r="D187" s="48"/>
      <c r="G187" s="104"/>
    </row>
    <row r="188" spans="3:8" x14ac:dyDescent="0.25">
      <c r="C188" t="s">
        <v>1635</v>
      </c>
      <c r="D188" s="104"/>
      <c r="E188">
        <v>0</v>
      </c>
      <c r="G188" s="104">
        <v>-15000000</v>
      </c>
    </row>
    <row r="189" spans="3:8" ht="15.75" thickBot="1" x14ac:dyDescent="0.3">
      <c r="D189" s="104"/>
      <c r="F189" s="48" t="s">
        <v>1601</v>
      </c>
      <c r="G189" s="529">
        <f>G186+G188</f>
        <v>0</v>
      </c>
      <c r="H189" s="48"/>
    </row>
    <row r="190" spans="3:8" ht="15.75" thickTop="1" x14ac:dyDescent="0.25">
      <c r="D190" s="104"/>
      <c r="G190" s="104"/>
    </row>
    <row r="191" spans="3:8" x14ac:dyDescent="0.25">
      <c r="C191" s="48" t="s">
        <v>2511</v>
      </c>
      <c r="D191" s="104"/>
      <c r="G191" s="104"/>
    </row>
    <row r="192" spans="3:8" x14ac:dyDescent="0.25">
      <c r="C192" t="s">
        <v>1636</v>
      </c>
      <c r="D192" s="104"/>
      <c r="E192">
        <v>0</v>
      </c>
      <c r="F192">
        <v>0</v>
      </c>
      <c r="G192" s="104">
        <v>106605963.68000001</v>
      </c>
    </row>
    <row r="193" spans="3:7" x14ac:dyDescent="0.25">
      <c r="C193" s="48" t="s">
        <v>2512</v>
      </c>
      <c r="D193" s="48"/>
      <c r="G193" s="104"/>
    </row>
    <row r="194" spans="3:7" x14ac:dyDescent="0.25">
      <c r="C194" t="s">
        <v>1637</v>
      </c>
      <c r="D194" s="104"/>
      <c r="E194">
        <v>0</v>
      </c>
      <c r="G194" s="104">
        <v>-106605963.68000001</v>
      </c>
    </row>
    <row r="195" spans="3:7" ht="15.75" thickBot="1" x14ac:dyDescent="0.3">
      <c r="D195" s="104"/>
      <c r="F195" s="48" t="s">
        <v>1601</v>
      </c>
      <c r="G195" s="529">
        <f>G192+G194</f>
        <v>0</v>
      </c>
    </row>
    <row r="196" spans="3:7" ht="15.75" thickTop="1" x14ac:dyDescent="0.25">
      <c r="D196" s="104"/>
      <c r="G196" s="104"/>
    </row>
    <row r="197" spans="3:7" x14ac:dyDescent="0.25">
      <c r="C197" s="48" t="s">
        <v>2511</v>
      </c>
      <c r="D197" s="104"/>
      <c r="G197" s="104"/>
    </row>
    <row r="198" spans="3:7" x14ac:dyDescent="0.25">
      <c r="C198" t="s">
        <v>1638</v>
      </c>
      <c r="D198" s="104"/>
      <c r="E198">
        <v>0</v>
      </c>
      <c r="G198" s="104">
        <v>6474300</v>
      </c>
    </row>
    <row r="199" spans="3:7" x14ac:dyDescent="0.25">
      <c r="C199" s="48" t="s">
        <v>2512</v>
      </c>
      <c r="D199" s="48"/>
      <c r="G199" s="104"/>
    </row>
    <row r="200" spans="3:7" x14ac:dyDescent="0.25">
      <c r="C200" t="s">
        <v>1639</v>
      </c>
      <c r="D200" s="104"/>
      <c r="E200">
        <v>0</v>
      </c>
      <c r="G200" s="104">
        <v>-6474300</v>
      </c>
    </row>
    <row r="201" spans="3:7" ht="15.75" thickBot="1" x14ac:dyDescent="0.3">
      <c r="D201" s="104"/>
      <c r="F201" s="48" t="s">
        <v>1601</v>
      </c>
      <c r="G201" s="529">
        <f>G198+G200</f>
        <v>0</v>
      </c>
    </row>
    <row r="202" spans="3:7" ht="15.75" thickTop="1" x14ac:dyDescent="0.25">
      <c r="D202" s="104"/>
      <c r="G202" s="104"/>
    </row>
    <row r="203" spans="3:7" x14ac:dyDescent="0.25">
      <c r="C203" s="48" t="s">
        <v>2511</v>
      </c>
      <c r="D203" s="104"/>
      <c r="G203" s="104"/>
    </row>
    <row r="204" spans="3:7" x14ac:dyDescent="0.25">
      <c r="C204" t="s">
        <v>1640</v>
      </c>
      <c r="D204" s="104"/>
      <c r="E204">
        <v>0</v>
      </c>
      <c r="G204" s="104">
        <v>188550</v>
      </c>
    </row>
    <row r="205" spans="3:7" x14ac:dyDescent="0.25">
      <c r="C205" t="s">
        <v>1641</v>
      </c>
      <c r="D205" s="104"/>
      <c r="E205">
        <v>0</v>
      </c>
      <c r="G205" s="104">
        <v>15250</v>
      </c>
    </row>
    <row r="206" spans="3:7" x14ac:dyDescent="0.25">
      <c r="C206" t="s">
        <v>1642</v>
      </c>
      <c r="D206" s="104"/>
      <c r="E206">
        <v>0</v>
      </c>
      <c r="G206" s="104">
        <v>96000</v>
      </c>
    </row>
    <row r="208" spans="3:7" x14ac:dyDescent="0.25">
      <c r="C208" s="48" t="s">
        <v>2512</v>
      </c>
      <c r="D208" s="48"/>
      <c r="G208" s="104"/>
    </row>
    <row r="209" spans="3:7" x14ac:dyDescent="0.25">
      <c r="C209" t="s">
        <v>1643</v>
      </c>
      <c r="D209" s="104"/>
      <c r="E209">
        <v>0</v>
      </c>
      <c r="G209" s="104">
        <v>-188550</v>
      </c>
    </row>
    <row r="210" spans="3:7" x14ac:dyDescent="0.25">
      <c r="C210" t="s">
        <v>1641</v>
      </c>
      <c r="D210" s="104"/>
      <c r="E210">
        <v>0</v>
      </c>
      <c r="G210" s="104">
        <v>-15250</v>
      </c>
    </row>
    <row r="211" spans="3:7" x14ac:dyDescent="0.25">
      <c r="C211" t="s">
        <v>1642</v>
      </c>
      <c r="D211" s="104"/>
      <c r="E211">
        <v>0</v>
      </c>
      <c r="G211" s="104">
        <v>-96000</v>
      </c>
    </row>
    <row r="212" spans="3:7" ht="15.75" thickBot="1" x14ac:dyDescent="0.3">
      <c r="D212" s="104"/>
      <c r="F212" s="48" t="s">
        <v>1601</v>
      </c>
      <c r="G212" s="529">
        <f>SUM(G204:G211)</f>
        <v>0</v>
      </c>
    </row>
    <row r="213" spans="3:7" ht="15.75" thickTop="1" x14ac:dyDescent="0.25"/>
    <row r="214" spans="3:7" x14ac:dyDescent="0.25">
      <c r="C214" s="48" t="s">
        <v>2511</v>
      </c>
    </row>
    <row r="215" spans="3:7" x14ac:dyDescent="0.25">
      <c r="C215" t="s">
        <v>1644</v>
      </c>
      <c r="D215" s="104"/>
      <c r="E215">
        <v>0</v>
      </c>
      <c r="F215">
        <v>0</v>
      </c>
      <c r="G215" s="104">
        <v>12598944.449999999</v>
      </c>
    </row>
    <row r="216" spans="3:7" x14ac:dyDescent="0.25">
      <c r="C216" t="s">
        <v>1645</v>
      </c>
      <c r="D216" s="104"/>
      <c r="E216">
        <v>0</v>
      </c>
      <c r="F216">
        <v>0</v>
      </c>
      <c r="G216" s="104">
        <v>158895989.53</v>
      </c>
    </row>
    <row r="217" spans="3:7" x14ac:dyDescent="0.25">
      <c r="C217" t="s">
        <v>1646</v>
      </c>
      <c r="D217" s="104"/>
      <c r="E217">
        <v>0</v>
      </c>
      <c r="F217">
        <v>0</v>
      </c>
      <c r="G217" s="104">
        <v>24951957.079999998</v>
      </c>
    </row>
    <row r="218" spans="3:7" x14ac:dyDescent="0.25">
      <c r="C218" t="s">
        <v>1647</v>
      </c>
      <c r="D218" s="104"/>
      <c r="E218">
        <v>0</v>
      </c>
      <c r="F218">
        <v>0</v>
      </c>
      <c r="G218" s="104">
        <v>38083830.090000004</v>
      </c>
    </row>
    <row r="219" spans="3:7" x14ac:dyDescent="0.25">
      <c r="C219" t="s">
        <v>1648</v>
      </c>
      <c r="D219" s="104"/>
      <c r="E219">
        <v>0</v>
      </c>
      <c r="F219">
        <v>0</v>
      </c>
      <c r="G219" s="104">
        <v>7349422.1500000004</v>
      </c>
    </row>
    <row r="220" spans="3:7" x14ac:dyDescent="0.25">
      <c r="C220" t="s">
        <v>1649</v>
      </c>
      <c r="D220" s="104"/>
      <c r="E220">
        <v>0</v>
      </c>
      <c r="F220">
        <v>0</v>
      </c>
      <c r="G220" s="104">
        <v>92105723</v>
      </c>
    </row>
    <row r="221" spans="3:7" x14ac:dyDescent="0.25">
      <c r="C221" t="s">
        <v>1650</v>
      </c>
      <c r="D221" s="104"/>
      <c r="E221">
        <v>0</v>
      </c>
      <c r="F221">
        <v>0</v>
      </c>
      <c r="G221" s="104">
        <v>24322690.43</v>
      </c>
    </row>
    <row r="222" spans="3:7" ht="15.75" thickBot="1" x14ac:dyDescent="0.3">
      <c r="D222" s="104"/>
      <c r="E222">
        <v>0</v>
      </c>
      <c r="G222" s="529">
        <f>SUM(G215:G221)</f>
        <v>358308556.73000002</v>
      </c>
    </row>
    <row r="223" spans="3:7" ht="15.75" thickTop="1" x14ac:dyDescent="0.25">
      <c r="C223" s="48" t="s">
        <v>2513</v>
      </c>
      <c r="G223" s="104"/>
    </row>
    <row r="224" spans="3:7" x14ac:dyDescent="0.25">
      <c r="C224" t="s">
        <v>1651</v>
      </c>
      <c r="D224" s="104"/>
      <c r="E224">
        <v>0</v>
      </c>
      <c r="G224" s="104">
        <v>-161861665.66999999</v>
      </c>
    </row>
    <row r="225" spans="1:9" ht="15.75" thickBot="1" x14ac:dyDescent="0.3">
      <c r="D225" s="104"/>
      <c r="E225">
        <v>0</v>
      </c>
      <c r="F225" s="48" t="s">
        <v>1601</v>
      </c>
      <c r="G225" s="529">
        <f>G222+G224</f>
        <v>196446891.06000003</v>
      </c>
    </row>
    <row r="226" spans="1:9" ht="15.75" thickTop="1" x14ac:dyDescent="0.25"/>
    <row r="227" spans="1:9" ht="15.75" thickBot="1" x14ac:dyDescent="0.3">
      <c r="D227" s="532" t="s">
        <v>1652</v>
      </c>
      <c r="G227" s="531">
        <f>G177+G183+G189+G195+G201+G212+G225</f>
        <v>196446891.06000003</v>
      </c>
      <c r="H227" s="103">
        <f>'balance sheet'!C27</f>
        <v>196446890.06000015</v>
      </c>
      <c r="I227" s="104">
        <f>G227-H227</f>
        <v>0.99999988079071045</v>
      </c>
    </row>
    <row r="228" spans="1:9" ht="15.75" thickTop="1" x14ac:dyDescent="0.25"/>
    <row r="229" spans="1:9" x14ac:dyDescent="0.25">
      <c r="D229" s="104"/>
      <c r="G229" s="104"/>
    </row>
    <row r="230" spans="1:9" ht="15.75" x14ac:dyDescent="0.25">
      <c r="A230" s="48" t="s">
        <v>2514</v>
      </c>
      <c r="B230" s="527" t="s">
        <v>2515</v>
      </c>
    </row>
    <row r="232" spans="1:9" x14ac:dyDescent="0.25">
      <c r="C232" s="48" t="s">
        <v>2516</v>
      </c>
      <c r="D232" s="48"/>
    </row>
    <row r="234" spans="1:9" x14ac:dyDescent="0.25">
      <c r="C234" t="s">
        <v>1593</v>
      </c>
      <c r="G234" s="50">
        <v>15993895</v>
      </c>
    </row>
    <row r="235" spans="1:9" x14ac:dyDescent="0.25">
      <c r="C235" t="s">
        <v>1594</v>
      </c>
      <c r="G235" s="50">
        <v>120000000</v>
      </c>
    </row>
    <row r="236" spans="1:9" x14ac:dyDescent="0.25">
      <c r="C236" t="s">
        <v>1595</v>
      </c>
      <c r="G236" s="50">
        <v>1200000</v>
      </c>
    </row>
    <row r="237" spans="1:9" x14ac:dyDescent="0.25">
      <c r="C237" t="s">
        <v>2517</v>
      </c>
      <c r="G237" s="50">
        <v>300000</v>
      </c>
    </row>
    <row r="238" spans="1:9" x14ac:dyDescent="0.25">
      <c r="C238" t="s">
        <v>2518</v>
      </c>
      <c r="G238" s="50">
        <v>40000000</v>
      </c>
    </row>
    <row r="239" spans="1:9" x14ac:dyDescent="0.25">
      <c r="C239" t="s">
        <v>2519</v>
      </c>
      <c r="G239" s="50">
        <v>70000000</v>
      </c>
    </row>
    <row r="240" spans="1:9" ht="15.75" thickBot="1" x14ac:dyDescent="0.3">
      <c r="G240" s="458">
        <f>SUM(G234:G239)</f>
        <v>247493895</v>
      </c>
      <c r="H240" s="103">
        <f>'balance sheet'!C24</f>
        <v>1422031327.6700001</v>
      </c>
    </row>
    <row r="241" spans="4:7" ht="15.75" thickTop="1" x14ac:dyDescent="0.25"/>
    <row r="249" spans="4:7" x14ac:dyDescent="0.25">
      <c r="D249" s="104"/>
      <c r="G249" s="104"/>
    </row>
    <row r="300" spans="4:7" x14ac:dyDescent="0.25">
      <c r="D300" s="104"/>
      <c r="G300" s="104"/>
    </row>
    <row r="312" spans="4:7" x14ac:dyDescent="0.25">
      <c r="D312" s="104"/>
      <c r="E312" s="104"/>
      <c r="F312" s="104"/>
      <c r="G312" s="104"/>
    </row>
    <row r="316" spans="4:7" x14ac:dyDescent="0.25">
      <c r="D316" s="104"/>
      <c r="E316" s="104"/>
      <c r="G316" s="104"/>
    </row>
    <row r="317" spans="4:7" x14ac:dyDescent="0.25">
      <c r="D317" s="104"/>
      <c r="G317" s="104"/>
    </row>
    <row r="318" spans="4:7" x14ac:dyDescent="0.25">
      <c r="D318" s="104"/>
      <c r="E318" s="104"/>
      <c r="G318" s="104"/>
    </row>
    <row r="319" spans="4:7" x14ac:dyDescent="0.25">
      <c r="D319" s="104"/>
      <c r="E319" s="104"/>
      <c r="G319" s="104"/>
    </row>
    <row r="320" spans="4:7" x14ac:dyDescent="0.25">
      <c r="D320" s="104"/>
      <c r="E320" s="104"/>
      <c r="G320" s="104"/>
    </row>
    <row r="321" spans="4:7" x14ac:dyDescent="0.25">
      <c r="D321" s="104"/>
      <c r="E321" s="104"/>
      <c r="F321" s="104"/>
      <c r="G321" s="104"/>
    </row>
    <row r="322" spans="4:7" x14ac:dyDescent="0.25">
      <c r="D322" s="104"/>
      <c r="E322" s="104"/>
      <c r="G322" s="104"/>
    </row>
    <row r="323" spans="4:7" x14ac:dyDescent="0.25">
      <c r="D323" s="104"/>
      <c r="G323" s="104"/>
    </row>
    <row r="324" spans="4:7" x14ac:dyDescent="0.25">
      <c r="D324" s="104"/>
      <c r="E324" s="104"/>
      <c r="G324" s="104"/>
    </row>
    <row r="325" spans="4:7" x14ac:dyDescent="0.25">
      <c r="E325" s="104"/>
      <c r="F325" s="104"/>
    </row>
    <row r="326" spans="4:7" x14ac:dyDescent="0.25">
      <c r="D326" s="104"/>
      <c r="G326" s="104"/>
    </row>
    <row r="327" spans="4:7" x14ac:dyDescent="0.25">
      <c r="D327" s="104"/>
      <c r="G327" s="104"/>
    </row>
    <row r="328" spans="4:7" x14ac:dyDescent="0.25">
      <c r="D328" s="104"/>
      <c r="E328" s="104"/>
      <c r="F328" s="104"/>
      <c r="G328" s="104"/>
    </row>
    <row r="329" spans="4:7" x14ac:dyDescent="0.25">
      <c r="D329" s="104"/>
      <c r="E329" s="104"/>
      <c r="F329" s="104"/>
      <c r="G329" s="104"/>
    </row>
    <row r="330" spans="4:7" x14ac:dyDescent="0.25">
      <c r="D330" s="104"/>
      <c r="G330" s="104"/>
    </row>
    <row r="331" spans="4:7" x14ac:dyDescent="0.25">
      <c r="D331" s="104"/>
      <c r="G331" s="104"/>
    </row>
    <row r="332" spans="4:7" x14ac:dyDescent="0.25">
      <c r="D332" s="104"/>
      <c r="G332" s="104"/>
    </row>
    <row r="333" spans="4:7" x14ac:dyDescent="0.25">
      <c r="D333" s="104"/>
      <c r="G333" s="104"/>
    </row>
    <row r="334" spans="4:7" x14ac:dyDescent="0.25">
      <c r="D334" s="104"/>
      <c r="E334" s="104"/>
      <c r="F334" s="104"/>
      <c r="G334" s="104"/>
    </row>
    <row r="335" spans="4:7" x14ac:dyDescent="0.25">
      <c r="D335" s="104"/>
      <c r="G335" s="104"/>
    </row>
    <row r="336" spans="4:7" x14ac:dyDescent="0.25">
      <c r="D336" s="104"/>
      <c r="G336" s="104"/>
    </row>
    <row r="337" spans="4:7" x14ac:dyDescent="0.25">
      <c r="D337" s="104"/>
      <c r="G337" s="104"/>
    </row>
    <row r="338" spans="4:7" x14ac:dyDescent="0.25">
      <c r="D338" s="104"/>
      <c r="G338" s="104"/>
    </row>
    <row r="339" spans="4:7" x14ac:dyDescent="0.25">
      <c r="D339" s="104"/>
      <c r="G339" s="104"/>
    </row>
    <row r="340" spans="4:7" x14ac:dyDescent="0.25">
      <c r="D340" s="104"/>
      <c r="G340" s="104"/>
    </row>
    <row r="341" spans="4:7" x14ac:dyDescent="0.25">
      <c r="D341" s="104"/>
      <c r="E341" s="104"/>
      <c r="F341" s="104"/>
      <c r="G341" s="104"/>
    </row>
    <row r="342" spans="4:7" x14ac:dyDescent="0.25">
      <c r="D342" s="104"/>
      <c r="G342" s="104"/>
    </row>
    <row r="343" spans="4:7" x14ac:dyDescent="0.25">
      <c r="E343" s="104"/>
      <c r="F343" s="104"/>
    </row>
    <row r="344" spans="4:7" x14ac:dyDescent="0.25">
      <c r="D344" s="104"/>
      <c r="G344" s="104"/>
    </row>
    <row r="345" spans="4:7" x14ac:dyDescent="0.25">
      <c r="D345" s="104"/>
      <c r="E345" s="104"/>
      <c r="F345" s="104"/>
      <c r="G345" s="104"/>
    </row>
    <row r="346" spans="4:7" x14ac:dyDescent="0.25">
      <c r="D346" s="104"/>
      <c r="G346" s="104"/>
    </row>
    <row r="348" spans="4:7" x14ac:dyDescent="0.25">
      <c r="D348" s="104"/>
      <c r="E348" s="104"/>
      <c r="G348" s="104"/>
    </row>
    <row r="349" spans="4:7" x14ac:dyDescent="0.25">
      <c r="D349" s="104"/>
      <c r="G349" s="104"/>
    </row>
    <row r="350" spans="4:7" x14ac:dyDescent="0.25">
      <c r="D350" s="104"/>
      <c r="E350" s="104"/>
      <c r="F350" s="104"/>
      <c r="G350" s="104"/>
    </row>
    <row r="351" spans="4:7" x14ac:dyDescent="0.25">
      <c r="D351" s="104"/>
      <c r="E351" s="104"/>
      <c r="F351" s="104"/>
    </row>
    <row r="352" spans="4:7" x14ac:dyDescent="0.25">
      <c r="D352" s="104"/>
      <c r="E352" s="104"/>
      <c r="G352" s="104"/>
    </row>
    <row r="353" spans="4:7" x14ac:dyDescent="0.25">
      <c r="D353" s="104"/>
      <c r="E353" s="104"/>
      <c r="F353" s="104"/>
      <c r="G353" s="104"/>
    </row>
    <row r="354" spans="4:7" x14ac:dyDescent="0.25">
      <c r="D354" s="104"/>
      <c r="E354" s="104"/>
      <c r="G354" s="104"/>
    </row>
    <row r="355" spans="4:7" x14ac:dyDescent="0.25">
      <c r="F355" s="104"/>
      <c r="G355" s="104"/>
    </row>
    <row r="356" spans="4:7" x14ac:dyDescent="0.25">
      <c r="D356" s="104"/>
      <c r="E356" s="104"/>
      <c r="F356" s="104"/>
      <c r="G356" s="104"/>
    </row>
    <row r="357" spans="4:7" x14ac:dyDescent="0.25">
      <c r="D357" s="104"/>
      <c r="E357" s="104"/>
      <c r="G357" s="104"/>
    </row>
    <row r="358" spans="4:7" x14ac:dyDescent="0.25">
      <c r="D358" s="104"/>
      <c r="F358" s="104"/>
      <c r="G358" s="104"/>
    </row>
    <row r="359" spans="4:7" x14ac:dyDescent="0.25">
      <c r="D359" s="104"/>
      <c r="E359" s="104"/>
      <c r="G359" s="104"/>
    </row>
    <row r="360" spans="4:7" x14ac:dyDescent="0.25">
      <c r="E360" s="104"/>
      <c r="G360" s="104"/>
    </row>
    <row r="361" spans="4:7" x14ac:dyDescent="0.25">
      <c r="D361" s="104"/>
      <c r="E361" s="104"/>
      <c r="G361" s="104"/>
    </row>
    <row r="362" spans="4:7" x14ac:dyDescent="0.25">
      <c r="D362" s="104"/>
      <c r="G362" s="104"/>
    </row>
    <row r="363" spans="4:7" x14ac:dyDescent="0.25">
      <c r="D363" s="104"/>
      <c r="E363" s="104"/>
      <c r="F363" s="104"/>
      <c r="G363" s="104"/>
    </row>
    <row r="364" spans="4:7" x14ac:dyDescent="0.25">
      <c r="E364" s="104"/>
      <c r="F364" s="104"/>
    </row>
    <row r="369" spans="4:7" x14ac:dyDescent="0.25">
      <c r="D369" s="104"/>
      <c r="E369" s="104"/>
      <c r="G369" s="104"/>
    </row>
    <row r="370" spans="4:7" x14ac:dyDescent="0.25">
      <c r="D370" s="104"/>
      <c r="E370" s="104"/>
      <c r="G370" s="104"/>
    </row>
    <row r="371" spans="4:7" x14ac:dyDescent="0.25">
      <c r="D371" s="104"/>
      <c r="G371" s="104"/>
    </row>
    <row r="372" spans="4:7" x14ac:dyDescent="0.25">
      <c r="D372" s="104"/>
      <c r="E372" s="104"/>
      <c r="F372" s="104"/>
    </row>
    <row r="373" spans="4:7" x14ac:dyDescent="0.25">
      <c r="D373" s="104"/>
      <c r="E373" s="104"/>
      <c r="G373" s="104"/>
    </row>
    <row r="374" spans="4:7" x14ac:dyDescent="0.25">
      <c r="D374" s="104"/>
      <c r="E374" s="104"/>
      <c r="G374" s="104"/>
    </row>
    <row r="375" spans="4:7" x14ac:dyDescent="0.25">
      <c r="D375" s="104"/>
      <c r="E375" s="104"/>
      <c r="G375" s="104"/>
    </row>
    <row r="376" spans="4:7" x14ac:dyDescent="0.25">
      <c r="E376" s="104"/>
      <c r="F376" s="104"/>
    </row>
    <row r="377" spans="4:7" x14ac:dyDescent="0.25">
      <c r="E377" s="104"/>
      <c r="F377" s="104"/>
    </row>
    <row r="379" spans="4:7" x14ac:dyDescent="0.25">
      <c r="E379" s="104"/>
      <c r="F379" s="104"/>
    </row>
    <row r="380" spans="4:7" x14ac:dyDescent="0.25">
      <c r="D380" s="104"/>
      <c r="G380" s="104"/>
    </row>
    <row r="381" spans="4:7" x14ac:dyDescent="0.25">
      <c r="D381" s="104"/>
      <c r="G381" s="104"/>
    </row>
    <row r="382" spans="4:7" x14ac:dyDescent="0.25">
      <c r="D382" s="104"/>
      <c r="E382" s="104"/>
      <c r="F382" s="104"/>
      <c r="G382" s="104"/>
    </row>
    <row r="385" spans="4:7" x14ac:dyDescent="0.25">
      <c r="D385" s="104"/>
      <c r="F385" s="104"/>
      <c r="G385" s="104"/>
    </row>
    <row r="386" spans="4:7" x14ac:dyDescent="0.25">
      <c r="D386" s="104"/>
      <c r="F386" s="104"/>
      <c r="G386" s="104"/>
    </row>
    <row r="387" spans="4:7" x14ac:dyDescent="0.25">
      <c r="D387" s="104"/>
      <c r="F387" s="104"/>
      <c r="G387" s="104"/>
    </row>
    <row r="388" spans="4:7" x14ac:dyDescent="0.25">
      <c r="D388" s="104"/>
      <c r="F388" s="104"/>
      <c r="G388" s="104"/>
    </row>
    <row r="389" spans="4:7" x14ac:dyDescent="0.25">
      <c r="D389" s="104"/>
      <c r="F389" s="104"/>
      <c r="G389" s="104"/>
    </row>
    <row r="392" spans="4:7" x14ac:dyDescent="0.25">
      <c r="D392" s="104"/>
      <c r="G392" s="104"/>
    </row>
    <row r="393" spans="4:7" x14ac:dyDescent="0.25">
      <c r="D393" s="104"/>
      <c r="G393" s="104"/>
    </row>
    <row r="395" spans="4:7" x14ac:dyDescent="0.25">
      <c r="D395" s="104"/>
      <c r="G395" s="104"/>
    </row>
    <row r="396" spans="4:7" x14ac:dyDescent="0.25">
      <c r="D396" s="104"/>
      <c r="G396" s="104"/>
    </row>
    <row r="397" spans="4:7" x14ac:dyDescent="0.25">
      <c r="D397" s="104"/>
      <c r="G397" s="104"/>
    </row>
    <row r="398" spans="4:7" x14ac:dyDescent="0.25">
      <c r="D398" s="104"/>
      <c r="G398" s="104"/>
    </row>
    <row r="399" spans="4:7" x14ac:dyDescent="0.25">
      <c r="D399" s="104"/>
      <c r="G399" s="104"/>
    </row>
    <row r="400" spans="4:7" x14ac:dyDescent="0.25">
      <c r="D400" s="104"/>
      <c r="G400" s="104"/>
    </row>
    <row r="401" spans="4:7" x14ac:dyDescent="0.25">
      <c r="D401" s="104"/>
      <c r="G401" s="104"/>
    </row>
    <row r="402" spans="4:7" x14ac:dyDescent="0.25">
      <c r="D402" s="104"/>
      <c r="G402" s="104"/>
    </row>
    <row r="403" spans="4:7" x14ac:dyDescent="0.25">
      <c r="D403" s="104"/>
      <c r="G403" s="104"/>
    </row>
    <row r="404" spans="4:7" x14ac:dyDescent="0.25">
      <c r="D404" s="104"/>
      <c r="G404" s="104"/>
    </row>
    <row r="406" spans="4:7" x14ac:dyDescent="0.25">
      <c r="D406" s="104"/>
      <c r="F406" s="104"/>
      <c r="G406" s="104"/>
    </row>
    <row r="407" spans="4:7" x14ac:dyDescent="0.25">
      <c r="D407" s="104"/>
      <c r="G407" s="104"/>
    </row>
    <row r="408" spans="4:7" x14ac:dyDescent="0.25">
      <c r="D408" s="104"/>
      <c r="G408" s="104"/>
    </row>
    <row r="409" spans="4:7" x14ac:dyDescent="0.25">
      <c r="D409" s="104"/>
      <c r="G409" s="104"/>
    </row>
    <row r="411" spans="4:7" x14ac:dyDescent="0.25">
      <c r="D411" s="104"/>
      <c r="F411" s="104"/>
      <c r="G411" s="104"/>
    </row>
    <row r="414" spans="4:7" x14ac:dyDescent="0.25">
      <c r="D414" s="104"/>
      <c r="G414" s="104"/>
    </row>
    <row r="415" spans="4:7" x14ac:dyDescent="0.25">
      <c r="D415" s="104"/>
      <c r="G415" s="104"/>
    </row>
    <row r="416" spans="4:7" x14ac:dyDescent="0.25">
      <c r="D416" s="104"/>
      <c r="G416" s="104"/>
    </row>
    <row r="417" spans="4:7" x14ac:dyDescent="0.25">
      <c r="D417" s="104"/>
      <c r="G417" s="104"/>
    </row>
    <row r="418" spans="4:7" x14ac:dyDescent="0.25">
      <c r="D418" s="104"/>
      <c r="G418" s="104"/>
    </row>
    <row r="419" spans="4:7" x14ac:dyDescent="0.25">
      <c r="D419" s="104"/>
      <c r="G419" s="104"/>
    </row>
    <row r="420" spans="4:7" x14ac:dyDescent="0.25">
      <c r="D420" s="104"/>
      <c r="G420" s="104"/>
    </row>
    <row r="422" spans="4:7" x14ac:dyDescent="0.25">
      <c r="D422" s="104"/>
      <c r="G422" s="104"/>
    </row>
    <row r="423" spans="4:7" x14ac:dyDescent="0.25">
      <c r="D423" s="104"/>
      <c r="G423" s="104"/>
    </row>
    <row r="424" spans="4:7" x14ac:dyDescent="0.25">
      <c r="D424" s="104"/>
      <c r="G424" s="104"/>
    </row>
    <row r="425" spans="4:7" x14ac:dyDescent="0.25">
      <c r="D425" s="104"/>
      <c r="G425" s="104"/>
    </row>
    <row r="426" spans="4:7" x14ac:dyDescent="0.25">
      <c r="D426" s="104"/>
      <c r="G426" s="104"/>
    </row>
    <row r="427" spans="4:7" x14ac:dyDescent="0.25">
      <c r="D427" s="104"/>
      <c r="G427" s="104"/>
    </row>
    <row r="430" spans="4:7" x14ac:dyDescent="0.25">
      <c r="D430" s="104"/>
      <c r="G430" s="104"/>
    </row>
    <row r="431" spans="4:7" x14ac:dyDescent="0.25">
      <c r="D431" s="104"/>
      <c r="G431" s="104"/>
    </row>
    <row r="432" spans="4:7" x14ac:dyDescent="0.25">
      <c r="D432" s="104"/>
      <c r="G432" s="104"/>
    </row>
    <row r="433" spans="4:7" x14ac:dyDescent="0.25">
      <c r="D433" s="104"/>
      <c r="G433" s="104"/>
    </row>
    <row r="436" spans="4:7" x14ac:dyDescent="0.25">
      <c r="D436" s="104"/>
      <c r="G436" s="104"/>
    </row>
    <row r="437" spans="4:7" x14ac:dyDescent="0.25">
      <c r="D437" s="104"/>
      <c r="G437" s="104"/>
    </row>
    <row r="438" spans="4:7" x14ac:dyDescent="0.25">
      <c r="D438" s="104"/>
      <c r="G438" s="104"/>
    </row>
    <row r="440" spans="4:7" x14ac:dyDescent="0.25">
      <c r="D440" s="104"/>
      <c r="G440" s="104"/>
    </row>
    <row r="441" spans="4:7" x14ac:dyDescent="0.25">
      <c r="D441" s="104"/>
      <c r="G441" s="104"/>
    </row>
    <row r="442" spans="4:7" x14ac:dyDescent="0.25">
      <c r="D442" s="104"/>
      <c r="G442" s="104"/>
    </row>
    <row r="444" spans="4:7" x14ac:dyDescent="0.25">
      <c r="D444" s="104"/>
      <c r="G444" s="104"/>
    </row>
    <row r="449" spans="4:7" x14ac:dyDescent="0.25">
      <c r="D449" s="104"/>
      <c r="G449" s="104"/>
    </row>
    <row r="450" spans="4:7" x14ac:dyDescent="0.25">
      <c r="D450" s="104"/>
      <c r="G450" s="104"/>
    </row>
    <row r="451" spans="4:7" x14ac:dyDescent="0.25">
      <c r="D451" s="104"/>
      <c r="G451" s="104"/>
    </row>
    <row r="453" spans="4:7" x14ac:dyDescent="0.25">
      <c r="D453" s="104"/>
      <c r="G453" s="104"/>
    </row>
    <row r="454" spans="4:7" x14ac:dyDescent="0.25">
      <c r="D454" s="104"/>
      <c r="G454" s="104"/>
    </row>
    <row r="455" spans="4:7" x14ac:dyDescent="0.25">
      <c r="D455" s="104"/>
      <c r="G455" s="104"/>
    </row>
    <row r="456" spans="4:7" x14ac:dyDescent="0.25">
      <c r="D456" s="104"/>
      <c r="G456" s="104"/>
    </row>
    <row r="457" spans="4:7" x14ac:dyDescent="0.25">
      <c r="D457" s="104"/>
      <c r="G457" s="104"/>
    </row>
    <row r="458" spans="4:7" x14ac:dyDescent="0.25">
      <c r="D458" s="104"/>
      <c r="G458" s="104"/>
    </row>
    <row r="459" spans="4:7" x14ac:dyDescent="0.25">
      <c r="D459" s="104"/>
      <c r="G459" s="104"/>
    </row>
    <row r="460" spans="4:7" x14ac:dyDescent="0.25">
      <c r="D460" s="104"/>
      <c r="G460" s="104"/>
    </row>
    <row r="461" spans="4:7" x14ac:dyDescent="0.25">
      <c r="D461" s="104"/>
      <c r="G461" s="104"/>
    </row>
    <row r="462" spans="4:7" x14ac:dyDescent="0.25">
      <c r="D462" s="104"/>
      <c r="G462" s="104"/>
    </row>
    <row r="463" spans="4:7" x14ac:dyDescent="0.25">
      <c r="D463" s="104"/>
      <c r="G463" s="104"/>
    </row>
    <row r="464" spans="4:7" x14ac:dyDescent="0.25">
      <c r="D464" s="104"/>
      <c r="G464" s="104"/>
    </row>
    <row r="467" spans="4:7" x14ac:dyDescent="0.25">
      <c r="D467" s="104"/>
      <c r="G467" s="104"/>
    </row>
    <row r="468" spans="4:7" x14ac:dyDescent="0.25">
      <c r="D468" s="104"/>
      <c r="G468" s="104"/>
    </row>
    <row r="469" spans="4:7" x14ac:dyDescent="0.25">
      <c r="D469" s="104"/>
      <c r="G469" s="104"/>
    </row>
    <row r="470" spans="4:7" x14ac:dyDescent="0.25">
      <c r="D470" s="104"/>
      <c r="E470" s="104"/>
      <c r="G470" s="104"/>
    </row>
    <row r="471" spans="4:7" x14ac:dyDescent="0.25">
      <c r="D471" s="104"/>
      <c r="E471" s="104"/>
      <c r="G471" s="104"/>
    </row>
    <row r="472" spans="4:7" x14ac:dyDescent="0.25">
      <c r="D472" s="104"/>
      <c r="G472" s="104"/>
    </row>
    <row r="473" spans="4:7" x14ac:dyDescent="0.25">
      <c r="D473" s="104"/>
      <c r="G473" s="104"/>
    </row>
    <row r="475" spans="4:7" x14ac:dyDescent="0.25">
      <c r="D475" s="104"/>
      <c r="G475" s="104"/>
    </row>
    <row r="476" spans="4:7" x14ac:dyDescent="0.25">
      <c r="D476" s="104"/>
      <c r="E476" s="104"/>
      <c r="G476" s="104"/>
    </row>
    <row r="477" spans="4:7" x14ac:dyDescent="0.25">
      <c r="D477" s="104"/>
      <c r="E477" s="104"/>
      <c r="G477" s="104"/>
    </row>
    <row r="478" spans="4:7" x14ac:dyDescent="0.25">
      <c r="D478" s="104"/>
      <c r="G478" s="104"/>
    </row>
    <row r="479" spans="4:7" x14ac:dyDescent="0.25">
      <c r="D479" s="104"/>
      <c r="G479" s="104"/>
    </row>
    <row r="480" spans="4:7" x14ac:dyDescent="0.25">
      <c r="D480" s="104"/>
      <c r="E480" s="104"/>
      <c r="G480" s="104"/>
    </row>
    <row r="481" spans="4:7" x14ac:dyDescent="0.25">
      <c r="D481" s="104"/>
      <c r="G481" s="104"/>
    </row>
    <row r="482" spans="4:7" x14ac:dyDescent="0.25">
      <c r="D482" s="104"/>
      <c r="E482" s="104"/>
      <c r="G482" s="104"/>
    </row>
    <row r="484" spans="4:7" x14ac:dyDescent="0.25">
      <c r="D484" s="104"/>
      <c r="G484" s="104"/>
    </row>
    <row r="485" spans="4:7" x14ac:dyDescent="0.25">
      <c r="D485" s="104"/>
      <c r="E485" s="104"/>
      <c r="G485" s="104"/>
    </row>
    <row r="486" spans="4:7" x14ac:dyDescent="0.25">
      <c r="D486" s="104"/>
      <c r="G486" s="104"/>
    </row>
    <row r="488" spans="4:7" x14ac:dyDescent="0.25">
      <c r="D488" s="104"/>
      <c r="G488" s="104"/>
    </row>
    <row r="489" spans="4:7" x14ac:dyDescent="0.25">
      <c r="D489" s="104"/>
      <c r="G489" s="104"/>
    </row>
    <row r="490" spans="4:7" x14ac:dyDescent="0.25">
      <c r="D490" s="104"/>
      <c r="E490" s="104"/>
      <c r="F490" s="104"/>
      <c r="G490" s="104"/>
    </row>
    <row r="491" spans="4:7" x14ac:dyDescent="0.25">
      <c r="G491" s="104"/>
    </row>
    <row r="492" spans="4:7" x14ac:dyDescent="0.25">
      <c r="D492" s="104"/>
      <c r="F492" s="104"/>
      <c r="G492" s="104"/>
    </row>
    <row r="493" spans="4:7" x14ac:dyDescent="0.25">
      <c r="D493" s="104"/>
      <c r="G493" s="104"/>
    </row>
    <row r="494" spans="4:7" x14ac:dyDescent="0.25">
      <c r="D494" s="104"/>
      <c r="G494" s="104"/>
    </row>
    <row r="496" spans="4:7" x14ac:dyDescent="0.25">
      <c r="D496" s="104"/>
      <c r="G496" s="104"/>
    </row>
    <row r="497" spans="4:7" x14ac:dyDescent="0.25">
      <c r="D497" s="104"/>
      <c r="G497" s="104"/>
    </row>
    <row r="498" spans="4:7" x14ac:dyDescent="0.25">
      <c r="D498" s="104"/>
      <c r="G498" s="104"/>
    </row>
    <row r="500" spans="4:7" x14ac:dyDescent="0.25">
      <c r="D500" s="104"/>
      <c r="G500" s="104"/>
    </row>
    <row r="501" spans="4:7" x14ac:dyDescent="0.25">
      <c r="D501" s="104"/>
      <c r="G501" s="104"/>
    </row>
    <row r="502" spans="4:7" x14ac:dyDescent="0.25">
      <c r="D502" s="104"/>
      <c r="G502" s="104"/>
    </row>
    <row r="503" spans="4:7" x14ac:dyDescent="0.25">
      <c r="D503" s="104"/>
      <c r="G503" s="104"/>
    </row>
    <row r="505" spans="4:7" x14ac:dyDescent="0.25">
      <c r="D505" s="104"/>
      <c r="G505" s="104"/>
    </row>
    <row r="506" spans="4:7" x14ac:dyDescent="0.25">
      <c r="D506" s="104"/>
      <c r="E506" s="104"/>
      <c r="F506" s="104"/>
      <c r="G506" s="104"/>
    </row>
    <row r="507" spans="4:7" x14ac:dyDescent="0.25">
      <c r="D507" s="104"/>
      <c r="G507" s="104"/>
    </row>
    <row r="509" spans="4:7" x14ac:dyDescent="0.25">
      <c r="D509" s="104"/>
      <c r="G509" s="104"/>
    </row>
    <row r="510" spans="4:7" x14ac:dyDescent="0.25">
      <c r="D510" s="104"/>
      <c r="G510" s="104"/>
    </row>
    <row r="511" spans="4:7" x14ac:dyDescent="0.25">
      <c r="D511" s="104"/>
      <c r="E511" s="104"/>
      <c r="G511" s="104"/>
    </row>
    <row r="512" spans="4:7" x14ac:dyDescent="0.25">
      <c r="D512" s="104"/>
      <c r="G512" s="104"/>
    </row>
    <row r="513" spans="4:7" x14ac:dyDescent="0.25">
      <c r="D513" s="104"/>
      <c r="G513" s="104"/>
    </row>
    <row r="514" spans="4:7" x14ac:dyDescent="0.25">
      <c r="D514" s="104"/>
      <c r="G514" s="104"/>
    </row>
    <row r="515" spans="4:7" x14ac:dyDescent="0.25">
      <c r="D515" s="104"/>
      <c r="G515" s="104"/>
    </row>
    <row r="516" spans="4:7" x14ac:dyDescent="0.25">
      <c r="D516" s="104"/>
      <c r="G516" s="104"/>
    </row>
    <row r="518" spans="4:7" x14ac:dyDescent="0.25">
      <c r="D518" s="104"/>
      <c r="G518" s="104"/>
    </row>
    <row r="519" spans="4:7" x14ac:dyDescent="0.25">
      <c r="D519" s="104"/>
      <c r="G519" s="104"/>
    </row>
    <row r="521" spans="4:7" x14ac:dyDescent="0.25">
      <c r="D521" s="104"/>
      <c r="G521" s="104"/>
    </row>
    <row r="522" spans="4:7" x14ac:dyDescent="0.25">
      <c r="D522" s="104"/>
      <c r="G522" s="104"/>
    </row>
    <row r="523" spans="4:7" x14ac:dyDescent="0.25">
      <c r="D523" s="104"/>
      <c r="G523" s="104"/>
    </row>
    <row r="525" spans="4:7" x14ac:dyDescent="0.25">
      <c r="D525" s="104"/>
      <c r="G525" s="104"/>
    </row>
    <row r="527" spans="4:7" x14ac:dyDescent="0.25">
      <c r="D527" s="104"/>
      <c r="G527" s="104"/>
    </row>
    <row r="528" spans="4:7" x14ac:dyDescent="0.25">
      <c r="D528" s="104"/>
      <c r="E528" s="104"/>
      <c r="F528" s="104"/>
      <c r="G528" s="104"/>
    </row>
    <row r="529" spans="4:7" x14ac:dyDescent="0.25">
      <c r="D529" s="104"/>
      <c r="G529" s="104"/>
    </row>
    <row r="530" spans="4:7" x14ac:dyDescent="0.25">
      <c r="D530" s="104"/>
      <c r="G530" s="104"/>
    </row>
    <row r="531" spans="4:7" x14ac:dyDescent="0.25">
      <c r="D531" s="104"/>
      <c r="G531" s="104"/>
    </row>
    <row r="532" spans="4:7" x14ac:dyDescent="0.25">
      <c r="D532" s="104"/>
      <c r="G532" s="104"/>
    </row>
    <row r="533" spans="4:7" x14ac:dyDescent="0.25">
      <c r="D533" s="104"/>
      <c r="E533" s="104"/>
      <c r="F533" s="104"/>
      <c r="G533" s="104"/>
    </row>
    <row r="534" spans="4:7" x14ac:dyDescent="0.25">
      <c r="D534" s="104"/>
      <c r="G534" s="104"/>
    </row>
    <row r="535" spans="4:7" x14ac:dyDescent="0.25">
      <c r="D535" s="104"/>
      <c r="G535" s="104"/>
    </row>
    <row r="536" spans="4:7" x14ac:dyDescent="0.25">
      <c r="D536" s="104"/>
      <c r="G536" s="104"/>
    </row>
    <row r="538" spans="4:7" x14ac:dyDescent="0.25">
      <c r="D538" s="104"/>
      <c r="G538" s="104"/>
    </row>
    <row r="539" spans="4:7" x14ac:dyDescent="0.25">
      <c r="D539" s="104"/>
      <c r="G539" s="104"/>
    </row>
    <row r="540" spans="4:7" x14ac:dyDescent="0.25">
      <c r="D540" s="104"/>
      <c r="G540" s="104"/>
    </row>
    <row r="541" spans="4:7" x14ac:dyDescent="0.25">
      <c r="D541" s="104"/>
      <c r="G541" s="104"/>
    </row>
    <row r="543" spans="4:7" x14ac:dyDescent="0.25">
      <c r="D543" s="104"/>
      <c r="G543" s="104"/>
    </row>
    <row r="544" spans="4:7" x14ac:dyDescent="0.25">
      <c r="D544" s="104"/>
      <c r="G544" s="104"/>
    </row>
    <row r="545" spans="4:7" x14ac:dyDescent="0.25">
      <c r="D545" s="104"/>
      <c r="G545" s="104"/>
    </row>
    <row r="546" spans="4:7" x14ac:dyDescent="0.25">
      <c r="D546" s="104"/>
      <c r="G546" s="104"/>
    </row>
    <row r="548" spans="4:7" x14ac:dyDescent="0.25">
      <c r="D548" s="104"/>
      <c r="G548" s="104"/>
    </row>
    <row r="549" spans="4:7" x14ac:dyDescent="0.25">
      <c r="D549" s="104"/>
      <c r="E549" s="104"/>
      <c r="F549" s="104"/>
      <c r="G549" s="104"/>
    </row>
    <row r="551" spans="4:7" x14ac:dyDescent="0.25">
      <c r="D551" s="104"/>
      <c r="E551" s="104"/>
      <c r="F551" s="104"/>
      <c r="G551" s="104"/>
    </row>
    <row r="552" spans="4:7" x14ac:dyDescent="0.25">
      <c r="D552" s="104"/>
      <c r="G552" s="104"/>
    </row>
    <row r="553" spans="4:7" x14ac:dyDescent="0.25">
      <c r="D553" s="104"/>
      <c r="E553" s="104"/>
      <c r="F553" s="104"/>
      <c r="G553" s="104"/>
    </row>
    <row r="555" spans="4:7" x14ac:dyDescent="0.25">
      <c r="D555" s="104"/>
      <c r="G555" s="104"/>
    </row>
    <row r="557" spans="4:7" x14ac:dyDescent="0.25">
      <c r="D557" s="104"/>
      <c r="G557" s="104"/>
    </row>
    <row r="558" spans="4:7" x14ac:dyDescent="0.25">
      <c r="D558" s="104"/>
      <c r="G558" s="104"/>
    </row>
    <row r="559" spans="4:7" x14ac:dyDescent="0.25">
      <c r="D559" s="104"/>
      <c r="G559" s="104"/>
    </row>
    <row r="560" spans="4:7" x14ac:dyDescent="0.25">
      <c r="D560" s="104"/>
      <c r="G560" s="104"/>
    </row>
    <row r="561" spans="4:7" x14ac:dyDescent="0.25">
      <c r="D561" s="104"/>
      <c r="G561" s="104"/>
    </row>
    <row r="562" spans="4:7" x14ac:dyDescent="0.25">
      <c r="D562" s="104"/>
      <c r="G562" s="104"/>
    </row>
    <row r="563" spans="4:7" x14ac:dyDescent="0.25">
      <c r="D563" s="104"/>
      <c r="G563" s="104"/>
    </row>
    <row r="566" spans="4:7" x14ac:dyDescent="0.25">
      <c r="D566" s="104"/>
      <c r="G566" s="104"/>
    </row>
    <row r="568" spans="4:7" x14ac:dyDescent="0.25">
      <c r="D568" s="104"/>
      <c r="G568" s="104"/>
    </row>
    <row r="569" spans="4:7" x14ac:dyDescent="0.25">
      <c r="D569" s="104"/>
      <c r="G569" s="104"/>
    </row>
    <row r="570" spans="4:7" x14ac:dyDescent="0.25">
      <c r="D570" s="104"/>
      <c r="G570" s="104"/>
    </row>
    <row r="572" spans="4:7" x14ac:dyDescent="0.25">
      <c r="D572" s="104"/>
      <c r="G572" s="104"/>
    </row>
    <row r="573" spans="4:7" x14ac:dyDescent="0.25">
      <c r="D573" s="104"/>
      <c r="G573" s="104"/>
    </row>
    <row r="575" spans="4:7" x14ac:dyDescent="0.25">
      <c r="D575" s="104"/>
      <c r="G575" s="104"/>
    </row>
    <row r="577" spans="4:7" x14ac:dyDescent="0.25">
      <c r="D577" s="104"/>
      <c r="G577" s="104"/>
    </row>
    <row r="578" spans="4:7" x14ac:dyDescent="0.25">
      <c r="D578" s="104"/>
      <c r="G578" s="104"/>
    </row>
    <row r="579" spans="4:7" x14ac:dyDescent="0.25">
      <c r="D579" s="104"/>
      <c r="G579" s="104"/>
    </row>
    <row r="580" spans="4:7" x14ac:dyDescent="0.25">
      <c r="D580" s="104"/>
      <c r="G580" s="104"/>
    </row>
    <row r="581" spans="4:7" x14ac:dyDescent="0.25">
      <c r="D581" s="104"/>
      <c r="G581" s="104"/>
    </row>
    <row r="582" spans="4:7" x14ac:dyDescent="0.25">
      <c r="D582" s="104"/>
      <c r="G582" s="104"/>
    </row>
    <row r="583" spans="4:7" x14ac:dyDescent="0.25">
      <c r="D583" s="104"/>
      <c r="G583" s="104"/>
    </row>
    <row r="585" spans="4:7" x14ac:dyDescent="0.25">
      <c r="D585" s="104"/>
      <c r="G585" s="104"/>
    </row>
    <row r="586" spans="4:7" x14ac:dyDescent="0.25">
      <c r="D586" s="104"/>
      <c r="G586" s="104"/>
    </row>
    <row r="587" spans="4:7" x14ac:dyDescent="0.25">
      <c r="D587" s="104"/>
      <c r="G587" s="104"/>
    </row>
    <row r="588" spans="4:7" x14ac:dyDescent="0.25">
      <c r="D588" s="104"/>
      <c r="G588" s="104"/>
    </row>
    <row r="589" spans="4:7" x14ac:dyDescent="0.25">
      <c r="D589" s="104"/>
      <c r="G589" s="104"/>
    </row>
    <row r="590" spans="4:7" x14ac:dyDescent="0.25">
      <c r="D590" s="104"/>
      <c r="G590" s="104"/>
    </row>
    <row r="591" spans="4:7" x14ac:dyDescent="0.25">
      <c r="D591" s="104"/>
      <c r="G591" s="104"/>
    </row>
    <row r="594" spans="4:7" x14ac:dyDescent="0.25">
      <c r="D594" s="104"/>
      <c r="G594" s="104"/>
    </row>
    <row r="595" spans="4:7" x14ac:dyDescent="0.25">
      <c r="D595" s="104"/>
      <c r="G595" s="104"/>
    </row>
    <row r="596" spans="4:7" x14ac:dyDescent="0.25">
      <c r="D596" s="104"/>
      <c r="G596" s="104"/>
    </row>
    <row r="597" spans="4:7" x14ac:dyDescent="0.25">
      <c r="D597" s="104"/>
      <c r="G597" s="104"/>
    </row>
    <row r="598" spans="4:7" x14ac:dyDescent="0.25">
      <c r="D598" s="104"/>
      <c r="G598" s="104"/>
    </row>
    <row r="599" spans="4:7" x14ac:dyDescent="0.25">
      <c r="D599" s="104"/>
      <c r="G599" s="104"/>
    </row>
    <row r="600" spans="4:7" x14ac:dyDescent="0.25">
      <c r="D600" s="104"/>
      <c r="G600" s="104"/>
    </row>
    <row r="601" spans="4:7" x14ac:dyDescent="0.25">
      <c r="D601" s="104"/>
      <c r="G601" s="104"/>
    </row>
    <row r="602" spans="4:7" x14ac:dyDescent="0.25">
      <c r="D602" s="104"/>
      <c r="G602" s="104"/>
    </row>
    <row r="603" spans="4:7" x14ac:dyDescent="0.25">
      <c r="D603" s="104"/>
      <c r="G603" s="104"/>
    </row>
    <row r="604" spans="4:7" x14ac:dyDescent="0.25">
      <c r="D604" s="104"/>
      <c r="G604" s="104"/>
    </row>
    <row r="605" spans="4:7" x14ac:dyDescent="0.25">
      <c r="D605" s="104"/>
      <c r="G605" s="104"/>
    </row>
    <row r="606" spans="4:7" x14ac:dyDescent="0.25">
      <c r="D606" s="104"/>
      <c r="G606" s="104"/>
    </row>
    <row r="607" spans="4:7" x14ac:dyDescent="0.25">
      <c r="D607" s="104"/>
      <c r="G607" s="104"/>
    </row>
    <row r="608" spans="4:7" x14ac:dyDescent="0.25">
      <c r="D608" s="104"/>
      <c r="G608" s="104"/>
    </row>
    <row r="612" spans="4:7" x14ac:dyDescent="0.25">
      <c r="D612" s="104"/>
      <c r="G612" s="104"/>
    </row>
    <row r="614" spans="4:7" x14ac:dyDescent="0.25">
      <c r="D614" s="104"/>
      <c r="G614" s="104"/>
    </row>
    <row r="615" spans="4:7" x14ac:dyDescent="0.25">
      <c r="D615" s="104"/>
      <c r="G615" s="104"/>
    </row>
    <row r="616" spans="4:7" x14ac:dyDescent="0.25">
      <c r="D616" s="104"/>
      <c r="G616" s="104"/>
    </row>
    <row r="617" spans="4:7" x14ac:dyDescent="0.25">
      <c r="D617" s="104"/>
      <c r="G617" s="104"/>
    </row>
    <row r="618" spans="4:7" x14ac:dyDescent="0.25">
      <c r="D618" s="104"/>
      <c r="G618" s="104"/>
    </row>
    <row r="620" spans="4:7" x14ac:dyDescent="0.25">
      <c r="D620" s="104"/>
      <c r="G620" s="104"/>
    </row>
    <row r="621" spans="4:7" x14ac:dyDescent="0.25">
      <c r="D621" s="104"/>
      <c r="G621" s="104"/>
    </row>
    <row r="622" spans="4:7" x14ac:dyDescent="0.25">
      <c r="D622" s="104"/>
      <c r="G622" s="104"/>
    </row>
    <row r="623" spans="4:7" x14ac:dyDescent="0.25">
      <c r="D623" s="104"/>
      <c r="G623" s="104"/>
    </row>
    <row r="624" spans="4:7" x14ac:dyDescent="0.25">
      <c r="D624" s="104"/>
      <c r="G624" s="104"/>
    </row>
    <row r="625" spans="4:7" x14ac:dyDescent="0.25">
      <c r="D625" s="104"/>
      <c r="G625" s="104"/>
    </row>
    <row r="626" spans="4:7" x14ac:dyDescent="0.25">
      <c r="D626" s="104"/>
      <c r="G626" s="104"/>
    </row>
    <row r="627" spans="4:7" x14ac:dyDescent="0.25">
      <c r="D627" s="104"/>
      <c r="G627" s="104"/>
    </row>
    <row r="628" spans="4:7" x14ac:dyDescent="0.25">
      <c r="D628" s="104"/>
      <c r="G628" s="104"/>
    </row>
    <row r="629" spans="4:7" x14ac:dyDescent="0.25">
      <c r="D629" s="104"/>
      <c r="G629" s="104"/>
    </row>
    <row r="630" spans="4:7" x14ac:dyDescent="0.25">
      <c r="D630" s="104"/>
      <c r="G630" s="104"/>
    </row>
    <row r="631" spans="4:7" x14ac:dyDescent="0.25">
      <c r="D631" s="104"/>
      <c r="G631" s="104"/>
    </row>
    <row r="632" spans="4:7" x14ac:dyDescent="0.25">
      <c r="D632" s="104"/>
      <c r="G632" s="104"/>
    </row>
    <row r="633" spans="4:7" x14ac:dyDescent="0.25">
      <c r="D633" s="104"/>
      <c r="G633" s="104"/>
    </row>
    <row r="634" spans="4:7" x14ac:dyDescent="0.25">
      <c r="D634" s="104"/>
      <c r="G634" s="104"/>
    </row>
    <row r="635" spans="4:7" x14ac:dyDescent="0.25">
      <c r="D635" s="104"/>
      <c r="G635" s="104"/>
    </row>
    <row r="636" spans="4:7" x14ac:dyDescent="0.25">
      <c r="D636" s="104"/>
      <c r="G636" s="104"/>
    </row>
    <row r="638" spans="4:7" x14ac:dyDescent="0.25">
      <c r="D638" s="104"/>
      <c r="G638" s="104"/>
    </row>
    <row r="641" spans="4:7" x14ac:dyDescent="0.25">
      <c r="D641" s="104"/>
      <c r="G641" s="104"/>
    </row>
    <row r="642" spans="4:7" x14ac:dyDescent="0.25">
      <c r="D642" s="104"/>
      <c r="G642" s="104"/>
    </row>
    <row r="643" spans="4:7" x14ac:dyDescent="0.25">
      <c r="D643" s="104"/>
      <c r="G643" s="104"/>
    </row>
    <row r="644" spans="4:7" x14ac:dyDescent="0.25">
      <c r="D644" s="104"/>
      <c r="G644" s="104"/>
    </row>
    <row r="645" spans="4:7" x14ac:dyDescent="0.25">
      <c r="D645" s="104"/>
      <c r="G645" s="104"/>
    </row>
    <row r="646" spans="4:7" x14ac:dyDescent="0.25">
      <c r="D646" s="104"/>
      <c r="G646" s="104"/>
    </row>
    <row r="647" spans="4:7" x14ac:dyDescent="0.25">
      <c r="D647" s="104"/>
      <c r="G647" s="104"/>
    </row>
    <row r="648" spans="4:7" x14ac:dyDescent="0.25">
      <c r="D648" s="104"/>
      <c r="G648" s="104"/>
    </row>
    <row r="649" spans="4:7" x14ac:dyDescent="0.25">
      <c r="D649" s="104"/>
      <c r="G649" s="104"/>
    </row>
    <row r="650" spans="4:7" x14ac:dyDescent="0.25">
      <c r="D650" s="104"/>
      <c r="G650" s="104"/>
    </row>
    <row r="651" spans="4:7" x14ac:dyDescent="0.25">
      <c r="D651" s="104"/>
      <c r="G651" s="104"/>
    </row>
    <row r="652" spans="4:7" x14ac:dyDescent="0.25">
      <c r="D652" s="104"/>
      <c r="G652" s="104"/>
    </row>
    <row r="655" spans="4:7" x14ac:dyDescent="0.25">
      <c r="D655" s="104"/>
      <c r="G655" s="104"/>
    </row>
    <row r="656" spans="4:7" x14ac:dyDescent="0.25">
      <c r="D656" s="104"/>
      <c r="G656" s="104"/>
    </row>
    <row r="657" spans="4:7" x14ac:dyDescent="0.25">
      <c r="D657" s="104"/>
      <c r="G657" s="104"/>
    </row>
    <row r="658" spans="4:7" x14ac:dyDescent="0.25">
      <c r="D658" s="104"/>
      <c r="G658" s="104"/>
    </row>
    <row r="661" spans="4:7" x14ac:dyDescent="0.25">
      <c r="D661" s="104"/>
      <c r="G661" s="104"/>
    </row>
    <row r="662" spans="4:7" x14ac:dyDescent="0.25">
      <c r="D662" s="104"/>
      <c r="G662" s="104"/>
    </row>
    <row r="665" spans="4:7" x14ac:dyDescent="0.25">
      <c r="D665" s="104"/>
      <c r="G665" s="104"/>
    </row>
    <row r="666" spans="4:7" x14ac:dyDescent="0.25">
      <c r="D666" s="104"/>
      <c r="G666" s="104"/>
    </row>
    <row r="667" spans="4:7" x14ac:dyDescent="0.25">
      <c r="D667" s="104"/>
      <c r="G667" s="104"/>
    </row>
    <row r="668" spans="4:7" x14ac:dyDescent="0.25">
      <c r="D668" s="104"/>
      <c r="G668" s="104"/>
    </row>
    <row r="669" spans="4:7" x14ac:dyDescent="0.25">
      <c r="D669" s="104"/>
      <c r="G669" s="104"/>
    </row>
    <row r="670" spans="4:7" x14ac:dyDescent="0.25">
      <c r="D670" s="104"/>
      <c r="G670" s="104"/>
    </row>
    <row r="672" spans="4:7" x14ac:dyDescent="0.25">
      <c r="D672" s="104"/>
      <c r="G672" s="104"/>
    </row>
    <row r="674" spans="4:7" x14ac:dyDescent="0.25">
      <c r="D674" s="104"/>
      <c r="G674" s="104"/>
    </row>
    <row r="675" spans="4:7" x14ac:dyDescent="0.25">
      <c r="D675" s="104"/>
      <c r="G675" s="104"/>
    </row>
    <row r="676" spans="4:7" x14ac:dyDescent="0.25">
      <c r="D676" s="104"/>
      <c r="G676" s="104"/>
    </row>
    <row r="677" spans="4:7" x14ac:dyDescent="0.25">
      <c r="D677" s="104"/>
      <c r="G677" s="104"/>
    </row>
    <row r="678" spans="4:7" x14ac:dyDescent="0.25">
      <c r="D678" s="104"/>
      <c r="G678" s="104"/>
    </row>
    <row r="679" spans="4:7" x14ac:dyDescent="0.25">
      <c r="D679" s="104"/>
      <c r="G679" s="104"/>
    </row>
    <row r="680" spans="4:7" x14ac:dyDescent="0.25">
      <c r="D680" s="104"/>
      <c r="G680" s="104"/>
    </row>
    <row r="681" spans="4:7" x14ac:dyDescent="0.25">
      <c r="D681" s="104"/>
      <c r="G681" s="104"/>
    </row>
    <row r="682" spans="4:7" x14ac:dyDescent="0.25">
      <c r="D682" s="104"/>
      <c r="G682" s="104"/>
    </row>
    <row r="683" spans="4:7" x14ac:dyDescent="0.25">
      <c r="D683" s="104"/>
      <c r="G683" s="104"/>
    </row>
    <row r="684" spans="4:7" x14ac:dyDescent="0.25">
      <c r="D684" s="104"/>
      <c r="G684" s="104"/>
    </row>
    <row r="685" spans="4:7" x14ac:dyDescent="0.25">
      <c r="D685" s="104"/>
      <c r="G685" s="104"/>
    </row>
    <row r="688" spans="4:7" x14ac:dyDescent="0.25">
      <c r="D688" s="104"/>
      <c r="G688" s="104"/>
    </row>
    <row r="689" spans="4:7" x14ac:dyDescent="0.25">
      <c r="D689" s="104"/>
      <c r="G689" s="104"/>
    </row>
    <row r="692" spans="4:7" x14ac:dyDescent="0.25">
      <c r="D692" s="104"/>
      <c r="G692" s="104"/>
    </row>
    <row r="694" spans="4:7" x14ac:dyDescent="0.25">
      <c r="D694" s="104"/>
      <c r="G694" s="104"/>
    </row>
    <row r="695" spans="4:7" x14ac:dyDescent="0.25">
      <c r="D695" s="104"/>
      <c r="G695" s="104"/>
    </row>
    <row r="696" spans="4:7" x14ac:dyDescent="0.25">
      <c r="D696" s="104"/>
      <c r="G696" s="104"/>
    </row>
    <row r="697" spans="4:7" x14ac:dyDescent="0.25">
      <c r="D697" s="104"/>
      <c r="G697" s="104"/>
    </row>
    <row r="698" spans="4:7" x14ac:dyDescent="0.25">
      <c r="D698" s="104"/>
      <c r="G698" s="104"/>
    </row>
    <row r="699" spans="4:7" x14ac:dyDescent="0.25">
      <c r="D699" s="104"/>
      <c r="G699" s="104"/>
    </row>
    <row r="700" spans="4:7" x14ac:dyDescent="0.25">
      <c r="D700" s="104"/>
      <c r="G700" s="104"/>
    </row>
    <row r="701" spans="4:7" x14ac:dyDescent="0.25">
      <c r="D701" s="104"/>
      <c r="G701" s="104"/>
    </row>
    <row r="702" spans="4:7" x14ac:dyDescent="0.25">
      <c r="D702" s="104"/>
      <c r="G702" s="104"/>
    </row>
    <row r="703" spans="4:7" x14ac:dyDescent="0.25">
      <c r="D703" s="104"/>
      <c r="G703" s="104"/>
    </row>
    <row r="704" spans="4:7" x14ac:dyDescent="0.25">
      <c r="D704" s="104"/>
      <c r="G704" s="104"/>
    </row>
    <row r="707" spans="4:7" x14ac:dyDescent="0.25">
      <c r="D707" s="104"/>
      <c r="F707" s="104"/>
      <c r="G707" s="104"/>
    </row>
    <row r="717" spans="4:7" x14ac:dyDescent="0.25">
      <c r="D717" s="104"/>
      <c r="G717" s="104"/>
    </row>
    <row r="725" spans="4:7" x14ac:dyDescent="0.25">
      <c r="D725" s="104"/>
      <c r="G725" s="104"/>
    </row>
    <row r="728" spans="4:7" x14ac:dyDescent="0.25">
      <c r="D728" s="104"/>
      <c r="F728" s="104"/>
      <c r="G728" s="104"/>
    </row>
    <row r="729" spans="4:7" x14ac:dyDescent="0.25">
      <c r="D729" s="104"/>
      <c r="G729" s="104"/>
    </row>
    <row r="730" spans="4:7" x14ac:dyDescent="0.25">
      <c r="D730" s="104"/>
      <c r="G730" s="104"/>
    </row>
    <row r="731" spans="4:7" x14ac:dyDescent="0.25">
      <c r="D731" s="104"/>
      <c r="G731" s="104"/>
    </row>
    <row r="732" spans="4:7" x14ac:dyDescent="0.25">
      <c r="D732" s="104"/>
      <c r="F732" s="104"/>
      <c r="G732" s="104"/>
    </row>
    <row r="733" spans="4:7" x14ac:dyDescent="0.25">
      <c r="D733" s="104"/>
      <c r="F733" s="104"/>
      <c r="G733" s="104"/>
    </row>
    <row r="734" spans="4:7" x14ac:dyDescent="0.25">
      <c r="D734" s="104"/>
      <c r="F734" s="104"/>
      <c r="G734" s="104"/>
    </row>
    <row r="737" spans="4:7" x14ac:dyDescent="0.25">
      <c r="D737" s="104"/>
      <c r="G737" s="104"/>
    </row>
    <row r="738" spans="4:7" x14ac:dyDescent="0.25">
      <c r="D738" s="104"/>
      <c r="G738" s="104"/>
    </row>
    <row r="739" spans="4:7" x14ac:dyDescent="0.25">
      <c r="D739" s="104"/>
      <c r="G739" s="104"/>
    </row>
    <row r="740" spans="4:7" x14ac:dyDescent="0.25">
      <c r="D740" s="104"/>
      <c r="G740" s="104"/>
    </row>
    <row r="741" spans="4:7" x14ac:dyDescent="0.25">
      <c r="D741" s="104"/>
      <c r="G741" s="104"/>
    </row>
    <row r="742" spans="4:7" x14ac:dyDescent="0.25">
      <c r="D742" s="104"/>
      <c r="G742" s="104"/>
    </row>
    <row r="743" spans="4:7" x14ac:dyDescent="0.25">
      <c r="D743" s="104"/>
      <c r="G743" s="104"/>
    </row>
    <row r="744" spans="4:7" x14ac:dyDescent="0.25">
      <c r="D744" s="104"/>
      <c r="G744" s="104"/>
    </row>
    <row r="745" spans="4:7" x14ac:dyDescent="0.25">
      <c r="D745" s="104"/>
      <c r="G745" s="104"/>
    </row>
    <row r="746" spans="4:7" x14ac:dyDescent="0.25">
      <c r="D746" s="104"/>
      <c r="G746" s="104"/>
    </row>
    <row r="747" spans="4:7" x14ac:dyDescent="0.25">
      <c r="D747" s="104"/>
      <c r="G747" s="104"/>
    </row>
    <row r="748" spans="4:7" x14ac:dyDescent="0.25">
      <c r="D748" s="104"/>
      <c r="G748" s="104"/>
    </row>
    <row r="749" spans="4:7" x14ac:dyDescent="0.25">
      <c r="D749" s="104"/>
      <c r="G749" s="104"/>
    </row>
    <row r="750" spans="4:7" x14ac:dyDescent="0.25">
      <c r="D750" s="104"/>
      <c r="G750" s="104"/>
    </row>
    <row r="751" spans="4:7" x14ac:dyDescent="0.25">
      <c r="D751" s="104"/>
      <c r="G751" s="104"/>
    </row>
    <row r="753" spans="4:7" x14ac:dyDescent="0.25">
      <c r="D753" s="104"/>
      <c r="G753" s="104"/>
    </row>
    <row r="757" spans="4:7" x14ac:dyDescent="0.25">
      <c r="D757" s="104"/>
      <c r="G757" s="104"/>
    </row>
    <row r="758" spans="4:7" x14ac:dyDescent="0.25">
      <c r="D758" s="104"/>
      <c r="G758" s="104"/>
    </row>
    <row r="759" spans="4:7" x14ac:dyDescent="0.25">
      <c r="D759" s="104"/>
      <c r="G759" s="104"/>
    </row>
    <row r="760" spans="4:7" x14ac:dyDescent="0.25">
      <c r="D760" s="104"/>
      <c r="G760" s="104"/>
    </row>
    <row r="761" spans="4:7" x14ac:dyDescent="0.25">
      <c r="D761" s="104"/>
      <c r="G761" s="104"/>
    </row>
    <row r="764" spans="4:7" x14ac:dyDescent="0.25">
      <c r="D764" s="104"/>
      <c r="G764" s="104"/>
    </row>
    <row r="765" spans="4:7" x14ac:dyDescent="0.25">
      <c r="D765" s="104"/>
      <c r="F765" s="104"/>
      <c r="G765" s="104"/>
    </row>
    <row r="766" spans="4:7" x14ac:dyDescent="0.25">
      <c r="D766" s="104"/>
      <c r="F766" s="104"/>
      <c r="G766" s="104"/>
    </row>
    <row r="769" spans="4:7" x14ac:dyDescent="0.25">
      <c r="F769" s="104"/>
      <c r="G769" s="104"/>
    </row>
    <row r="770" spans="4:7" x14ac:dyDescent="0.25">
      <c r="D770" s="104"/>
      <c r="F770" s="104"/>
      <c r="G770" s="104"/>
    </row>
    <row r="773" spans="4:7" x14ac:dyDescent="0.25">
      <c r="D773" s="104"/>
      <c r="G773" s="104"/>
    </row>
    <row r="776" spans="4:7" x14ac:dyDescent="0.25">
      <c r="D776" s="104"/>
      <c r="G776" s="104"/>
    </row>
    <row r="777" spans="4:7" x14ac:dyDescent="0.25">
      <c r="D777" s="104"/>
      <c r="G777" s="104"/>
    </row>
    <row r="778" spans="4:7" x14ac:dyDescent="0.25">
      <c r="D778" s="104"/>
      <c r="G778" s="104"/>
    </row>
    <row r="779" spans="4:7" x14ac:dyDescent="0.25">
      <c r="D779" s="104"/>
      <c r="G779" s="104"/>
    </row>
    <row r="782" spans="4:7" x14ac:dyDescent="0.25">
      <c r="D782" s="104"/>
      <c r="G782" s="104"/>
    </row>
    <row r="783" spans="4:7" x14ac:dyDescent="0.25">
      <c r="D783" s="104"/>
      <c r="G783" s="104"/>
    </row>
    <row r="785" spans="4:7" x14ac:dyDescent="0.25">
      <c r="D785" s="104"/>
      <c r="G785" s="104"/>
    </row>
    <row r="786" spans="4:7" x14ac:dyDescent="0.25">
      <c r="D786" s="104"/>
      <c r="G786" s="104"/>
    </row>
    <row r="787" spans="4:7" x14ac:dyDescent="0.25">
      <c r="D787" s="104"/>
      <c r="G787" s="104"/>
    </row>
    <row r="788" spans="4:7" x14ac:dyDescent="0.25">
      <c r="D788" s="104"/>
      <c r="G788" s="104"/>
    </row>
    <row r="789" spans="4:7" x14ac:dyDescent="0.25">
      <c r="D789" s="104"/>
      <c r="G789" s="104"/>
    </row>
    <row r="790" spans="4:7" x14ac:dyDescent="0.25">
      <c r="D790" s="104"/>
      <c r="G790" s="104"/>
    </row>
    <row r="791" spans="4:7" x14ac:dyDescent="0.25">
      <c r="D791" s="104"/>
      <c r="G791" s="104"/>
    </row>
    <row r="792" spans="4:7" x14ac:dyDescent="0.25">
      <c r="D792" s="104"/>
      <c r="G792" s="104"/>
    </row>
    <row r="793" spans="4:7" x14ac:dyDescent="0.25">
      <c r="D793" s="104"/>
      <c r="G793" s="104"/>
    </row>
    <row r="794" spans="4:7" x14ac:dyDescent="0.25">
      <c r="D794" s="104"/>
      <c r="G794" s="104"/>
    </row>
    <row r="795" spans="4:7" x14ac:dyDescent="0.25">
      <c r="D795" s="104"/>
      <c r="G795" s="104"/>
    </row>
    <row r="796" spans="4:7" x14ac:dyDescent="0.25">
      <c r="D796" s="104"/>
      <c r="G796" s="104"/>
    </row>
    <row r="797" spans="4:7" x14ac:dyDescent="0.25">
      <c r="D797" s="104"/>
      <c r="G797" s="104"/>
    </row>
    <row r="798" spans="4:7" x14ac:dyDescent="0.25">
      <c r="D798" s="104"/>
      <c r="G798" s="104"/>
    </row>
    <row r="801" spans="4:7" x14ac:dyDescent="0.25">
      <c r="D801" s="104"/>
      <c r="G801" s="104"/>
    </row>
    <row r="802" spans="4:7" x14ac:dyDescent="0.25">
      <c r="D802" s="104"/>
      <c r="G802" s="104"/>
    </row>
    <row r="803" spans="4:7" x14ac:dyDescent="0.25">
      <c r="D803" s="104"/>
      <c r="G803" s="104"/>
    </row>
    <row r="808" spans="4:7" x14ac:dyDescent="0.25">
      <c r="D808" s="104"/>
      <c r="G808" s="104"/>
    </row>
    <row r="809" spans="4:7" x14ac:dyDescent="0.25">
      <c r="D809" s="104"/>
      <c r="G809" s="104"/>
    </row>
    <row r="810" spans="4:7" x14ac:dyDescent="0.25">
      <c r="D810" s="104"/>
      <c r="G810" s="104"/>
    </row>
    <row r="811" spans="4:7" x14ac:dyDescent="0.25">
      <c r="D811" s="104"/>
      <c r="G811" s="104"/>
    </row>
    <row r="814" spans="4:7" x14ac:dyDescent="0.25">
      <c r="D814" s="104"/>
      <c r="G814" s="104"/>
    </row>
    <row r="815" spans="4:7" x14ac:dyDescent="0.25">
      <c r="D815" s="104"/>
      <c r="G815" s="104"/>
    </row>
    <row r="816" spans="4:7" x14ac:dyDescent="0.25">
      <c r="D816" s="104"/>
      <c r="G816" s="104"/>
    </row>
    <row r="817" spans="4:7" x14ac:dyDescent="0.25">
      <c r="D817" s="104"/>
      <c r="G817" s="104"/>
    </row>
    <row r="819" spans="4:7" x14ac:dyDescent="0.25">
      <c r="D819" s="104"/>
      <c r="G819" s="104"/>
    </row>
    <row r="822" spans="4:7" x14ac:dyDescent="0.25">
      <c r="D822" s="104"/>
      <c r="G822" s="104"/>
    </row>
    <row r="823" spans="4:7" x14ac:dyDescent="0.25">
      <c r="D823" s="104"/>
      <c r="G823" s="104"/>
    </row>
    <row r="824" spans="4:7" x14ac:dyDescent="0.25">
      <c r="D824" s="104"/>
      <c r="G824" s="104"/>
    </row>
    <row r="825" spans="4:7" x14ac:dyDescent="0.25">
      <c r="D825" s="104"/>
      <c r="G825" s="104"/>
    </row>
    <row r="826" spans="4:7" x14ac:dyDescent="0.25">
      <c r="D826" s="104"/>
      <c r="G826" s="104"/>
    </row>
    <row r="827" spans="4:7" x14ac:dyDescent="0.25">
      <c r="D827" s="104"/>
      <c r="G827" s="104"/>
    </row>
    <row r="828" spans="4:7" x14ac:dyDescent="0.25">
      <c r="D828" s="104"/>
      <c r="G828" s="104"/>
    </row>
    <row r="829" spans="4:7" x14ac:dyDescent="0.25">
      <c r="D829" s="104"/>
      <c r="G829" s="104"/>
    </row>
    <row r="830" spans="4:7" x14ac:dyDescent="0.25">
      <c r="D830" s="104"/>
      <c r="G830" s="104"/>
    </row>
    <row r="831" spans="4:7" x14ac:dyDescent="0.25">
      <c r="D831" s="104"/>
      <c r="G831" s="104"/>
    </row>
    <row r="832" spans="4:7" x14ac:dyDescent="0.25">
      <c r="D832" s="104"/>
      <c r="G832" s="104"/>
    </row>
    <row r="833" spans="4:7" x14ac:dyDescent="0.25">
      <c r="D833" s="104"/>
      <c r="G833" s="104"/>
    </row>
    <row r="834" spans="4:7" x14ac:dyDescent="0.25">
      <c r="D834" s="104"/>
      <c r="G834" s="104"/>
    </row>
    <row r="835" spans="4:7" x14ac:dyDescent="0.25">
      <c r="D835" s="104"/>
      <c r="G835" s="104"/>
    </row>
    <row r="836" spans="4:7" x14ac:dyDescent="0.25">
      <c r="D836" s="104"/>
      <c r="G836" s="104"/>
    </row>
    <row r="837" spans="4:7" x14ac:dyDescent="0.25">
      <c r="D837" s="104"/>
      <c r="G837" s="104"/>
    </row>
    <row r="840" spans="4:7" x14ac:dyDescent="0.25">
      <c r="D840" s="104"/>
      <c r="G840" s="104"/>
    </row>
    <row r="841" spans="4:7" x14ac:dyDescent="0.25">
      <c r="D841" s="104"/>
      <c r="G841" s="104"/>
    </row>
    <row r="842" spans="4:7" x14ac:dyDescent="0.25">
      <c r="D842" s="104"/>
      <c r="G842" s="104"/>
    </row>
    <row r="843" spans="4:7" x14ac:dyDescent="0.25">
      <c r="D843" s="104"/>
      <c r="G843" s="104"/>
    </row>
    <row r="844" spans="4:7" x14ac:dyDescent="0.25">
      <c r="D844" s="104"/>
      <c r="G844" s="104"/>
    </row>
    <row r="846" spans="4:7" x14ac:dyDescent="0.25">
      <c r="D846" s="104"/>
      <c r="G846" s="104"/>
    </row>
    <row r="847" spans="4:7" x14ac:dyDescent="0.25">
      <c r="D847" s="104"/>
      <c r="G847" s="104"/>
    </row>
    <row r="848" spans="4:7" x14ac:dyDescent="0.25">
      <c r="D848" s="104"/>
      <c r="G848" s="104"/>
    </row>
    <row r="849" spans="4:7" x14ac:dyDescent="0.25">
      <c r="D849" s="104"/>
      <c r="G849" s="104"/>
    </row>
    <row r="850" spans="4:7" x14ac:dyDescent="0.25">
      <c r="D850" s="104"/>
      <c r="G850" s="104"/>
    </row>
    <row r="851" spans="4:7" x14ac:dyDescent="0.25">
      <c r="D851" s="104"/>
      <c r="G851" s="104"/>
    </row>
    <row r="852" spans="4:7" x14ac:dyDescent="0.25">
      <c r="D852" s="104"/>
      <c r="G852" s="104"/>
    </row>
    <row r="853" spans="4:7" x14ac:dyDescent="0.25">
      <c r="D853" s="104"/>
      <c r="G853" s="104"/>
    </row>
    <row r="854" spans="4:7" x14ac:dyDescent="0.25">
      <c r="D854" s="104"/>
      <c r="G854" s="104"/>
    </row>
    <row r="855" spans="4:7" x14ac:dyDescent="0.25">
      <c r="D855" s="104"/>
      <c r="G855" s="104"/>
    </row>
    <row r="856" spans="4:7" x14ac:dyDescent="0.25">
      <c r="D856" s="104"/>
      <c r="G856" s="104"/>
    </row>
    <row r="857" spans="4:7" x14ac:dyDescent="0.25">
      <c r="D857" s="104"/>
      <c r="G857" s="104"/>
    </row>
    <row r="858" spans="4:7" x14ac:dyDescent="0.25">
      <c r="D858" s="104"/>
      <c r="G858" s="104"/>
    </row>
    <row r="859" spans="4:7" x14ac:dyDescent="0.25">
      <c r="D859" s="104"/>
      <c r="G859" s="104"/>
    </row>
    <row r="860" spans="4:7" x14ac:dyDescent="0.25">
      <c r="D860" s="104"/>
      <c r="G860" s="104"/>
    </row>
    <row r="862" spans="4:7" x14ac:dyDescent="0.25">
      <c r="D862" s="104"/>
      <c r="G862" s="104"/>
    </row>
    <row r="863" spans="4:7" x14ac:dyDescent="0.25">
      <c r="D863" s="104"/>
      <c r="G863" s="104"/>
    </row>
    <row r="864" spans="4:7" x14ac:dyDescent="0.25">
      <c r="D864" s="104"/>
      <c r="G864" s="104"/>
    </row>
    <row r="865" spans="4:7" x14ac:dyDescent="0.25">
      <c r="D865" s="104"/>
      <c r="G865" s="104"/>
    </row>
    <row r="866" spans="4:7" x14ac:dyDescent="0.25">
      <c r="D866" s="104"/>
      <c r="G866" s="104"/>
    </row>
    <row r="867" spans="4:7" x14ac:dyDescent="0.25">
      <c r="D867" s="104"/>
      <c r="G867" s="104"/>
    </row>
    <row r="868" spans="4:7" x14ac:dyDescent="0.25">
      <c r="D868" s="104"/>
      <c r="G868" s="104"/>
    </row>
    <row r="872" spans="4:7" x14ac:dyDescent="0.25">
      <c r="D872" s="104"/>
      <c r="G872" s="104"/>
    </row>
    <row r="873" spans="4:7" x14ac:dyDescent="0.25">
      <c r="D873" s="104"/>
      <c r="G873" s="104"/>
    </row>
    <row r="879" spans="4:7" x14ac:dyDescent="0.25">
      <c r="D879" s="104"/>
      <c r="F879" s="104"/>
      <c r="G879" s="104"/>
    </row>
    <row r="882" spans="4:7" x14ac:dyDescent="0.25">
      <c r="D882" s="104"/>
      <c r="E882" s="104"/>
      <c r="G882" s="104"/>
    </row>
    <row r="883" spans="4:7" x14ac:dyDescent="0.25">
      <c r="D883" s="104"/>
      <c r="E883" s="104"/>
      <c r="G883" s="104"/>
    </row>
    <row r="887" spans="4:7" x14ac:dyDescent="0.25">
      <c r="D887" s="104"/>
      <c r="G887" s="104"/>
    </row>
    <row r="888" spans="4:7" x14ac:dyDescent="0.25">
      <c r="D888" s="104"/>
      <c r="G888" s="104"/>
    </row>
    <row r="889" spans="4:7" x14ac:dyDescent="0.25">
      <c r="D889" s="104"/>
      <c r="G889" s="104"/>
    </row>
    <row r="890" spans="4:7" x14ac:dyDescent="0.25">
      <c r="D890" s="104"/>
      <c r="G890" s="104"/>
    </row>
    <row r="891" spans="4:7" x14ac:dyDescent="0.25">
      <c r="D891" s="104"/>
      <c r="G891" s="104"/>
    </row>
    <row r="892" spans="4:7" x14ac:dyDescent="0.25">
      <c r="D892" s="104"/>
      <c r="G892" s="104"/>
    </row>
    <row r="893" spans="4:7" x14ac:dyDescent="0.25">
      <c r="D893" s="104"/>
      <c r="G893" s="104"/>
    </row>
    <row r="894" spans="4:7" x14ac:dyDescent="0.25">
      <c r="D894" s="104"/>
      <c r="G894" s="104"/>
    </row>
    <row r="895" spans="4:7" x14ac:dyDescent="0.25">
      <c r="D895" s="104"/>
      <c r="G895" s="104"/>
    </row>
    <row r="896" spans="4:7" x14ac:dyDescent="0.25">
      <c r="D896" s="104"/>
      <c r="G896" s="104"/>
    </row>
    <row r="897" spans="4:7" x14ac:dyDescent="0.25">
      <c r="D897" s="104"/>
      <c r="G897" s="104"/>
    </row>
    <row r="898" spans="4:7" x14ac:dyDescent="0.25">
      <c r="D898" s="104"/>
      <c r="G898" s="104"/>
    </row>
    <row r="899" spans="4:7" x14ac:dyDescent="0.25">
      <c r="D899" s="104"/>
      <c r="G899" s="104"/>
    </row>
    <row r="900" spans="4:7" x14ac:dyDescent="0.25">
      <c r="D900" s="104"/>
      <c r="G900" s="104"/>
    </row>
    <row r="901" spans="4:7" x14ac:dyDescent="0.25">
      <c r="D901" s="104"/>
      <c r="G901" s="104"/>
    </row>
    <row r="902" spans="4:7" x14ac:dyDescent="0.25">
      <c r="D902" s="104"/>
      <c r="G902" s="104"/>
    </row>
    <row r="903" spans="4:7" x14ac:dyDescent="0.25">
      <c r="D903" s="104"/>
      <c r="G903" s="104"/>
    </row>
    <row r="904" spans="4:7" x14ac:dyDescent="0.25">
      <c r="D904" s="104"/>
      <c r="G904" s="104"/>
    </row>
    <row r="905" spans="4:7" x14ac:dyDescent="0.25">
      <c r="D905" s="104"/>
      <c r="G905" s="104"/>
    </row>
    <row r="906" spans="4:7" x14ac:dyDescent="0.25">
      <c r="D906" s="104"/>
      <c r="G906" s="104"/>
    </row>
    <row r="907" spans="4:7" x14ac:dyDescent="0.25">
      <c r="D907" s="104"/>
      <c r="G907" s="104"/>
    </row>
    <row r="908" spans="4:7" x14ac:dyDescent="0.25">
      <c r="D908" s="104"/>
      <c r="G908" s="104"/>
    </row>
    <row r="909" spans="4:7" x14ac:dyDescent="0.25">
      <c r="D909" s="104"/>
      <c r="G909" s="104"/>
    </row>
    <row r="910" spans="4:7" x14ac:dyDescent="0.25">
      <c r="D910" s="104"/>
      <c r="G910" s="104"/>
    </row>
    <row r="911" spans="4:7" x14ac:dyDescent="0.25">
      <c r="D911" s="104"/>
      <c r="G911" s="104"/>
    </row>
    <row r="912" spans="4:7" x14ac:dyDescent="0.25">
      <c r="D912" s="104"/>
      <c r="G912" s="104"/>
    </row>
    <row r="913" spans="4:7" x14ac:dyDescent="0.25">
      <c r="D913" s="104"/>
      <c r="G913" s="104"/>
    </row>
    <row r="914" spans="4:7" x14ac:dyDescent="0.25">
      <c r="D914" s="104"/>
      <c r="G914" s="104"/>
    </row>
    <row r="915" spans="4:7" x14ac:dyDescent="0.25">
      <c r="D915" s="104"/>
      <c r="G915" s="104"/>
    </row>
    <row r="916" spans="4:7" x14ac:dyDescent="0.25">
      <c r="D916" s="104"/>
      <c r="G916" s="104"/>
    </row>
    <row r="917" spans="4:7" x14ac:dyDescent="0.25">
      <c r="D917" s="104"/>
      <c r="G917" s="104"/>
    </row>
    <row r="918" spans="4:7" x14ac:dyDescent="0.25">
      <c r="D918" s="104"/>
      <c r="G918" s="104"/>
    </row>
    <row r="919" spans="4:7" x14ac:dyDescent="0.25">
      <c r="D919" s="104"/>
      <c r="G919" s="104"/>
    </row>
    <row r="920" spans="4:7" x14ac:dyDescent="0.25">
      <c r="D920" s="104"/>
      <c r="G920" s="104"/>
    </row>
    <row r="921" spans="4:7" x14ac:dyDescent="0.25">
      <c r="D921" s="104"/>
      <c r="G921" s="104"/>
    </row>
    <row r="922" spans="4:7" x14ac:dyDescent="0.25">
      <c r="D922" s="104"/>
      <c r="G922" s="104"/>
    </row>
    <row r="923" spans="4:7" x14ac:dyDescent="0.25">
      <c r="D923" s="104"/>
      <c r="G923" s="104"/>
    </row>
    <row r="924" spans="4:7" x14ac:dyDescent="0.25">
      <c r="D924" s="104"/>
      <c r="G924" s="104"/>
    </row>
    <row r="925" spans="4:7" x14ac:dyDescent="0.25">
      <c r="D925" s="104"/>
      <c r="G925" s="104"/>
    </row>
    <row r="926" spans="4:7" x14ac:dyDescent="0.25">
      <c r="D926" s="104"/>
      <c r="G926" s="104"/>
    </row>
    <row r="927" spans="4:7" x14ac:dyDescent="0.25">
      <c r="D927" s="104"/>
      <c r="G927" s="104"/>
    </row>
    <row r="928" spans="4:7" x14ac:dyDescent="0.25">
      <c r="D928" s="104"/>
      <c r="G928" s="104"/>
    </row>
    <row r="929" spans="4:7" x14ac:dyDescent="0.25">
      <c r="D929" s="104"/>
      <c r="G929" s="104"/>
    </row>
    <row r="930" spans="4:7" x14ac:dyDescent="0.25">
      <c r="D930" s="104"/>
      <c r="G930" s="104"/>
    </row>
    <row r="931" spans="4:7" x14ac:dyDescent="0.25">
      <c r="D931" s="104"/>
      <c r="G931" s="104"/>
    </row>
    <row r="932" spans="4:7" x14ac:dyDescent="0.25">
      <c r="D932" s="104"/>
      <c r="G932" s="104"/>
    </row>
    <row r="933" spans="4:7" x14ac:dyDescent="0.25">
      <c r="D933" s="104"/>
      <c r="G933" s="104"/>
    </row>
    <row r="934" spans="4:7" x14ac:dyDescent="0.25">
      <c r="D934" s="104"/>
      <c r="G934" s="104"/>
    </row>
    <row r="935" spans="4:7" x14ac:dyDescent="0.25">
      <c r="D935" s="104"/>
      <c r="G935" s="104"/>
    </row>
    <row r="936" spans="4:7" x14ac:dyDescent="0.25">
      <c r="D936" s="104"/>
      <c r="G936" s="104"/>
    </row>
    <row r="939" spans="4:7" x14ac:dyDescent="0.25">
      <c r="D939" s="104"/>
      <c r="G939" s="104"/>
    </row>
    <row r="940" spans="4:7" x14ac:dyDescent="0.25">
      <c r="D940" s="104"/>
      <c r="G940" s="104"/>
    </row>
    <row r="941" spans="4:7" x14ac:dyDescent="0.25">
      <c r="D941" s="104"/>
      <c r="G941" s="104"/>
    </row>
    <row r="944" spans="4:7" x14ac:dyDescent="0.25">
      <c r="D944" s="104"/>
      <c r="G944" s="104"/>
    </row>
    <row r="945" spans="4:7" x14ac:dyDescent="0.25">
      <c r="D945" s="104"/>
      <c r="G945" s="104"/>
    </row>
    <row r="946" spans="4:7" x14ac:dyDescent="0.25">
      <c r="D946" s="104"/>
      <c r="G946" s="104"/>
    </row>
    <row r="947" spans="4:7" x14ac:dyDescent="0.25">
      <c r="D947" s="104"/>
      <c r="G947" s="104"/>
    </row>
    <row r="948" spans="4:7" x14ac:dyDescent="0.25">
      <c r="D948" s="104"/>
      <c r="G948" s="104"/>
    </row>
    <row r="949" spans="4:7" x14ac:dyDescent="0.25">
      <c r="D949" s="104"/>
      <c r="G949" s="104"/>
    </row>
    <row r="952" spans="4:7" x14ac:dyDescent="0.25">
      <c r="D952" s="104"/>
      <c r="G952" s="104"/>
    </row>
    <row r="953" spans="4:7" x14ac:dyDescent="0.25">
      <c r="D953" s="104"/>
      <c r="G953" s="104"/>
    </row>
    <row r="956" spans="4:7" x14ac:dyDescent="0.25">
      <c r="D956" s="104"/>
      <c r="G956" s="104"/>
    </row>
    <row r="957" spans="4:7" x14ac:dyDescent="0.25">
      <c r="D957" s="104"/>
      <c r="G957" s="104"/>
    </row>
    <row r="958" spans="4:7" x14ac:dyDescent="0.25">
      <c r="D958" s="104"/>
      <c r="G958" s="104"/>
    </row>
    <row r="961" spans="4:7" x14ac:dyDescent="0.25">
      <c r="D961" s="104"/>
      <c r="G961" s="104"/>
    </row>
    <row r="962" spans="4:7" x14ac:dyDescent="0.25">
      <c r="D962" s="104"/>
      <c r="G962" s="104"/>
    </row>
    <row r="963" spans="4:7" x14ac:dyDescent="0.25">
      <c r="D963" s="104"/>
      <c r="G963" s="104"/>
    </row>
    <row r="966" spans="4:7" x14ac:dyDescent="0.25">
      <c r="D966" s="104"/>
      <c r="G966" s="104"/>
    </row>
    <row r="967" spans="4:7" x14ac:dyDescent="0.25">
      <c r="D967" s="104"/>
      <c r="G967" s="104"/>
    </row>
    <row r="968" spans="4:7" x14ac:dyDescent="0.25">
      <c r="D968" s="104"/>
      <c r="G968" s="104"/>
    </row>
    <row r="971" spans="4:7" x14ac:dyDescent="0.25">
      <c r="D971" s="104"/>
      <c r="G971" s="104"/>
    </row>
    <row r="972" spans="4:7" x14ac:dyDescent="0.25">
      <c r="D972" s="104"/>
      <c r="G972" s="104"/>
    </row>
    <row r="973" spans="4:7" x14ac:dyDescent="0.25">
      <c r="D973" s="104"/>
      <c r="G973" s="104"/>
    </row>
    <row r="976" spans="4:7" x14ac:dyDescent="0.25">
      <c r="D976" s="104"/>
      <c r="G976" s="104"/>
    </row>
    <row r="977" spans="4:7" x14ac:dyDescent="0.25">
      <c r="D977" s="104"/>
      <c r="G977" s="104"/>
    </row>
    <row r="980" spans="4:7" x14ac:dyDescent="0.25">
      <c r="D980" s="104"/>
      <c r="G980" s="104"/>
    </row>
    <row r="981" spans="4:7" x14ac:dyDescent="0.25">
      <c r="D981" s="104"/>
      <c r="G981" s="104"/>
    </row>
    <row r="984" spans="4:7" x14ac:dyDescent="0.25">
      <c r="D984" s="104"/>
      <c r="G984" s="104"/>
    </row>
    <row r="985" spans="4:7" x14ac:dyDescent="0.25">
      <c r="D985" s="104"/>
      <c r="G985" s="104"/>
    </row>
    <row r="986" spans="4:7" x14ac:dyDescent="0.25">
      <c r="D986" s="104"/>
      <c r="G986" s="104"/>
    </row>
    <row r="987" spans="4:7" x14ac:dyDescent="0.25">
      <c r="D987" s="104"/>
      <c r="G987" s="104"/>
    </row>
    <row r="990" spans="4:7" x14ac:dyDescent="0.25">
      <c r="D990" s="104"/>
      <c r="G990" s="104"/>
    </row>
    <row r="991" spans="4:7" x14ac:dyDescent="0.25">
      <c r="D991" s="104"/>
      <c r="G991" s="104"/>
    </row>
    <row r="992" spans="4:7" x14ac:dyDescent="0.25">
      <c r="D992" s="104"/>
      <c r="G992" s="104"/>
    </row>
    <row r="993" spans="4:7" x14ac:dyDescent="0.25">
      <c r="D993" s="104"/>
      <c r="G993" s="104"/>
    </row>
    <row r="996" spans="4:7" x14ac:dyDescent="0.25">
      <c r="D996" s="104"/>
      <c r="E996" s="104"/>
      <c r="G996" s="104"/>
    </row>
    <row r="997" spans="4:7" x14ac:dyDescent="0.25">
      <c r="D997" s="104"/>
      <c r="E997" s="104"/>
      <c r="G997" s="104"/>
    </row>
    <row r="1000" spans="4:7" x14ac:dyDescent="0.25">
      <c r="D1000" s="104"/>
      <c r="G1000" s="104"/>
    </row>
    <row r="1001" spans="4:7" x14ac:dyDescent="0.25">
      <c r="D1001" s="104"/>
      <c r="G1001" s="104"/>
    </row>
    <row r="1009" spans="4:7" x14ac:dyDescent="0.25">
      <c r="D1009" s="104"/>
      <c r="G1009" s="104"/>
    </row>
    <row r="1010" spans="4:7" x14ac:dyDescent="0.25">
      <c r="D1010" s="104"/>
      <c r="G1010" s="104"/>
    </row>
    <row r="1013" spans="4:7" x14ac:dyDescent="0.25">
      <c r="D1013" s="104"/>
      <c r="G1013" s="104"/>
    </row>
    <row r="1014" spans="4:7" x14ac:dyDescent="0.25">
      <c r="D1014" s="104"/>
      <c r="G1014" s="104"/>
    </row>
    <row r="1017" spans="4:7" x14ac:dyDescent="0.25">
      <c r="D1017" s="104"/>
      <c r="G1017" s="104"/>
    </row>
    <row r="1018" spans="4:7" x14ac:dyDescent="0.25">
      <c r="D1018" s="104"/>
      <c r="G1018" s="104"/>
    </row>
    <row r="1019" spans="4:7" x14ac:dyDescent="0.25">
      <c r="D1019" s="104"/>
      <c r="G1019" s="104"/>
    </row>
    <row r="1020" spans="4:7" x14ac:dyDescent="0.25">
      <c r="D1020" s="104"/>
      <c r="G1020" s="104"/>
    </row>
    <row r="1021" spans="4:7" x14ac:dyDescent="0.25">
      <c r="D1021" s="104"/>
      <c r="G1021" s="104"/>
    </row>
    <row r="1024" spans="4:7" x14ac:dyDescent="0.25">
      <c r="D1024" s="104"/>
      <c r="G1024" s="104"/>
    </row>
    <row r="1025" spans="4:7" x14ac:dyDescent="0.25">
      <c r="D1025" s="104"/>
      <c r="G1025" s="104"/>
    </row>
    <row r="1026" spans="4:7" x14ac:dyDescent="0.25">
      <c r="D1026" s="104"/>
      <c r="G1026" s="104"/>
    </row>
    <row r="1027" spans="4:7" x14ac:dyDescent="0.25">
      <c r="D1027" s="104"/>
      <c r="G1027" s="104"/>
    </row>
    <row r="1028" spans="4:7" x14ac:dyDescent="0.25">
      <c r="D1028" s="104"/>
      <c r="G1028" s="104"/>
    </row>
    <row r="1031" spans="4:7" x14ac:dyDescent="0.25">
      <c r="D1031" s="104"/>
      <c r="G1031" s="104"/>
    </row>
    <row r="1032" spans="4:7" x14ac:dyDescent="0.25">
      <c r="D1032" s="104"/>
      <c r="G1032" s="104"/>
    </row>
    <row r="1033" spans="4:7" x14ac:dyDescent="0.25">
      <c r="D1033" s="104"/>
      <c r="G1033" s="104"/>
    </row>
    <row r="1036" spans="4:7" x14ac:dyDescent="0.25">
      <c r="D1036" s="104"/>
      <c r="G1036" s="104"/>
    </row>
    <row r="1037" spans="4:7" x14ac:dyDescent="0.25">
      <c r="D1037" s="104"/>
      <c r="G1037" s="104"/>
    </row>
    <row r="1040" spans="4:7" x14ac:dyDescent="0.25">
      <c r="D1040" s="104"/>
      <c r="G1040" s="104"/>
    </row>
    <row r="1041" spans="4:7" x14ac:dyDescent="0.25">
      <c r="D1041" s="104"/>
      <c r="G1041" s="104"/>
    </row>
    <row r="1044" spans="4:7" x14ac:dyDescent="0.25">
      <c r="D1044" s="104"/>
      <c r="G1044" s="104"/>
    </row>
    <row r="1045" spans="4:7" x14ac:dyDescent="0.25">
      <c r="D1045" s="104"/>
      <c r="G1045" s="104"/>
    </row>
    <row r="1048" spans="4:7" x14ac:dyDescent="0.25">
      <c r="D1048" s="104"/>
      <c r="G1048" s="104"/>
    </row>
    <row r="1049" spans="4:7" x14ac:dyDescent="0.25">
      <c r="D1049" s="104"/>
      <c r="G1049" s="104"/>
    </row>
    <row r="1052" spans="4:7" x14ac:dyDescent="0.25">
      <c r="D1052" s="104"/>
      <c r="G1052" s="104"/>
    </row>
    <row r="1053" spans="4:7" x14ac:dyDescent="0.25">
      <c r="D1053" s="104"/>
      <c r="G1053" s="104"/>
    </row>
    <row r="1056" spans="4:7" x14ac:dyDescent="0.25">
      <c r="D1056" s="104"/>
      <c r="G1056" s="104"/>
    </row>
    <row r="1057" spans="4:7" x14ac:dyDescent="0.25">
      <c r="D1057" s="104"/>
      <c r="G1057" s="104"/>
    </row>
    <row r="1058" spans="4:7" x14ac:dyDescent="0.25">
      <c r="D1058" s="104"/>
      <c r="G1058" s="104"/>
    </row>
    <row r="1059" spans="4:7" x14ac:dyDescent="0.25">
      <c r="D1059" s="104"/>
      <c r="G1059" s="104"/>
    </row>
    <row r="1060" spans="4:7" x14ac:dyDescent="0.25">
      <c r="D1060" s="104"/>
      <c r="G1060" s="104"/>
    </row>
    <row r="1063" spans="4:7" x14ac:dyDescent="0.25">
      <c r="D1063" s="104"/>
      <c r="G1063" s="104"/>
    </row>
    <row r="1064" spans="4:7" x14ac:dyDescent="0.25">
      <c r="D1064" s="104"/>
      <c r="G1064" s="104"/>
    </row>
    <row r="1065" spans="4:7" x14ac:dyDescent="0.25">
      <c r="D1065" s="104"/>
      <c r="G1065" s="104"/>
    </row>
    <row r="1066" spans="4:7" x14ac:dyDescent="0.25">
      <c r="D1066" s="104"/>
      <c r="G1066" s="104"/>
    </row>
    <row r="1069" spans="4:7" x14ac:dyDescent="0.25">
      <c r="D1069" s="104"/>
      <c r="G1069" s="104"/>
    </row>
    <row r="1070" spans="4:7" x14ac:dyDescent="0.25">
      <c r="D1070" s="104"/>
      <c r="G1070" s="104"/>
    </row>
    <row r="1071" spans="4:7" x14ac:dyDescent="0.25">
      <c r="D1071" s="104"/>
      <c r="G1071" s="104"/>
    </row>
    <row r="1073" spans="4:7" x14ac:dyDescent="0.25">
      <c r="D1073" s="104"/>
      <c r="E1073" s="104"/>
      <c r="F1073" s="104"/>
      <c r="G1073" s="104"/>
    </row>
    <row r="1076" spans="4:7" x14ac:dyDescent="0.25">
      <c r="E1076" s="104"/>
      <c r="F1076" s="104"/>
      <c r="G1076" s="104"/>
    </row>
    <row r="1079" spans="4:7" x14ac:dyDescent="0.25">
      <c r="D1079" s="104"/>
      <c r="E1079" s="104"/>
    </row>
    <row r="1081" spans="4:7" x14ac:dyDescent="0.25">
      <c r="D1081" s="104"/>
      <c r="E1081" s="104"/>
      <c r="F1081" s="104"/>
      <c r="G1081" s="104"/>
    </row>
    <row r="1082" spans="4:7" x14ac:dyDescent="0.25">
      <c r="E1082" s="104"/>
      <c r="F1082" s="104"/>
      <c r="G1082" s="104"/>
    </row>
    <row r="1087" spans="4:7" x14ac:dyDescent="0.25">
      <c r="E1087" s="104"/>
      <c r="F1087" s="104"/>
    </row>
    <row r="1089" spans="4:7" x14ac:dyDescent="0.25">
      <c r="E1089" s="104"/>
      <c r="F1089" s="104"/>
    </row>
    <row r="1090" spans="4:7" x14ac:dyDescent="0.25">
      <c r="E1090" s="104"/>
      <c r="F1090" s="104"/>
    </row>
    <row r="1091" spans="4:7" x14ac:dyDescent="0.25">
      <c r="D1091" s="104"/>
      <c r="E1091" s="104"/>
      <c r="F1091" s="104"/>
    </row>
    <row r="1092" spans="4:7" x14ac:dyDescent="0.25">
      <c r="E1092" s="104"/>
      <c r="F1092" s="104"/>
      <c r="G1092" s="104"/>
    </row>
    <row r="1093" spans="4:7" x14ac:dyDescent="0.25">
      <c r="D1093" s="104"/>
      <c r="E1093" s="104"/>
      <c r="F1093" s="104"/>
      <c r="G1093" s="104"/>
    </row>
    <row r="1100" spans="4:7" x14ac:dyDescent="0.25">
      <c r="D1100" s="104"/>
      <c r="G1100" s="104"/>
    </row>
    <row r="1101" spans="4:7" x14ac:dyDescent="0.25">
      <c r="D1101" s="104"/>
      <c r="G1101" s="104"/>
    </row>
    <row r="1102" spans="4:7" x14ac:dyDescent="0.25">
      <c r="D1102" s="104"/>
      <c r="G1102" s="104"/>
    </row>
    <row r="1103" spans="4:7" x14ac:dyDescent="0.25">
      <c r="D1103" s="104"/>
      <c r="G1103" s="104"/>
    </row>
    <row r="1104" spans="4:7" x14ac:dyDescent="0.25">
      <c r="D1104" s="104"/>
      <c r="G1104" s="104"/>
    </row>
    <row r="1105" spans="4:7" x14ac:dyDescent="0.25">
      <c r="D1105" s="104"/>
      <c r="G1105" s="104"/>
    </row>
    <row r="1106" spans="4:7" x14ac:dyDescent="0.25">
      <c r="D1106" s="104"/>
      <c r="G1106" s="104"/>
    </row>
    <row r="1107" spans="4:7" x14ac:dyDescent="0.25">
      <c r="D1107" s="104"/>
      <c r="G1107" s="104"/>
    </row>
    <row r="1108" spans="4:7" x14ac:dyDescent="0.25">
      <c r="D1108" s="104"/>
      <c r="G1108" s="104"/>
    </row>
    <row r="1109" spans="4:7" x14ac:dyDescent="0.25">
      <c r="D1109" s="104"/>
      <c r="G1109" s="104"/>
    </row>
    <row r="1110" spans="4:7" x14ac:dyDescent="0.25">
      <c r="D1110" s="104"/>
      <c r="G1110" s="104"/>
    </row>
    <row r="1113" spans="4:7" x14ac:dyDescent="0.25">
      <c r="D1113" s="104"/>
      <c r="G1113" s="104"/>
    </row>
    <row r="1114" spans="4:7" x14ac:dyDescent="0.25">
      <c r="D1114" s="104"/>
      <c r="G1114" s="104"/>
    </row>
    <row r="1115" spans="4:7" x14ac:dyDescent="0.25">
      <c r="D1115" s="104"/>
      <c r="G1115" s="104"/>
    </row>
    <row r="1118" spans="4:7" x14ac:dyDescent="0.25">
      <c r="D1118" s="104"/>
      <c r="E1118" s="104"/>
      <c r="F1118" s="104"/>
      <c r="G1118" s="104"/>
    </row>
    <row r="1119" spans="4:7" x14ac:dyDescent="0.25">
      <c r="D1119" s="104"/>
      <c r="E1119" s="104"/>
      <c r="F1119" s="104"/>
      <c r="G1119" s="104"/>
    </row>
    <row r="1122" spans="4:7" x14ac:dyDescent="0.25">
      <c r="D1122" s="104"/>
      <c r="E1122" s="104"/>
      <c r="F1122" s="104"/>
      <c r="G1122" s="104"/>
    </row>
    <row r="1123" spans="4:7" x14ac:dyDescent="0.25">
      <c r="D1123" s="104"/>
      <c r="E1123" s="104"/>
      <c r="F1123" s="104"/>
      <c r="G1123" s="104"/>
    </row>
    <row r="1126" spans="4:7" x14ac:dyDescent="0.25">
      <c r="D1126" s="104"/>
      <c r="E1126" s="104"/>
      <c r="G1126" s="104"/>
    </row>
    <row r="1127" spans="4:7" x14ac:dyDescent="0.25">
      <c r="D1127" s="104"/>
      <c r="E1127" s="104"/>
      <c r="G1127" s="104"/>
    </row>
    <row r="1130" spans="4:7" x14ac:dyDescent="0.25">
      <c r="D1130" s="104"/>
      <c r="G1130" s="104"/>
    </row>
    <row r="1131" spans="4:7" x14ac:dyDescent="0.25">
      <c r="D1131" s="104"/>
      <c r="G1131" s="104"/>
    </row>
    <row r="1133" spans="4:7" x14ac:dyDescent="0.25">
      <c r="D1133" s="104"/>
      <c r="G1133" s="104"/>
    </row>
    <row r="1134" spans="4:7" x14ac:dyDescent="0.25">
      <c r="D1134" s="104"/>
      <c r="G1134" s="104"/>
    </row>
    <row r="1135" spans="4:7" x14ac:dyDescent="0.25">
      <c r="D1135" s="104"/>
      <c r="G1135" s="104"/>
    </row>
    <row r="1136" spans="4:7" x14ac:dyDescent="0.25">
      <c r="D1136" s="104"/>
      <c r="G1136" s="104"/>
    </row>
    <row r="1139" spans="4:7" x14ac:dyDescent="0.25">
      <c r="D1139" s="104"/>
      <c r="G1139" s="104"/>
    </row>
    <row r="1140" spans="4:7" x14ac:dyDescent="0.25">
      <c r="D1140" s="104"/>
      <c r="G1140" s="104"/>
    </row>
    <row r="1143" spans="4:7" x14ac:dyDescent="0.25">
      <c r="D1143" s="104"/>
      <c r="G1143" s="104"/>
    </row>
    <row r="1144" spans="4:7" x14ac:dyDescent="0.25">
      <c r="D1144" s="104"/>
      <c r="G1144" s="104"/>
    </row>
    <row r="1147" spans="4:7" x14ac:dyDescent="0.25">
      <c r="D1147" s="104"/>
      <c r="G1147" s="104"/>
    </row>
    <row r="1148" spans="4:7" x14ac:dyDescent="0.25">
      <c r="D1148" s="104"/>
      <c r="G1148" s="104"/>
    </row>
    <row r="1151" spans="4:7" x14ac:dyDescent="0.25">
      <c r="D1151" s="104"/>
      <c r="G1151" s="104"/>
    </row>
    <row r="1152" spans="4:7" x14ac:dyDescent="0.25">
      <c r="D1152" s="104"/>
      <c r="G1152" s="104"/>
    </row>
    <row r="1154" spans="4:7" x14ac:dyDescent="0.25">
      <c r="D1154" s="104"/>
      <c r="G1154" s="104"/>
    </row>
    <row r="1156" spans="4:7" x14ac:dyDescent="0.25">
      <c r="D1156" s="104"/>
      <c r="G1156" s="104"/>
    </row>
    <row r="1158" spans="4:7" x14ac:dyDescent="0.25">
      <c r="D1158" s="104"/>
      <c r="G1158" s="104"/>
    </row>
    <row r="1159" spans="4:7" x14ac:dyDescent="0.25">
      <c r="D1159" s="104"/>
      <c r="G1159" s="104"/>
    </row>
    <row r="1162" spans="4:7" x14ac:dyDescent="0.25">
      <c r="D1162" s="104"/>
      <c r="G1162" s="104"/>
    </row>
    <row r="1164" spans="4:7" x14ac:dyDescent="0.25">
      <c r="D1164" s="104"/>
      <c r="G1164" s="104"/>
    </row>
    <row r="1167" spans="4:7" x14ac:dyDescent="0.25">
      <c r="D1167" s="104"/>
      <c r="G1167" s="104"/>
    </row>
    <row r="1168" spans="4:7" x14ac:dyDescent="0.25">
      <c r="D1168" s="104"/>
      <c r="G1168" s="104"/>
    </row>
    <row r="1169" spans="4:7" x14ac:dyDescent="0.25">
      <c r="D1169" s="104"/>
      <c r="G1169" s="104"/>
    </row>
    <row r="1170" spans="4:7" x14ac:dyDescent="0.25">
      <c r="D1170" s="104"/>
      <c r="G1170" s="104"/>
    </row>
    <row r="1173" spans="4:7" x14ac:dyDescent="0.25">
      <c r="D1173" s="104"/>
      <c r="G1173" s="104"/>
    </row>
    <row r="1174" spans="4:7" x14ac:dyDescent="0.25">
      <c r="D1174" s="104"/>
      <c r="G1174" s="104"/>
    </row>
    <row r="1175" spans="4:7" x14ac:dyDescent="0.25">
      <c r="D1175" s="104"/>
      <c r="G1175" s="104"/>
    </row>
    <row r="1176" spans="4:7" x14ac:dyDescent="0.25">
      <c r="D1176" s="104"/>
      <c r="G1176" s="104"/>
    </row>
    <row r="1177" spans="4:7" x14ac:dyDescent="0.25">
      <c r="D1177" s="104"/>
      <c r="G1177" s="104"/>
    </row>
    <row r="1178" spans="4:7" x14ac:dyDescent="0.25">
      <c r="D1178" s="104"/>
      <c r="G1178" s="104"/>
    </row>
    <row r="1179" spans="4:7" x14ac:dyDescent="0.25">
      <c r="D1179" s="104"/>
      <c r="G1179" s="104"/>
    </row>
    <row r="1180" spans="4:7" x14ac:dyDescent="0.25">
      <c r="D1180" s="104"/>
      <c r="G1180" s="104"/>
    </row>
    <row r="1181" spans="4:7" x14ac:dyDescent="0.25">
      <c r="D1181" s="104"/>
      <c r="G1181" s="104"/>
    </row>
    <row r="1182" spans="4:7" x14ac:dyDescent="0.25">
      <c r="D1182" s="104"/>
      <c r="G1182" s="104"/>
    </row>
    <row r="1183" spans="4:7" x14ac:dyDescent="0.25">
      <c r="D1183" s="104"/>
      <c r="G1183" s="104"/>
    </row>
    <row r="1184" spans="4:7" x14ac:dyDescent="0.25">
      <c r="D1184" s="104"/>
      <c r="G1184" s="104"/>
    </row>
    <row r="1185" spans="4:7" x14ac:dyDescent="0.25">
      <c r="D1185" s="104"/>
      <c r="G1185" s="104"/>
    </row>
    <row r="1188" spans="4:7" x14ac:dyDescent="0.25">
      <c r="D1188" s="104"/>
      <c r="G1188" s="104"/>
    </row>
    <row r="1189" spans="4:7" x14ac:dyDescent="0.25">
      <c r="D1189" s="104"/>
      <c r="G1189" s="104"/>
    </row>
    <row r="1190" spans="4:7" x14ac:dyDescent="0.25">
      <c r="D1190" s="104"/>
      <c r="G1190" s="104"/>
    </row>
    <row r="1191" spans="4:7" x14ac:dyDescent="0.25">
      <c r="D1191" s="104"/>
      <c r="G1191" s="104"/>
    </row>
    <row r="1194" spans="4:7" x14ac:dyDescent="0.25">
      <c r="D1194" s="104"/>
      <c r="G1194" s="104"/>
    </row>
    <row r="1195" spans="4:7" x14ac:dyDescent="0.25">
      <c r="D1195" s="104"/>
      <c r="G1195" s="104"/>
    </row>
    <row r="1196" spans="4:7" x14ac:dyDescent="0.25">
      <c r="D1196" s="104"/>
      <c r="G1196" s="104"/>
    </row>
    <row r="1197" spans="4:7" x14ac:dyDescent="0.25">
      <c r="D1197" s="104"/>
      <c r="G1197" s="104"/>
    </row>
    <row r="1198" spans="4:7" x14ac:dyDescent="0.25">
      <c r="D1198" s="104"/>
      <c r="G1198" s="104"/>
    </row>
    <row r="1201" spans="4:7" x14ac:dyDescent="0.25">
      <c r="D1201" s="104"/>
      <c r="G1201" s="104"/>
    </row>
    <row r="1203" spans="4:7" x14ac:dyDescent="0.25">
      <c r="D1203" s="104"/>
      <c r="G1203" s="104"/>
    </row>
    <row r="1204" spans="4:7" x14ac:dyDescent="0.25">
      <c r="D1204" s="104"/>
      <c r="G1204" s="104"/>
    </row>
    <row r="1207" spans="4:7" x14ac:dyDescent="0.25">
      <c r="D1207" s="104"/>
      <c r="E1207" s="104"/>
      <c r="F1207" s="104"/>
      <c r="G1207" s="104"/>
    </row>
    <row r="1209" spans="4:7" x14ac:dyDescent="0.25">
      <c r="D1209" s="104"/>
      <c r="E1209" s="104"/>
      <c r="F1209" s="104"/>
      <c r="G1209" s="104"/>
    </row>
    <row r="1210" spans="4:7" x14ac:dyDescent="0.25">
      <c r="F1210" s="104"/>
      <c r="G1210" s="104"/>
    </row>
    <row r="1211" spans="4:7" x14ac:dyDescent="0.25">
      <c r="D1211" s="104"/>
      <c r="E1211" s="104"/>
      <c r="F1211" s="104"/>
      <c r="G1211" s="104"/>
    </row>
    <row r="1214" spans="4:7" x14ac:dyDescent="0.25">
      <c r="D1214" s="104"/>
      <c r="E1214" s="104"/>
      <c r="F1214" s="104"/>
      <c r="G1214" s="104"/>
    </row>
    <row r="1215" spans="4:7" x14ac:dyDescent="0.25">
      <c r="D1215" s="104"/>
      <c r="E1215" s="104"/>
      <c r="F1215" s="104"/>
      <c r="G1215" s="104"/>
    </row>
    <row r="1218" spans="4:7" x14ac:dyDescent="0.25">
      <c r="D1218" s="104"/>
      <c r="E1218" s="104"/>
      <c r="F1218" s="104"/>
      <c r="G1218" s="104"/>
    </row>
    <row r="1219" spans="4:7" x14ac:dyDescent="0.25">
      <c r="D1219" s="104"/>
      <c r="E1219" s="104"/>
      <c r="F1219" s="104"/>
      <c r="G1219" s="104"/>
    </row>
    <row r="1222" spans="4:7" x14ac:dyDescent="0.25">
      <c r="D1222" s="104"/>
      <c r="E1222" s="104"/>
      <c r="F1222" s="104"/>
      <c r="G1222" s="104"/>
    </row>
    <row r="1223" spans="4:7" x14ac:dyDescent="0.25">
      <c r="D1223" s="104"/>
      <c r="E1223" s="104"/>
      <c r="F1223" s="104"/>
      <c r="G1223" s="104"/>
    </row>
    <row r="1226" spans="4:7" x14ac:dyDescent="0.25">
      <c r="D1226" s="104"/>
      <c r="E1226" s="104"/>
      <c r="F1226" s="104"/>
      <c r="G1226" s="104"/>
    </row>
    <row r="1227" spans="4:7" x14ac:dyDescent="0.25">
      <c r="D1227" s="104"/>
      <c r="E1227" s="104"/>
      <c r="F1227" s="104"/>
      <c r="G1227" s="104"/>
    </row>
    <row r="1230" spans="4:7" x14ac:dyDescent="0.25">
      <c r="D1230" s="104"/>
      <c r="E1230" s="104"/>
      <c r="F1230" s="104"/>
      <c r="G1230" s="104"/>
    </row>
    <row r="1233" spans="4:7" x14ac:dyDescent="0.25">
      <c r="D1233" s="104"/>
      <c r="E1233" s="104"/>
      <c r="F1233" s="104"/>
      <c r="G1233" s="104"/>
    </row>
    <row r="1234" spans="4:7" x14ac:dyDescent="0.25">
      <c r="D1234" s="104"/>
      <c r="E1234" s="104"/>
      <c r="F1234" s="104"/>
      <c r="G1234" s="104"/>
    </row>
    <row r="1235" spans="4:7" x14ac:dyDescent="0.25">
      <c r="D1235" s="104"/>
      <c r="E1235" s="104"/>
      <c r="F1235" s="104"/>
      <c r="G1235" s="104"/>
    </row>
    <row r="1236" spans="4:7" x14ac:dyDescent="0.25">
      <c r="D1236" s="104"/>
      <c r="E1236" s="104"/>
      <c r="F1236" s="104"/>
      <c r="G1236" s="104"/>
    </row>
    <row r="1239" spans="4:7" x14ac:dyDescent="0.25">
      <c r="D1239" s="104"/>
      <c r="E1239" s="104"/>
      <c r="F1239" s="104"/>
      <c r="G1239" s="104"/>
    </row>
    <row r="1240" spans="4:7" x14ac:dyDescent="0.25">
      <c r="D1240" s="104"/>
      <c r="E1240" s="104"/>
      <c r="F1240" s="104"/>
      <c r="G1240" s="104"/>
    </row>
    <row r="1243" spans="4:7" x14ac:dyDescent="0.25">
      <c r="D1243" s="104"/>
      <c r="G1243" s="104"/>
    </row>
    <row r="1244" spans="4:7" x14ac:dyDescent="0.25">
      <c r="D1244" s="104"/>
      <c r="G1244" s="104"/>
    </row>
    <row r="1245" spans="4:7" x14ac:dyDescent="0.25">
      <c r="D1245" s="104"/>
      <c r="G1245" s="104"/>
    </row>
    <row r="1248" spans="4:7" x14ac:dyDescent="0.25">
      <c r="D1248" s="104"/>
      <c r="G1248" s="104"/>
    </row>
    <row r="1249" spans="4:7" x14ac:dyDescent="0.25">
      <c r="D1249" s="104"/>
      <c r="G1249" s="104"/>
    </row>
    <row r="1251" spans="4:7" x14ac:dyDescent="0.25">
      <c r="D1251" s="104"/>
      <c r="E1251" s="104"/>
      <c r="F1251" s="104"/>
      <c r="G1251" s="104"/>
    </row>
    <row r="1253" spans="4:7" x14ac:dyDescent="0.25">
      <c r="D1253" s="104"/>
      <c r="G1253" s="104"/>
    </row>
    <row r="1254" spans="4:7" x14ac:dyDescent="0.25">
      <c r="D1254" s="104"/>
      <c r="G1254" s="104"/>
    </row>
    <row r="1255" spans="4:7" x14ac:dyDescent="0.25">
      <c r="D1255" s="104"/>
      <c r="G1255" s="104"/>
    </row>
    <row r="1256" spans="4:7" x14ac:dyDescent="0.25">
      <c r="D1256" s="104"/>
      <c r="G1256" s="104"/>
    </row>
    <row r="1258" spans="4:7" x14ac:dyDescent="0.25">
      <c r="D1258" s="104"/>
      <c r="G1258" s="104"/>
    </row>
    <row r="1259" spans="4:7" x14ac:dyDescent="0.25">
      <c r="D1259" s="104"/>
      <c r="G1259" s="104"/>
    </row>
    <row r="1260" spans="4:7" x14ac:dyDescent="0.25">
      <c r="D1260" s="104"/>
      <c r="G1260" s="104"/>
    </row>
    <row r="1261" spans="4:7" x14ac:dyDescent="0.25">
      <c r="D1261" s="104"/>
      <c r="E1261" s="104"/>
      <c r="G1261" s="104"/>
    </row>
    <row r="1262" spans="4:7" x14ac:dyDescent="0.25">
      <c r="D1262" s="104"/>
      <c r="G1262" s="104"/>
    </row>
    <row r="1263" spans="4:7" x14ac:dyDescent="0.25">
      <c r="D1263" s="104"/>
      <c r="E1263" s="104"/>
      <c r="G1263" s="104"/>
    </row>
    <row r="1266" spans="4:7" x14ac:dyDescent="0.25">
      <c r="D1266" s="104"/>
      <c r="G1266" s="104"/>
    </row>
    <row r="1267" spans="4:7" x14ac:dyDescent="0.25">
      <c r="D1267" s="104"/>
      <c r="G1267" s="104"/>
    </row>
    <row r="1268" spans="4:7" x14ac:dyDescent="0.25">
      <c r="D1268" s="104"/>
      <c r="G1268" s="104"/>
    </row>
    <row r="1269" spans="4:7" x14ac:dyDescent="0.25">
      <c r="D1269" s="104"/>
      <c r="G1269" s="104"/>
    </row>
    <row r="1270" spans="4:7" x14ac:dyDescent="0.25">
      <c r="D1270" s="104"/>
      <c r="F1270" s="104"/>
      <c r="G1270" s="104"/>
    </row>
    <row r="1271" spans="4:7" x14ac:dyDescent="0.25">
      <c r="D1271" s="104"/>
      <c r="G1271" s="104"/>
    </row>
    <row r="1272" spans="4:7" x14ac:dyDescent="0.25">
      <c r="D1272" s="104"/>
      <c r="G1272" s="104"/>
    </row>
    <row r="1273" spans="4:7" x14ac:dyDescent="0.25">
      <c r="D1273" s="104"/>
      <c r="G1273" s="104"/>
    </row>
    <row r="1274" spans="4:7" x14ac:dyDescent="0.25">
      <c r="D1274" s="104"/>
      <c r="G1274" s="104"/>
    </row>
    <row r="1275" spans="4:7" x14ac:dyDescent="0.25">
      <c r="D1275" s="104"/>
      <c r="G1275" s="104"/>
    </row>
    <row r="1276" spans="4:7" x14ac:dyDescent="0.25">
      <c r="D1276" s="104"/>
      <c r="G1276" s="104"/>
    </row>
    <row r="1277" spans="4:7" x14ac:dyDescent="0.25">
      <c r="D1277" s="104"/>
      <c r="F1277" s="104"/>
      <c r="G1277" s="104"/>
    </row>
    <row r="1279" spans="4:7" x14ac:dyDescent="0.25">
      <c r="D1279" s="104"/>
      <c r="F1279" s="104"/>
      <c r="G1279" s="104"/>
    </row>
    <row r="1281" spans="4:7" x14ac:dyDescent="0.25">
      <c r="D1281" s="104"/>
      <c r="G1281" s="104"/>
    </row>
    <row r="1282" spans="4:7" x14ac:dyDescent="0.25">
      <c r="D1282" s="104"/>
      <c r="G1282" s="104"/>
    </row>
    <row r="1283" spans="4:7" x14ac:dyDescent="0.25">
      <c r="D1283" s="104"/>
      <c r="G1283" s="104"/>
    </row>
    <row r="1284" spans="4:7" x14ac:dyDescent="0.25">
      <c r="D1284" s="104"/>
      <c r="G1284" s="104"/>
    </row>
    <row r="1285" spans="4:7" x14ac:dyDescent="0.25">
      <c r="D1285" s="104"/>
      <c r="G1285" s="104"/>
    </row>
    <row r="1286" spans="4:7" x14ac:dyDescent="0.25">
      <c r="D1286" s="104"/>
      <c r="F1286" s="104"/>
      <c r="G1286" s="104"/>
    </row>
    <row r="1287" spans="4:7" x14ac:dyDescent="0.25">
      <c r="D1287" s="104"/>
      <c r="F1287" s="104"/>
      <c r="G1287" s="104"/>
    </row>
    <row r="1290" spans="4:7" x14ac:dyDescent="0.25">
      <c r="D1290" s="104"/>
      <c r="G1290" s="104"/>
    </row>
    <row r="1291" spans="4:7" x14ac:dyDescent="0.25">
      <c r="D1291" s="104"/>
      <c r="G1291" s="104"/>
    </row>
    <row r="1292" spans="4:7" x14ac:dyDescent="0.25">
      <c r="D1292" s="104"/>
      <c r="G1292" s="104"/>
    </row>
    <row r="1293" spans="4:7" x14ac:dyDescent="0.25">
      <c r="D1293" s="104"/>
      <c r="G1293" s="104"/>
    </row>
    <row r="1294" spans="4:7" x14ac:dyDescent="0.25">
      <c r="D1294" s="104"/>
      <c r="G1294" s="104"/>
    </row>
    <row r="1295" spans="4:7" x14ac:dyDescent="0.25">
      <c r="D1295" s="104"/>
      <c r="G1295" s="104"/>
    </row>
    <row r="1296" spans="4:7" x14ac:dyDescent="0.25">
      <c r="D1296" s="104"/>
      <c r="G1296" s="104"/>
    </row>
    <row r="1297" spans="4:7" x14ac:dyDescent="0.25">
      <c r="D1297" s="104"/>
      <c r="G1297" s="104"/>
    </row>
    <row r="1298" spans="4:7" x14ac:dyDescent="0.25">
      <c r="D1298" s="104"/>
      <c r="G1298" s="104"/>
    </row>
    <row r="1299" spans="4:7" x14ac:dyDescent="0.25">
      <c r="D1299" s="104"/>
      <c r="G1299" s="104"/>
    </row>
    <row r="1300" spans="4:7" x14ac:dyDescent="0.25">
      <c r="D1300" s="104"/>
      <c r="G1300" s="104"/>
    </row>
    <row r="1301" spans="4:7" x14ac:dyDescent="0.25">
      <c r="D1301" s="104"/>
      <c r="G1301" s="104"/>
    </row>
    <row r="1302" spans="4:7" x14ac:dyDescent="0.25">
      <c r="D1302" s="104"/>
      <c r="G1302" s="104"/>
    </row>
    <row r="1303" spans="4:7" x14ac:dyDescent="0.25">
      <c r="D1303" s="104"/>
      <c r="G1303" s="104"/>
    </row>
    <row r="1304" spans="4:7" x14ac:dyDescent="0.25">
      <c r="D1304" s="104"/>
      <c r="G1304" s="104"/>
    </row>
    <row r="1305" spans="4:7" x14ac:dyDescent="0.25">
      <c r="D1305" s="104"/>
      <c r="F1305" s="104"/>
      <c r="G1305" s="104"/>
    </row>
    <row r="1306" spans="4:7" x14ac:dyDescent="0.25">
      <c r="D1306" s="104"/>
      <c r="G1306" s="104"/>
    </row>
    <row r="1307" spans="4:7" x14ac:dyDescent="0.25">
      <c r="D1307" s="104"/>
      <c r="G1307" s="104"/>
    </row>
    <row r="1308" spans="4:7" x14ac:dyDescent="0.25">
      <c r="D1308" s="104"/>
      <c r="G1308" s="104"/>
    </row>
    <row r="1309" spans="4:7" x14ac:dyDescent="0.25">
      <c r="D1309" s="104"/>
      <c r="G1309" s="104"/>
    </row>
    <row r="1310" spans="4:7" x14ac:dyDescent="0.25">
      <c r="D1310" s="104"/>
      <c r="G1310" s="104"/>
    </row>
    <row r="1311" spans="4:7" x14ac:dyDescent="0.25">
      <c r="D1311" s="104"/>
      <c r="G1311" s="104"/>
    </row>
    <row r="1312" spans="4:7" x14ac:dyDescent="0.25">
      <c r="D1312" s="104"/>
      <c r="G1312" s="104"/>
    </row>
    <row r="1313" spans="4:7" x14ac:dyDescent="0.25">
      <c r="D1313" s="104"/>
      <c r="G1313" s="104"/>
    </row>
    <row r="1314" spans="4:7" x14ac:dyDescent="0.25">
      <c r="D1314" s="104"/>
      <c r="G1314" s="104"/>
    </row>
    <row r="1315" spans="4:7" x14ac:dyDescent="0.25">
      <c r="D1315" s="104"/>
      <c r="G1315" s="104"/>
    </row>
    <row r="1316" spans="4:7" x14ac:dyDescent="0.25">
      <c r="D1316" s="104"/>
      <c r="G1316" s="104"/>
    </row>
    <row r="1317" spans="4:7" x14ac:dyDescent="0.25">
      <c r="D1317" s="104"/>
      <c r="G1317" s="104"/>
    </row>
    <row r="1318" spans="4:7" x14ac:dyDescent="0.25">
      <c r="D1318" s="104"/>
      <c r="G1318" s="104"/>
    </row>
    <row r="1319" spans="4:7" x14ac:dyDescent="0.25">
      <c r="D1319" s="104"/>
      <c r="G1319" s="104"/>
    </row>
    <row r="1320" spans="4:7" x14ac:dyDescent="0.25">
      <c r="D1320" s="104"/>
      <c r="G1320" s="104"/>
    </row>
    <row r="1321" spans="4:7" x14ac:dyDescent="0.25">
      <c r="D1321" s="104"/>
      <c r="G1321" s="104"/>
    </row>
    <row r="1322" spans="4:7" x14ac:dyDescent="0.25">
      <c r="D1322" s="104"/>
      <c r="G1322" s="104"/>
    </row>
    <row r="1323" spans="4:7" x14ac:dyDescent="0.25">
      <c r="D1323" s="104"/>
      <c r="G1323" s="104"/>
    </row>
    <row r="1324" spans="4:7" x14ac:dyDescent="0.25">
      <c r="D1324" s="104"/>
      <c r="G1324" s="104"/>
    </row>
    <row r="1325" spans="4:7" x14ac:dyDescent="0.25">
      <c r="D1325" s="104"/>
      <c r="G1325" s="104"/>
    </row>
    <row r="1326" spans="4:7" x14ac:dyDescent="0.25">
      <c r="D1326" s="104"/>
      <c r="G1326" s="104"/>
    </row>
    <row r="1327" spans="4:7" x14ac:dyDescent="0.25">
      <c r="D1327" s="104"/>
      <c r="G1327" s="104"/>
    </row>
    <row r="1328" spans="4:7" x14ac:dyDescent="0.25">
      <c r="D1328" s="104"/>
      <c r="G1328" s="104"/>
    </row>
    <row r="1329" spans="4:7" x14ac:dyDescent="0.25">
      <c r="D1329" s="104"/>
      <c r="G1329" s="104"/>
    </row>
    <row r="1330" spans="4:7" x14ac:dyDescent="0.25">
      <c r="D1330" s="104"/>
      <c r="G1330" s="104"/>
    </row>
    <row r="1331" spans="4:7" x14ac:dyDescent="0.25">
      <c r="D1331" s="104"/>
      <c r="G1331" s="104"/>
    </row>
    <row r="1332" spans="4:7" x14ac:dyDescent="0.25">
      <c r="D1332" s="104"/>
      <c r="G1332" s="104"/>
    </row>
    <row r="1333" spans="4:7" x14ac:dyDescent="0.25">
      <c r="D1333" s="104"/>
      <c r="G1333" s="104"/>
    </row>
    <row r="1334" spans="4:7" x14ac:dyDescent="0.25">
      <c r="D1334" s="104"/>
      <c r="G1334" s="104"/>
    </row>
    <row r="1335" spans="4:7" x14ac:dyDescent="0.25">
      <c r="D1335" s="104"/>
      <c r="G1335" s="104"/>
    </row>
    <row r="1336" spans="4:7" x14ac:dyDescent="0.25">
      <c r="D1336" s="104"/>
      <c r="G1336" s="104"/>
    </row>
    <row r="1337" spans="4:7" x14ac:dyDescent="0.25">
      <c r="D1337" s="104"/>
      <c r="G1337" s="104"/>
    </row>
    <row r="1338" spans="4:7" x14ac:dyDescent="0.25">
      <c r="D1338" s="104"/>
      <c r="F1338" s="104"/>
      <c r="G1338" s="104"/>
    </row>
    <row r="1341" spans="4:7" x14ac:dyDescent="0.25">
      <c r="D1341" s="104"/>
      <c r="G1341" s="104"/>
    </row>
    <row r="1342" spans="4:7" x14ac:dyDescent="0.25">
      <c r="D1342" s="104"/>
      <c r="E1342" s="104"/>
      <c r="F1342" s="104"/>
      <c r="G1342" s="104"/>
    </row>
    <row r="1343" spans="4:7" x14ac:dyDescent="0.25">
      <c r="D1343" s="104"/>
      <c r="E1343" s="104"/>
      <c r="F1343" s="104"/>
      <c r="G1343" s="104"/>
    </row>
    <row r="1348" spans="4:7" x14ac:dyDescent="0.25">
      <c r="D1348" s="104"/>
      <c r="G1348" s="104"/>
    </row>
    <row r="1349" spans="4:7" x14ac:dyDescent="0.25">
      <c r="D1349" s="104"/>
      <c r="E1349" s="104"/>
      <c r="G1349" s="104"/>
    </row>
    <row r="1351" spans="4:7" x14ac:dyDescent="0.25">
      <c r="D1351" s="104"/>
      <c r="G1351" s="104"/>
    </row>
    <row r="1355" spans="4:7" x14ac:dyDescent="0.25">
      <c r="D1355" s="104"/>
      <c r="G1355" s="104"/>
    </row>
    <row r="1356" spans="4:7" x14ac:dyDescent="0.25">
      <c r="D1356" s="104"/>
      <c r="G1356" s="104"/>
    </row>
    <row r="1357" spans="4:7" x14ac:dyDescent="0.25">
      <c r="D1357" s="104"/>
      <c r="G1357" s="104"/>
    </row>
    <row r="1358" spans="4:7" x14ac:dyDescent="0.25">
      <c r="D1358" s="104"/>
      <c r="E1358" s="104"/>
      <c r="G1358" s="104"/>
    </row>
    <row r="1361" spans="4:7" x14ac:dyDescent="0.25">
      <c r="D1361" s="104"/>
      <c r="E1361" s="104"/>
      <c r="G1361" s="104"/>
    </row>
    <row r="1362" spans="4:7" x14ac:dyDescent="0.25">
      <c r="D1362" s="104"/>
      <c r="E1362" s="104"/>
      <c r="G1362" s="104"/>
    </row>
    <row r="1365" spans="4:7" x14ac:dyDescent="0.25">
      <c r="D1365" s="104"/>
      <c r="G1365" s="104"/>
    </row>
    <row r="1366" spans="4:7" x14ac:dyDescent="0.25">
      <c r="D1366" s="104"/>
      <c r="G1366" s="104"/>
    </row>
    <row r="1368" spans="4:7" x14ac:dyDescent="0.25">
      <c r="D1368" s="104"/>
      <c r="G1368" s="104"/>
    </row>
    <row r="1370" spans="4:7" x14ac:dyDescent="0.25">
      <c r="D1370" s="104"/>
      <c r="G1370" s="104"/>
    </row>
    <row r="1371" spans="4:7" x14ac:dyDescent="0.25">
      <c r="D1371" s="104"/>
      <c r="G1371" s="104"/>
    </row>
    <row r="1374" spans="4:7" x14ac:dyDescent="0.25">
      <c r="D1374" s="104"/>
      <c r="E1374" s="104"/>
      <c r="F1374" s="104"/>
      <c r="G1374" s="104"/>
    </row>
    <row r="1376" spans="4:7" x14ac:dyDescent="0.25">
      <c r="D1376" s="104"/>
      <c r="E1376" s="104"/>
    </row>
    <row r="1377" spans="4:7" x14ac:dyDescent="0.25">
      <c r="D1377" s="104"/>
      <c r="E1377" s="104"/>
      <c r="G1377" s="104"/>
    </row>
    <row r="1379" spans="4:7" x14ac:dyDescent="0.25">
      <c r="D1379" s="104"/>
      <c r="G1379" s="104"/>
    </row>
    <row r="1380" spans="4:7" x14ac:dyDescent="0.25">
      <c r="D1380" s="104"/>
      <c r="G1380" s="104"/>
    </row>
    <row r="1381" spans="4:7" x14ac:dyDescent="0.25">
      <c r="D1381" s="104"/>
      <c r="G1381" s="104"/>
    </row>
    <row r="1382" spans="4:7" x14ac:dyDescent="0.25">
      <c r="D1382" s="104"/>
      <c r="G1382" s="104"/>
    </row>
    <row r="1383" spans="4:7" x14ac:dyDescent="0.25">
      <c r="D1383" s="104"/>
      <c r="G1383" s="104"/>
    </row>
    <row r="1384" spans="4:7" x14ac:dyDescent="0.25">
      <c r="D1384" s="104"/>
      <c r="E1384" s="104"/>
      <c r="G1384" s="104"/>
    </row>
    <row r="1386" spans="4:7" x14ac:dyDescent="0.25">
      <c r="D1386" s="104"/>
      <c r="G1386" s="104"/>
    </row>
    <row r="1387" spans="4:7" x14ac:dyDescent="0.25">
      <c r="D1387" s="104"/>
      <c r="G1387" s="104"/>
    </row>
    <row r="1390" spans="4:7" x14ac:dyDescent="0.25">
      <c r="D1390" s="104"/>
      <c r="E1390" s="104"/>
      <c r="G1390" s="104"/>
    </row>
    <row r="1391" spans="4:7" x14ac:dyDescent="0.25">
      <c r="D1391" s="104"/>
      <c r="G1391" s="104"/>
    </row>
    <row r="1394" spans="4:7" x14ac:dyDescent="0.25">
      <c r="D1394" s="104"/>
      <c r="G1394" s="104"/>
    </row>
    <row r="1396" spans="4:7" x14ac:dyDescent="0.25">
      <c r="D1396" s="104"/>
      <c r="G1396" s="104"/>
    </row>
    <row r="1398" spans="4:7" x14ac:dyDescent="0.25">
      <c r="D1398" s="104"/>
      <c r="G1398" s="104"/>
    </row>
    <row r="1399" spans="4:7" x14ac:dyDescent="0.25">
      <c r="D1399" s="104"/>
      <c r="E1399" s="104"/>
      <c r="G1399" s="104"/>
    </row>
    <row r="1400" spans="4:7" x14ac:dyDescent="0.25">
      <c r="D1400" s="104"/>
      <c r="G1400" s="104"/>
    </row>
    <row r="1401" spans="4:7" x14ac:dyDescent="0.25">
      <c r="D1401" s="104"/>
      <c r="G1401" s="104"/>
    </row>
    <row r="1402" spans="4:7" x14ac:dyDescent="0.25">
      <c r="D1402" s="104"/>
      <c r="G1402" s="104"/>
    </row>
    <row r="1403" spans="4:7" x14ac:dyDescent="0.25">
      <c r="D1403" s="104"/>
      <c r="G1403" s="104"/>
    </row>
    <row r="1404" spans="4:7" x14ac:dyDescent="0.25">
      <c r="D1404" s="104"/>
      <c r="G1404" s="104"/>
    </row>
    <row r="1405" spans="4:7" x14ac:dyDescent="0.25">
      <c r="D1405" s="104"/>
      <c r="G1405" s="104"/>
    </row>
    <row r="1406" spans="4:7" x14ac:dyDescent="0.25">
      <c r="D1406" s="104"/>
      <c r="G1406" s="104"/>
    </row>
    <row r="1407" spans="4:7" x14ac:dyDescent="0.25">
      <c r="D1407" s="104"/>
      <c r="G1407" s="104"/>
    </row>
    <row r="1408" spans="4:7" x14ac:dyDescent="0.25">
      <c r="D1408" s="104"/>
      <c r="E1408" s="104"/>
    </row>
    <row r="1409" spans="4:7" x14ac:dyDescent="0.25">
      <c r="D1409" s="104"/>
      <c r="G1409" s="104"/>
    </row>
    <row r="1410" spans="4:7" x14ac:dyDescent="0.25">
      <c r="D1410" s="104"/>
      <c r="G1410" s="104"/>
    </row>
    <row r="1411" spans="4:7" x14ac:dyDescent="0.25">
      <c r="D1411" s="104"/>
      <c r="G1411" s="104"/>
    </row>
    <row r="1412" spans="4:7" x14ac:dyDescent="0.25">
      <c r="E1412" s="104"/>
      <c r="F1412" s="104"/>
    </row>
    <row r="1413" spans="4:7" x14ac:dyDescent="0.25">
      <c r="D1413" s="104"/>
      <c r="G1413" s="104"/>
    </row>
    <row r="1414" spans="4:7" x14ac:dyDescent="0.25">
      <c r="D1414" s="104"/>
      <c r="G1414" s="104"/>
    </row>
    <row r="1415" spans="4:7" x14ac:dyDescent="0.25">
      <c r="D1415" s="104"/>
      <c r="G1415" s="104"/>
    </row>
    <row r="1416" spans="4:7" x14ac:dyDescent="0.25">
      <c r="D1416" s="104"/>
      <c r="G1416" s="104"/>
    </row>
    <row r="1417" spans="4:7" x14ac:dyDescent="0.25">
      <c r="D1417" s="104"/>
      <c r="G1417" s="104"/>
    </row>
    <row r="1418" spans="4:7" x14ac:dyDescent="0.25">
      <c r="D1418" s="104"/>
      <c r="G1418" s="104"/>
    </row>
    <row r="1419" spans="4:7" x14ac:dyDescent="0.25">
      <c r="D1419" s="104"/>
      <c r="G1419" s="104"/>
    </row>
    <row r="1420" spans="4:7" x14ac:dyDescent="0.25">
      <c r="D1420" s="104"/>
      <c r="G1420" s="104"/>
    </row>
    <row r="1421" spans="4:7" x14ac:dyDescent="0.25">
      <c r="D1421" s="104"/>
      <c r="G1421" s="104"/>
    </row>
    <row r="1422" spans="4:7" x14ac:dyDescent="0.25">
      <c r="D1422" s="104"/>
      <c r="G1422" s="104"/>
    </row>
    <row r="1423" spans="4:7" x14ac:dyDescent="0.25">
      <c r="D1423" s="104"/>
      <c r="G1423" s="104"/>
    </row>
    <row r="1424" spans="4:7" x14ac:dyDescent="0.25">
      <c r="D1424" s="104"/>
      <c r="G1424" s="104"/>
    </row>
    <row r="1425" spans="4:7" x14ac:dyDescent="0.25">
      <c r="D1425" s="104"/>
      <c r="E1425" s="104"/>
      <c r="G1425" s="104"/>
    </row>
    <row r="1426" spans="4:7" x14ac:dyDescent="0.25">
      <c r="D1426" s="104"/>
      <c r="G1426" s="104"/>
    </row>
    <row r="1427" spans="4:7" x14ac:dyDescent="0.25">
      <c r="D1427" s="104"/>
      <c r="G1427" s="104"/>
    </row>
    <row r="1428" spans="4:7" x14ac:dyDescent="0.25">
      <c r="D1428" s="104"/>
      <c r="G1428" s="104"/>
    </row>
    <row r="1429" spans="4:7" x14ac:dyDescent="0.25">
      <c r="D1429" s="104"/>
      <c r="G1429" s="104"/>
    </row>
    <row r="1431" spans="4:7" x14ac:dyDescent="0.25">
      <c r="D1431" s="104"/>
      <c r="G1431" s="104"/>
    </row>
    <row r="1433" spans="4:7" x14ac:dyDescent="0.25">
      <c r="D1433" s="104"/>
      <c r="G1433" s="104"/>
    </row>
    <row r="1435" spans="4:7" x14ac:dyDescent="0.25">
      <c r="D1435" s="104"/>
      <c r="G1435" s="104"/>
    </row>
    <row r="1436" spans="4:7" x14ac:dyDescent="0.25">
      <c r="D1436" s="104"/>
      <c r="G1436" s="104"/>
    </row>
    <row r="1437" spans="4:7" x14ac:dyDescent="0.25">
      <c r="D1437" s="104"/>
      <c r="G1437" s="104"/>
    </row>
    <row r="1438" spans="4:7" x14ac:dyDescent="0.25">
      <c r="D1438" s="104"/>
      <c r="G1438" s="104"/>
    </row>
    <row r="1439" spans="4:7" x14ac:dyDescent="0.25">
      <c r="D1439" s="104"/>
      <c r="G1439" s="104"/>
    </row>
    <row r="1440" spans="4:7" x14ac:dyDescent="0.25">
      <c r="D1440" s="104"/>
      <c r="G1440" s="104"/>
    </row>
    <row r="1441" spans="4:7" x14ac:dyDescent="0.25">
      <c r="D1441" s="104"/>
      <c r="E1441" s="104"/>
    </row>
    <row r="1442" spans="4:7" x14ac:dyDescent="0.25">
      <c r="D1442" s="104"/>
      <c r="E1442" s="104"/>
    </row>
    <row r="1443" spans="4:7" x14ac:dyDescent="0.25">
      <c r="D1443" s="104"/>
      <c r="E1443" s="104"/>
      <c r="F1443" s="104"/>
      <c r="G1443" s="104"/>
    </row>
    <row r="1446" spans="4:7" x14ac:dyDescent="0.25">
      <c r="D1446" s="104"/>
      <c r="G1446" s="104"/>
    </row>
    <row r="1447" spans="4:7" x14ac:dyDescent="0.25">
      <c r="D1447" s="104"/>
      <c r="G1447" s="104"/>
    </row>
    <row r="1448" spans="4:7" x14ac:dyDescent="0.25">
      <c r="D1448" s="104"/>
      <c r="G1448" s="104"/>
    </row>
    <row r="1449" spans="4:7" x14ac:dyDescent="0.25">
      <c r="D1449" s="104"/>
      <c r="G1449" s="104"/>
    </row>
    <row r="1450" spans="4:7" x14ac:dyDescent="0.25">
      <c r="D1450" s="104"/>
      <c r="G1450" s="104"/>
    </row>
    <row r="1451" spans="4:7" x14ac:dyDescent="0.25">
      <c r="D1451" s="104"/>
      <c r="G1451" s="104"/>
    </row>
    <row r="1452" spans="4:7" x14ac:dyDescent="0.25">
      <c r="D1452" s="104"/>
      <c r="G1452" s="104"/>
    </row>
    <row r="1453" spans="4:7" x14ac:dyDescent="0.25">
      <c r="D1453" s="104"/>
      <c r="G1453" s="104"/>
    </row>
    <row r="1454" spans="4:7" x14ac:dyDescent="0.25">
      <c r="D1454" s="104"/>
      <c r="G1454" s="104"/>
    </row>
    <row r="1455" spans="4:7" x14ac:dyDescent="0.25">
      <c r="D1455" s="104"/>
      <c r="G1455" s="104"/>
    </row>
    <row r="1456" spans="4:7" x14ac:dyDescent="0.25">
      <c r="D1456" s="104"/>
      <c r="G1456" s="104"/>
    </row>
    <row r="1457" spans="4:7" x14ac:dyDescent="0.25">
      <c r="D1457" s="104"/>
      <c r="G1457" s="104"/>
    </row>
    <row r="1459" spans="4:7" x14ac:dyDescent="0.25">
      <c r="D1459" s="104"/>
      <c r="G1459" s="104"/>
    </row>
    <row r="1460" spans="4:7" x14ac:dyDescent="0.25">
      <c r="D1460" s="104"/>
      <c r="G1460" s="104"/>
    </row>
    <row r="1461" spans="4:7" x14ac:dyDescent="0.25">
      <c r="D1461" s="104"/>
      <c r="G1461" s="104"/>
    </row>
    <row r="1464" spans="4:7" x14ac:dyDescent="0.25">
      <c r="D1464" s="104"/>
      <c r="G1464" s="104"/>
    </row>
    <row r="1465" spans="4:7" x14ac:dyDescent="0.25">
      <c r="D1465" s="104"/>
      <c r="G1465" s="104"/>
    </row>
    <row r="1469" spans="4:7" x14ac:dyDescent="0.25">
      <c r="D1469" s="104"/>
      <c r="G1469" s="104"/>
    </row>
    <row r="1470" spans="4:7" x14ac:dyDescent="0.25">
      <c r="D1470" s="104"/>
      <c r="G1470" s="104"/>
    </row>
    <row r="1471" spans="4:7" x14ac:dyDescent="0.25">
      <c r="D1471" s="104"/>
      <c r="E1471" s="104"/>
      <c r="G1471" s="104"/>
    </row>
    <row r="1472" spans="4:7" x14ac:dyDescent="0.25">
      <c r="D1472" s="104"/>
      <c r="G1472" s="104"/>
    </row>
    <row r="1473" spans="4:7" x14ac:dyDescent="0.25">
      <c r="D1473" s="104"/>
      <c r="G1473" s="104"/>
    </row>
    <row r="1474" spans="4:7" x14ac:dyDescent="0.25">
      <c r="D1474" s="104"/>
      <c r="G1474" s="104"/>
    </row>
    <row r="1476" spans="4:7" x14ac:dyDescent="0.25">
      <c r="D1476" s="104"/>
      <c r="G1476" s="104"/>
    </row>
    <row r="1477" spans="4:7" x14ac:dyDescent="0.25">
      <c r="D1477" s="104"/>
      <c r="G1477" s="104"/>
    </row>
    <row r="1478" spans="4:7" x14ac:dyDescent="0.25">
      <c r="D1478" s="104"/>
      <c r="G1478" s="104"/>
    </row>
    <row r="1479" spans="4:7" x14ac:dyDescent="0.25">
      <c r="D1479" s="104"/>
      <c r="G1479" s="104"/>
    </row>
    <row r="1480" spans="4:7" x14ac:dyDescent="0.25">
      <c r="D1480" s="104"/>
      <c r="G1480" s="104"/>
    </row>
    <row r="1481" spans="4:7" x14ac:dyDescent="0.25">
      <c r="D1481" s="104"/>
      <c r="G1481" s="104"/>
    </row>
    <row r="1482" spans="4:7" x14ac:dyDescent="0.25">
      <c r="D1482" s="104"/>
      <c r="G1482" s="104"/>
    </row>
    <row r="1483" spans="4:7" x14ac:dyDescent="0.25">
      <c r="D1483" s="104"/>
      <c r="G1483" s="104"/>
    </row>
    <row r="1484" spans="4:7" x14ac:dyDescent="0.25">
      <c r="D1484" s="104"/>
      <c r="G1484" s="104"/>
    </row>
    <row r="1485" spans="4:7" x14ac:dyDescent="0.25">
      <c r="D1485" s="104"/>
      <c r="G1485" s="104"/>
    </row>
    <row r="1486" spans="4:7" x14ac:dyDescent="0.25">
      <c r="D1486" s="104"/>
      <c r="G1486" s="104"/>
    </row>
    <row r="1487" spans="4:7" x14ac:dyDescent="0.25">
      <c r="D1487" s="104"/>
      <c r="G1487" s="104"/>
    </row>
    <row r="1488" spans="4:7" x14ac:dyDescent="0.25">
      <c r="D1488" s="104"/>
      <c r="G1488" s="104"/>
    </row>
    <row r="1489" spans="4:7" x14ac:dyDescent="0.25">
      <c r="D1489" s="104"/>
      <c r="G1489" s="104"/>
    </row>
    <row r="1490" spans="4:7" x14ac:dyDescent="0.25">
      <c r="D1490" s="104"/>
      <c r="G1490" s="104"/>
    </row>
    <row r="1491" spans="4:7" x14ac:dyDescent="0.25">
      <c r="D1491" s="104"/>
      <c r="G1491" s="104"/>
    </row>
    <row r="1492" spans="4:7" x14ac:dyDescent="0.25">
      <c r="D1492" s="104"/>
      <c r="G1492" s="104"/>
    </row>
    <row r="1493" spans="4:7" x14ac:dyDescent="0.25">
      <c r="D1493" s="104"/>
      <c r="G1493" s="104"/>
    </row>
    <row r="1494" spans="4:7" x14ac:dyDescent="0.25">
      <c r="D1494" s="104"/>
      <c r="G1494" s="104"/>
    </row>
    <row r="1496" spans="4:7" x14ac:dyDescent="0.25">
      <c r="D1496" s="104"/>
      <c r="G1496" s="104"/>
    </row>
    <row r="1497" spans="4:7" x14ac:dyDescent="0.25">
      <c r="D1497" s="104"/>
      <c r="G1497" s="104"/>
    </row>
    <row r="1498" spans="4:7" x14ac:dyDescent="0.25">
      <c r="D1498" s="104"/>
      <c r="G1498" s="104"/>
    </row>
    <row r="1499" spans="4:7" x14ac:dyDescent="0.25">
      <c r="D1499" s="104"/>
      <c r="G1499" s="104"/>
    </row>
    <row r="1500" spans="4:7" x14ac:dyDescent="0.25">
      <c r="D1500" s="104"/>
      <c r="G1500" s="104"/>
    </row>
    <row r="1502" spans="4:7" x14ac:dyDescent="0.25">
      <c r="D1502" s="104"/>
      <c r="G1502" s="104"/>
    </row>
    <row r="1503" spans="4:7" x14ac:dyDescent="0.25">
      <c r="D1503" s="104"/>
      <c r="G1503" s="104"/>
    </row>
    <row r="1504" spans="4:7" x14ac:dyDescent="0.25">
      <c r="D1504" s="104"/>
      <c r="G1504" s="104"/>
    </row>
    <row r="1505" spans="4:7" x14ac:dyDescent="0.25">
      <c r="D1505" s="104"/>
      <c r="G1505" s="104"/>
    </row>
    <row r="1506" spans="4:7" x14ac:dyDescent="0.25">
      <c r="D1506" s="104"/>
      <c r="G1506" s="104"/>
    </row>
    <row r="1508" spans="4:7" x14ac:dyDescent="0.25">
      <c r="D1508" s="104"/>
      <c r="G1508" s="104"/>
    </row>
    <row r="1509" spans="4:7" x14ac:dyDescent="0.25">
      <c r="D1509" s="104"/>
      <c r="G1509" s="104"/>
    </row>
    <row r="1510" spans="4:7" x14ac:dyDescent="0.25">
      <c r="D1510" s="104"/>
      <c r="G1510" s="104"/>
    </row>
    <row r="1511" spans="4:7" x14ac:dyDescent="0.25">
      <c r="D1511" s="104"/>
      <c r="G1511" s="104"/>
    </row>
    <row r="1512" spans="4:7" x14ac:dyDescent="0.25">
      <c r="D1512" s="104"/>
      <c r="G1512" s="104"/>
    </row>
    <row r="1514" spans="4:7" x14ac:dyDescent="0.25">
      <c r="D1514" s="104"/>
      <c r="G1514" s="104"/>
    </row>
    <row r="1515" spans="4:7" x14ac:dyDescent="0.25">
      <c r="D1515" s="104"/>
      <c r="G1515" s="104"/>
    </row>
    <row r="1516" spans="4:7" x14ac:dyDescent="0.25">
      <c r="D1516" s="104"/>
      <c r="G1516" s="104"/>
    </row>
    <row r="1517" spans="4:7" x14ac:dyDescent="0.25">
      <c r="D1517" s="104"/>
      <c r="G1517" s="104"/>
    </row>
    <row r="1518" spans="4:7" x14ac:dyDescent="0.25">
      <c r="D1518" s="104"/>
      <c r="G1518" s="104"/>
    </row>
    <row r="1520" spans="4:7" x14ac:dyDescent="0.25">
      <c r="D1520" s="104"/>
      <c r="G1520" s="104"/>
    </row>
    <row r="1521" spans="4:7" x14ac:dyDescent="0.25">
      <c r="D1521" s="104"/>
      <c r="G1521" s="104"/>
    </row>
    <row r="1522" spans="4:7" x14ac:dyDescent="0.25">
      <c r="D1522" s="104"/>
      <c r="G1522" s="104"/>
    </row>
    <row r="1523" spans="4:7" x14ac:dyDescent="0.25">
      <c r="D1523" s="104"/>
      <c r="G1523" s="104"/>
    </row>
    <row r="1524" spans="4:7" x14ac:dyDescent="0.25">
      <c r="D1524" s="104"/>
      <c r="G1524" s="104"/>
    </row>
    <row r="1525" spans="4:7" x14ac:dyDescent="0.25">
      <c r="D1525" s="104"/>
      <c r="G1525" s="104"/>
    </row>
    <row r="1526" spans="4:7" x14ac:dyDescent="0.25">
      <c r="D1526" s="104"/>
      <c r="G1526" s="104"/>
    </row>
    <row r="1527" spans="4:7" x14ac:dyDescent="0.25">
      <c r="D1527" s="104"/>
      <c r="G1527" s="104"/>
    </row>
    <row r="1528" spans="4:7" x14ac:dyDescent="0.25">
      <c r="D1528" s="104"/>
      <c r="G1528" s="104"/>
    </row>
    <row r="1529" spans="4:7" x14ac:dyDescent="0.25">
      <c r="D1529" s="104"/>
      <c r="E1529" s="104"/>
      <c r="G1529" s="104"/>
    </row>
    <row r="1532" spans="4:7" x14ac:dyDescent="0.25">
      <c r="D1532" s="104"/>
      <c r="G1532" s="104"/>
    </row>
    <row r="1533" spans="4:7" x14ac:dyDescent="0.25">
      <c r="D1533" s="104"/>
      <c r="G1533" s="104"/>
    </row>
    <row r="1536" spans="4:7" x14ac:dyDescent="0.25">
      <c r="D1536" s="104"/>
      <c r="F1536" s="104"/>
      <c r="G1536" s="104"/>
    </row>
    <row r="1537" spans="4:7" x14ac:dyDescent="0.25">
      <c r="D1537" s="104"/>
      <c r="F1537" s="104"/>
      <c r="G1537" s="104"/>
    </row>
    <row r="1538" spans="4:7" x14ac:dyDescent="0.25">
      <c r="D1538" s="104"/>
      <c r="F1538" s="104"/>
      <c r="G1538" s="104"/>
    </row>
    <row r="1539" spans="4:7" x14ac:dyDescent="0.25">
      <c r="D1539" s="104"/>
      <c r="G1539" s="104"/>
    </row>
    <row r="1540" spans="4:7" x14ac:dyDescent="0.25">
      <c r="D1540" s="104"/>
      <c r="F1540" s="104"/>
      <c r="G1540" s="104"/>
    </row>
    <row r="1541" spans="4:7" x14ac:dyDescent="0.25">
      <c r="D1541" s="104"/>
      <c r="F1541" s="104"/>
      <c r="G1541" s="104"/>
    </row>
    <row r="1542" spans="4:7" x14ac:dyDescent="0.25">
      <c r="D1542" s="104"/>
      <c r="F1542" s="104"/>
      <c r="G1542" s="104"/>
    </row>
    <row r="1543" spans="4:7" x14ac:dyDescent="0.25">
      <c r="D1543" s="104"/>
      <c r="F1543" s="104"/>
      <c r="G1543" s="104"/>
    </row>
    <row r="1544" spans="4:7" x14ac:dyDescent="0.25">
      <c r="D1544" s="104"/>
      <c r="F1544" s="104"/>
      <c r="G1544" s="104"/>
    </row>
    <row r="1545" spans="4:7" x14ac:dyDescent="0.25">
      <c r="D1545" s="104"/>
      <c r="F1545" s="104"/>
      <c r="G1545" s="104"/>
    </row>
    <row r="1546" spans="4:7" x14ac:dyDescent="0.25">
      <c r="D1546" s="104"/>
      <c r="F1546" s="104"/>
      <c r="G1546" s="104"/>
    </row>
    <row r="1547" spans="4:7" x14ac:dyDescent="0.25">
      <c r="D1547" s="104"/>
      <c r="F1547" s="104"/>
      <c r="G1547" s="104"/>
    </row>
    <row r="1548" spans="4:7" x14ac:dyDescent="0.25">
      <c r="D1548" s="104"/>
      <c r="F1548" s="104"/>
      <c r="G1548" s="104"/>
    </row>
    <row r="1549" spans="4:7" x14ac:dyDescent="0.25">
      <c r="D1549" s="104"/>
      <c r="F1549" s="104"/>
      <c r="G1549" s="104"/>
    </row>
    <row r="1550" spans="4:7" x14ac:dyDescent="0.25">
      <c r="D1550" s="104"/>
      <c r="F1550" s="104"/>
      <c r="G1550" s="104"/>
    </row>
    <row r="1551" spans="4:7" x14ac:dyDescent="0.25">
      <c r="D1551" s="104"/>
      <c r="F1551" s="104"/>
      <c r="G1551" s="104"/>
    </row>
    <row r="1554" spans="4:7" x14ac:dyDescent="0.25">
      <c r="D1554" s="104"/>
      <c r="F1554" s="104"/>
      <c r="G1554" s="104"/>
    </row>
    <row r="1555" spans="4:7" x14ac:dyDescent="0.25">
      <c r="D1555" s="104"/>
      <c r="F1555" s="104"/>
      <c r="G1555" s="104"/>
    </row>
    <row r="1556" spans="4:7" x14ac:dyDescent="0.25">
      <c r="D1556" s="104"/>
      <c r="F1556" s="104"/>
      <c r="G1556" s="104"/>
    </row>
    <row r="1558" spans="4:7" x14ac:dyDescent="0.25">
      <c r="D1558" s="104"/>
      <c r="F1558" s="104"/>
      <c r="G1558" s="104"/>
    </row>
    <row r="1559" spans="4:7" x14ac:dyDescent="0.25">
      <c r="D1559" s="104"/>
      <c r="F1559" s="104"/>
      <c r="G1559" s="104"/>
    </row>
    <row r="1561" spans="4:7" x14ac:dyDescent="0.25">
      <c r="D1561" s="104"/>
      <c r="F1561" s="104"/>
      <c r="G1561" s="104"/>
    </row>
    <row r="1562" spans="4:7" x14ac:dyDescent="0.25">
      <c r="D1562" s="104"/>
      <c r="F1562" s="104"/>
      <c r="G1562" s="104"/>
    </row>
    <row r="1563" spans="4:7" x14ac:dyDescent="0.25">
      <c r="D1563" s="104"/>
      <c r="F1563" s="104"/>
      <c r="G1563" s="104"/>
    </row>
    <row r="1564" spans="4:7" x14ac:dyDescent="0.25">
      <c r="D1564" s="104"/>
      <c r="F1564" s="104"/>
      <c r="G1564" s="104"/>
    </row>
    <row r="1567" spans="4:7" x14ac:dyDescent="0.25">
      <c r="D1567" s="104"/>
      <c r="F1567" s="104"/>
      <c r="G1567" s="104"/>
    </row>
    <row r="1568" spans="4:7" x14ac:dyDescent="0.25">
      <c r="D1568" s="104"/>
      <c r="F1568" s="104"/>
      <c r="G1568" s="104"/>
    </row>
    <row r="1569" spans="4:7" x14ac:dyDescent="0.25">
      <c r="D1569" s="104"/>
      <c r="F1569" s="104"/>
      <c r="G1569" s="104"/>
    </row>
    <row r="1571" spans="4:7" x14ac:dyDescent="0.25">
      <c r="D1571" s="104"/>
      <c r="F1571" s="104"/>
      <c r="G1571" s="104"/>
    </row>
    <row r="1572" spans="4:7" x14ac:dyDescent="0.25">
      <c r="D1572" s="104"/>
      <c r="F1572" s="104"/>
      <c r="G1572" s="104"/>
    </row>
    <row r="1575" spans="4:7" x14ac:dyDescent="0.25">
      <c r="D1575" s="104"/>
      <c r="F1575" s="104"/>
      <c r="G1575" s="104"/>
    </row>
    <row r="1576" spans="4:7" x14ac:dyDescent="0.25">
      <c r="D1576" s="104"/>
      <c r="F1576" s="104"/>
      <c r="G1576" s="104"/>
    </row>
    <row r="1577" spans="4:7" x14ac:dyDescent="0.25">
      <c r="D1577" s="104"/>
      <c r="F1577" s="104"/>
      <c r="G1577" s="104"/>
    </row>
    <row r="1578" spans="4:7" x14ac:dyDescent="0.25">
      <c r="D1578" s="104"/>
      <c r="F1578" s="104"/>
      <c r="G1578" s="104"/>
    </row>
    <row r="1579" spans="4:7" x14ac:dyDescent="0.25">
      <c r="D1579" s="104"/>
      <c r="F1579" s="104"/>
      <c r="G1579" s="104"/>
    </row>
    <row r="1580" spans="4:7" x14ac:dyDescent="0.25">
      <c r="D1580" s="104"/>
      <c r="F1580" s="104"/>
      <c r="G1580" s="104"/>
    </row>
    <row r="1581" spans="4:7" x14ac:dyDescent="0.25">
      <c r="D1581" s="104"/>
      <c r="F1581" s="104"/>
      <c r="G1581" s="104"/>
    </row>
    <row r="1582" spans="4:7" x14ac:dyDescent="0.25">
      <c r="D1582" s="104"/>
      <c r="F1582" s="104"/>
      <c r="G1582" s="104"/>
    </row>
    <row r="1584" spans="4:7" x14ac:dyDescent="0.25">
      <c r="D1584" s="104"/>
      <c r="G1584" s="104"/>
    </row>
    <row r="1585" spans="4:7" x14ac:dyDescent="0.25">
      <c r="D1585" s="104"/>
      <c r="F1585" s="104"/>
      <c r="G1585" s="104"/>
    </row>
    <row r="1587" spans="4:7" x14ac:dyDescent="0.25">
      <c r="D1587" s="104"/>
      <c r="F1587" s="104"/>
      <c r="G1587" s="104"/>
    </row>
    <row r="1590" spans="4:7" x14ac:dyDescent="0.25">
      <c r="F1590" s="104"/>
      <c r="G1590" s="104"/>
    </row>
    <row r="1591" spans="4:7" x14ac:dyDescent="0.25">
      <c r="F1591" s="104"/>
      <c r="G1591" s="104"/>
    </row>
    <row r="1593" spans="4:7" x14ac:dyDescent="0.25">
      <c r="D1593" s="104"/>
      <c r="F1593" s="104"/>
      <c r="G1593" s="104"/>
    </row>
    <row r="1605" spans="4:7" x14ac:dyDescent="0.25">
      <c r="D1605" s="104"/>
      <c r="G1605" s="104"/>
    </row>
    <row r="1606" spans="4:7" x14ac:dyDescent="0.25">
      <c r="D1606" s="104"/>
      <c r="G1606" s="104"/>
    </row>
    <row r="1607" spans="4:7" x14ac:dyDescent="0.25">
      <c r="D1607" s="104"/>
      <c r="G1607" s="104"/>
    </row>
    <row r="1608" spans="4:7" x14ac:dyDescent="0.25">
      <c r="D1608" s="104"/>
      <c r="G1608" s="104"/>
    </row>
    <row r="1609" spans="4:7" x14ac:dyDescent="0.25">
      <c r="D1609" s="104"/>
      <c r="G1609" s="104"/>
    </row>
    <row r="1611" spans="4:7" x14ac:dyDescent="0.25">
      <c r="D1611" s="104"/>
      <c r="G1611" s="104"/>
    </row>
    <row r="1618" spans="4:7" x14ac:dyDescent="0.25">
      <c r="D1618" s="104"/>
      <c r="F1618" s="104"/>
      <c r="G1618" s="104"/>
    </row>
    <row r="1619" spans="4:7" x14ac:dyDescent="0.25">
      <c r="D1619" s="104"/>
      <c r="F1619" s="104"/>
      <c r="G1619" s="104"/>
    </row>
    <row r="1620" spans="4:7" x14ac:dyDescent="0.25">
      <c r="D1620" s="104"/>
      <c r="F1620" s="104"/>
      <c r="G1620" s="104"/>
    </row>
    <row r="1636" spans="4:7" x14ac:dyDescent="0.25">
      <c r="F1636" s="104"/>
      <c r="G1636" s="104"/>
    </row>
    <row r="1637" spans="4:7" x14ac:dyDescent="0.25">
      <c r="D1637" s="104"/>
      <c r="F1637" s="104"/>
      <c r="G1637" s="104"/>
    </row>
    <row r="1650" spans="4:7" x14ac:dyDescent="0.25">
      <c r="D1650" s="104"/>
      <c r="G1650" s="104"/>
    </row>
    <row r="1652" spans="4:7" x14ac:dyDescent="0.25">
      <c r="D1652" s="104"/>
      <c r="G1652" s="104"/>
    </row>
    <row r="1653" spans="4:7" x14ac:dyDescent="0.25">
      <c r="D1653" s="104"/>
      <c r="G1653" s="104"/>
    </row>
    <row r="1663" spans="4:7" x14ac:dyDescent="0.25">
      <c r="D1663" s="104"/>
      <c r="F1663" s="104"/>
      <c r="G1663" s="104"/>
    </row>
    <row r="1665" spans="4:7" x14ac:dyDescent="0.25">
      <c r="D1665" s="104"/>
      <c r="F1665" s="104"/>
      <c r="G1665" s="104"/>
    </row>
    <row r="1666" spans="4:7" x14ac:dyDescent="0.25">
      <c r="D1666" s="104"/>
      <c r="F1666" s="104"/>
      <c r="G1666" s="104"/>
    </row>
    <row r="1667" spans="4:7" x14ac:dyDescent="0.25">
      <c r="G1667" s="104"/>
    </row>
    <row r="1668" spans="4:7" x14ac:dyDescent="0.25">
      <c r="D1668" s="104"/>
      <c r="F1668" s="104"/>
      <c r="G1668" s="104"/>
    </row>
    <row r="1669" spans="4:7" x14ac:dyDescent="0.25">
      <c r="D1669" s="104"/>
      <c r="F1669" s="104"/>
      <c r="G1669" s="104"/>
    </row>
    <row r="1671" spans="4:7" x14ac:dyDescent="0.25">
      <c r="D1671" s="104"/>
      <c r="F1671" s="104"/>
      <c r="G1671" s="104"/>
    </row>
    <row r="1673" spans="4:7" x14ac:dyDescent="0.25">
      <c r="D1673" s="104"/>
      <c r="F1673" s="104"/>
      <c r="G1673" s="104"/>
    </row>
    <row r="1679" spans="4:7" x14ac:dyDescent="0.25">
      <c r="D1679" s="104"/>
      <c r="G1679" s="104"/>
    </row>
    <row r="1684" spans="4:7" x14ac:dyDescent="0.25">
      <c r="D1684" s="104"/>
      <c r="F1684" s="104"/>
      <c r="G1684" s="104"/>
    </row>
    <row r="1685" spans="4:7" x14ac:dyDescent="0.25">
      <c r="D1685" s="104"/>
      <c r="F1685" s="104"/>
      <c r="G1685" s="104"/>
    </row>
    <row r="1688" spans="4:7" x14ac:dyDescent="0.25">
      <c r="D1688" s="104"/>
      <c r="G1688" s="104"/>
    </row>
    <row r="1689" spans="4:7" x14ac:dyDescent="0.25">
      <c r="D1689" s="104"/>
      <c r="G1689" s="104"/>
    </row>
    <row r="1690" spans="4:7" x14ac:dyDescent="0.25">
      <c r="D1690" s="104"/>
      <c r="F1690" s="104"/>
      <c r="G1690" s="104"/>
    </row>
    <row r="1693" spans="4:7" x14ac:dyDescent="0.25">
      <c r="D1693" s="104"/>
      <c r="E1693" s="104"/>
      <c r="G1693" s="104"/>
    </row>
    <row r="1694" spans="4:7" x14ac:dyDescent="0.25">
      <c r="D1694" s="104"/>
      <c r="E1694" s="104"/>
      <c r="G1694" s="104"/>
    </row>
    <row r="1695" spans="4:7" x14ac:dyDescent="0.25">
      <c r="D1695" s="104"/>
      <c r="E1695" s="104"/>
      <c r="G1695" s="104"/>
    </row>
    <row r="1696" spans="4:7" x14ac:dyDescent="0.25">
      <c r="D1696" s="104"/>
      <c r="E1696" s="104"/>
      <c r="G1696" s="104"/>
    </row>
    <row r="1697" spans="4:7" x14ac:dyDescent="0.25">
      <c r="D1697" s="104"/>
      <c r="E1697" s="104"/>
      <c r="G1697" s="104"/>
    </row>
    <row r="1698" spans="4:7" x14ac:dyDescent="0.25">
      <c r="D1698" s="104"/>
      <c r="E1698" s="104"/>
      <c r="G1698" s="104"/>
    </row>
    <row r="1699" spans="4:7" x14ac:dyDescent="0.25">
      <c r="D1699" s="104"/>
      <c r="E1699" s="104"/>
      <c r="G1699" s="104"/>
    </row>
    <row r="1701" spans="4:7" x14ac:dyDescent="0.25">
      <c r="D1701" s="104"/>
      <c r="E1701" s="104"/>
      <c r="G1701" s="104"/>
    </row>
    <row r="1702" spans="4:7" x14ac:dyDescent="0.25">
      <c r="D1702" s="104"/>
      <c r="E1702" s="104"/>
      <c r="G1702" s="104"/>
    </row>
    <row r="1706" spans="4:7" x14ac:dyDescent="0.25">
      <c r="D1706" s="104"/>
      <c r="E1706" s="104"/>
      <c r="G1706" s="104"/>
    </row>
    <row r="1707" spans="4:7" x14ac:dyDescent="0.25">
      <c r="D1707" s="104"/>
      <c r="E1707" s="104"/>
      <c r="G1707" s="104"/>
    </row>
    <row r="1708" spans="4:7" x14ac:dyDescent="0.25">
      <c r="D1708" s="104"/>
      <c r="E1708" s="104"/>
      <c r="G1708" s="104"/>
    </row>
    <row r="1709" spans="4:7" x14ac:dyDescent="0.25">
      <c r="D1709" s="104"/>
      <c r="E1709" s="104"/>
      <c r="G1709" s="104"/>
    </row>
    <row r="1710" spans="4:7" x14ac:dyDescent="0.25">
      <c r="D1710" s="104"/>
      <c r="E1710" s="104"/>
      <c r="G1710" s="104"/>
    </row>
    <row r="1711" spans="4:7" x14ac:dyDescent="0.25">
      <c r="D1711" s="104"/>
      <c r="E1711" s="104"/>
      <c r="G1711" s="104"/>
    </row>
    <row r="1712" spans="4:7" x14ac:dyDescent="0.25">
      <c r="D1712" s="104"/>
      <c r="E1712" s="104"/>
      <c r="G1712" s="104"/>
    </row>
    <row r="1713" spans="4:7" x14ac:dyDescent="0.25">
      <c r="D1713" s="104"/>
      <c r="E1713" s="104"/>
      <c r="G1713" s="104"/>
    </row>
    <row r="1714" spans="4:7" x14ac:dyDescent="0.25">
      <c r="D1714" s="104"/>
      <c r="E1714" s="104"/>
      <c r="G1714" s="104"/>
    </row>
    <row r="1717" spans="4:7" x14ac:dyDescent="0.25">
      <c r="D1717" s="104"/>
      <c r="E1717" s="104"/>
      <c r="G1717" s="104"/>
    </row>
    <row r="1718" spans="4:7" x14ac:dyDescent="0.25">
      <c r="D1718" s="104"/>
      <c r="E1718" s="104"/>
      <c r="G1718" s="104"/>
    </row>
    <row r="1719" spans="4:7" x14ac:dyDescent="0.25">
      <c r="E1719" s="104"/>
      <c r="G1719" s="104"/>
    </row>
    <row r="1720" spans="4:7" x14ac:dyDescent="0.25">
      <c r="E1720" s="104"/>
      <c r="G1720" s="104"/>
    </row>
    <row r="1721" spans="4:7" x14ac:dyDescent="0.25">
      <c r="D1721" s="104"/>
      <c r="E1721" s="104"/>
      <c r="G1721" s="104"/>
    </row>
    <row r="1722" spans="4:7" x14ac:dyDescent="0.25">
      <c r="D1722" s="104"/>
      <c r="E1722" s="104"/>
      <c r="G1722" s="104"/>
    </row>
    <row r="1725" spans="4:7" x14ac:dyDescent="0.25">
      <c r="E1725" s="104"/>
      <c r="G1725" s="104"/>
    </row>
    <row r="1726" spans="4:7" x14ac:dyDescent="0.25">
      <c r="E1726" s="104"/>
      <c r="G1726" s="104"/>
    </row>
    <row r="1727" spans="4:7" x14ac:dyDescent="0.25">
      <c r="E1727" s="104"/>
      <c r="G1727" s="104"/>
    </row>
    <row r="1728" spans="4:7" x14ac:dyDescent="0.25">
      <c r="D1728" s="104"/>
      <c r="E1728" s="104"/>
      <c r="G1728" s="104"/>
    </row>
    <row r="1729" spans="4:7" x14ac:dyDescent="0.25">
      <c r="D1729" s="104"/>
      <c r="E1729" s="104"/>
      <c r="G1729" s="104"/>
    </row>
    <row r="1736" spans="4:7" x14ac:dyDescent="0.25">
      <c r="D1736" s="104"/>
      <c r="E1736" s="104"/>
      <c r="G1736" s="104"/>
    </row>
    <row r="1738" spans="4:7" x14ac:dyDescent="0.25">
      <c r="E1738" s="104"/>
      <c r="G1738" s="104"/>
    </row>
    <row r="1739" spans="4:7" x14ac:dyDescent="0.25">
      <c r="D1739" s="104"/>
      <c r="E1739" s="104"/>
      <c r="G1739" s="104"/>
    </row>
    <row r="1756" spans="4:7" x14ac:dyDescent="0.25">
      <c r="E1756" s="104"/>
      <c r="G1756" s="104"/>
    </row>
    <row r="1757" spans="4:7" x14ac:dyDescent="0.25">
      <c r="E1757" s="104"/>
      <c r="G1757" s="104"/>
    </row>
    <row r="1760" spans="4:7" x14ac:dyDescent="0.25">
      <c r="D1760" s="104"/>
      <c r="E1760" s="104"/>
      <c r="G1760" s="104"/>
    </row>
    <row r="1761" spans="4:7" x14ac:dyDescent="0.25">
      <c r="D1761" s="104"/>
      <c r="E1761" s="104"/>
      <c r="G1761" s="104"/>
    </row>
    <row r="1762" spans="4:7" x14ac:dyDescent="0.25">
      <c r="D1762" s="104"/>
      <c r="E1762" s="104"/>
      <c r="G1762" s="104"/>
    </row>
    <row r="1763" spans="4:7" x14ac:dyDescent="0.25">
      <c r="D1763" s="104"/>
      <c r="E1763" s="104"/>
      <c r="G1763" s="104"/>
    </row>
    <row r="1764" spans="4:7" x14ac:dyDescent="0.25">
      <c r="D1764" s="104"/>
      <c r="E1764" s="104"/>
      <c r="G1764" s="104"/>
    </row>
    <row r="1765" spans="4:7" x14ac:dyDescent="0.25">
      <c r="D1765" s="104"/>
      <c r="E1765" s="104"/>
      <c r="G1765" s="104"/>
    </row>
    <row r="1766" spans="4:7" x14ac:dyDescent="0.25">
      <c r="D1766" s="104"/>
      <c r="E1766" s="104"/>
      <c r="G1766" s="104"/>
    </row>
    <row r="1767" spans="4:7" x14ac:dyDescent="0.25">
      <c r="E1767" s="104"/>
      <c r="G1767" s="104"/>
    </row>
    <row r="1768" spans="4:7" x14ac:dyDescent="0.25">
      <c r="D1768" s="104"/>
      <c r="E1768" s="104"/>
      <c r="G1768" s="104"/>
    </row>
    <row r="1769" spans="4:7" x14ac:dyDescent="0.25">
      <c r="D1769" s="104"/>
      <c r="E1769" s="104"/>
      <c r="G1769" s="104"/>
    </row>
    <row r="1775" spans="4:7" x14ac:dyDescent="0.25">
      <c r="D1775" s="104"/>
      <c r="E1775" s="104"/>
      <c r="G1775" s="104"/>
    </row>
    <row r="1780" spans="4:7" x14ac:dyDescent="0.25">
      <c r="D1780" s="104"/>
      <c r="E1780" s="104"/>
      <c r="G1780" s="104"/>
    </row>
    <row r="1783" spans="4:7" x14ac:dyDescent="0.25">
      <c r="D1783" s="104"/>
      <c r="E1783" s="104"/>
      <c r="G1783" s="104"/>
    </row>
    <row r="1784" spans="4:7" x14ac:dyDescent="0.25">
      <c r="G1784" s="104"/>
    </row>
    <row r="1785" spans="4:7" x14ac:dyDescent="0.25">
      <c r="D1785" s="104"/>
      <c r="E1785" s="104"/>
      <c r="G1785" s="104"/>
    </row>
    <row r="1786" spans="4:7" x14ac:dyDescent="0.25">
      <c r="D1786" s="104"/>
      <c r="E1786" s="104"/>
      <c r="G1786" s="104"/>
    </row>
    <row r="1787" spans="4:7" x14ac:dyDescent="0.25">
      <c r="D1787" s="104"/>
      <c r="E1787" s="104"/>
      <c r="G1787" s="104"/>
    </row>
    <row r="1788" spans="4:7" x14ac:dyDescent="0.25">
      <c r="G1788" s="104"/>
    </row>
    <row r="1789" spans="4:7" x14ac:dyDescent="0.25">
      <c r="D1789" s="104"/>
      <c r="E1789" s="104"/>
      <c r="G1789" s="104"/>
    </row>
    <row r="1790" spans="4:7" x14ac:dyDescent="0.25">
      <c r="G1790" s="104"/>
    </row>
    <row r="1791" spans="4:7" x14ac:dyDescent="0.25">
      <c r="D1791" s="104"/>
      <c r="E1791" s="104"/>
      <c r="G1791" s="104"/>
    </row>
    <row r="1797" spans="4:7" x14ac:dyDescent="0.25">
      <c r="D1797" s="104"/>
      <c r="E1797" s="104"/>
      <c r="G1797" s="104"/>
    </row>
    <row r="1802" spans="4:7" x14ac:dyDescent="0.25">
      <c r="D1802" s="104"/>
      <c r="E1802" s="104"/>
      <c r="G1802" s="104"/>
    </row>
    <row r="1805" spans="4:7" x14ac:dyDescent="0.25">
      <c r="D1805" s="104"/>
      <c r="G1805" s="104"/>
    </row>
    <row r="1806" spans="4:7" x14ac:dyDescent="0.25">
      <c r="D1806" s="104"/>
      <c r="G1806" s="104"/>
    </row>
    <row r="1807" spans="4:7" x14ac:dyDescent="0.25">
      <c r="D1807" s="104"/>
      <c r="G1807" s="104"/>
    </row>
    <row r="1808" spans="4:7" x14ac:dyDescent="0.25">
      <c r="D1808" s="104"/>
      <c r="G1808" s="104"/>
    </row>
    <row r="1809" spans="4:7" x14ac:dyDescent="0.25">
      <c r="D1809" s="104"/>
      <c r="G1809" s="104"/>
    </row>
    <row r="1810" spans="4:7" x14ac:dyDescent="0.25">
      <c r="D1810" s="104"/>
      <c r="G1810" s="104"/>
    </row>
    <row r="1811" spans="4:7" x14ac:dyDescent="0.25">
      <c r="D1811" s="104"/>
      <c r="G1811" s="104"/>
    </row>
    <row r="1812" spans="4:7" x14ac:dyDescent="0.25">
      <c r="D1812" s="104"/>
      <c r="G1812" s="104"/>
    </row>
    <row r="1813" spans="4:7" x14ac:dyDescent="0.25">
      <c r="D1813" s="104"/>
      <c r="G1813" s="104"/>
    </row>
    <row r="1824" spans="4:7" x14ac:dyDescent="0.25">
      <c r="D1824" s="104"/>
      <c r="E1824" s="104"/>
      <c r="G1824" s="104"/>
    </row>
    <row r="1827" spans="4:7" x14ac:dyDescent="0.25">
      <c r="D1827" s="104"/>
      <c r="E1827" s="104"/>
      <c r="G1827" s="104"/>
    </row>
    <row r="1834" spans="4:7" x14ac:dyDescent="0.25">
      <c r="E1834" s="104"/>
      <c r="G1834" s="104"/>
    </row>
    <row r="1835" spans="4:7" x14ac:dyDescent="0.25">
      <c r="D1835" s="104"/>
      <c r="E1835" s="104"/>
      <c r="G1835" s="104"/>
    </row>
    <row r="1837" spans="4:7" x14ac:dyDescent="0.25">
      <c r="E1837" s="104"/>
      <c r="G1837" s="104"/>
    </row>
    <row r="1839" spans="4:7" x14ac:dyDescent="0.25">
      <c r="D1839" s="104"/>
      <c r="E1839" s="104"/>
      <c r="G1839" s="104"/>
    </row>
    <row r="1842" spans="4:7" x14ac:dyDescent="0.25">
      <c r="D1842" s="104"/>
      <c r="G1842" s="104"/>
    </row>
    <row r="1843" spans="4:7" x14ac:dyDescent="0.25">
      <c r="D1843" s="104"/>
      <c r="G1843" s="104"/>
    </row>
    <row r="1844" spans="4:7" x14ac:dyDescent="0.25">
      <c r="D1844" s="104"/>
      <c r="G1844" s="104"/>
    </row>
    <row r="1845" spans="4:7" x14ac:dyDescent="0.25">
      <c r="D1845" s="104"/>
      <c r="E1845" s="104"/>
      <c r="G1845" s="104"/>
    </row>
    <row r="1846" spans="4:7" x14ac:dyDescent="0.25">
      <c r="D1846" s="104"/>
      <c r="G1846" s="104"/>
    </row>
    <row r="1847" spans="4:7" x14ac:dyDescent="0.25">
      <c r="D1847" s="104"/>
      <c r="E1847" s="104"/>
      <c r="G1847" s="104"/>
    </row>
    <row r="1848" spans="4:7" x14ac:dyDescent="0.25">
      <c r="D1848" s="104"/>
      <c r="E1848" s="104"/>
      <c r="G1848" s="104"/>
    </row>
    <row r="1852" spans="4:7" x14ac:dyDescent="0.25">
      <c r="D1852" s="104"/>
      <c r="E1852" s="104"/>
      <c r="G1852" s="104"/>
    </row>
    <row r="1853" spans="4:7" x14ac:dyDescent="0.25">
      <c r="E1853" s="104"/>
      <c r="G1853" s="104"/>
    </row>
    <row r="1854" spans="4:7" x14ac:dyDescent="0.25">
      <c r="E1854" s="104"/>
      <c r="G1854" s="104"/>
    </row>
    <row r="1855" spans="4:7" x14ac:dyDescent="0.25">
      <c r="D1855" s="104"/>
      <c r="E1855" s="104"/>
      <c r="G1855" s="104"/>
    </row>
    <row r="1856" spans="4:7" x14ac:dyDescent="0.25">
      <c r="D1856" s="104"/>
      <c r="E1856" s="104"/>
      <c r="G1856" s="104"/>
    </row>
    <row r="1861" spans="4:7" x14ac:dyDescent="0.25">
      <c r="D1861" s="104"/>
      <c r="E1861" s="104"/>
      <c r="G1861" s="104"/>
    </row>
    <row r="1865" spans="4:7" x14ac:dyDescent="0.25">
      <c r="D1865" s="104"/>
      <c r="E1865" s="104"/>
      <c r="G1865" s="104"/>
    </row>
    <row r="1868" spans="4:7" x14ac:dyDescent="0.25">
      <c r="D1868" s="104"/>
      <c r="E1868" s="104"/>
      <c r="G1868" s="104"/>
    </row>
    <row r="1869" spans="4:7" x14ac:dyDescent="0.25">
      <c r="D1869" s="104"/>
      <c r="E1869" s="104"/>
      <c r="G1869" s="104"/>
    </row>
    <row r="1872" spans="4:7" x14ac:dyDescent="0.25">
      <c r="D1872" s="104"/>
      <c r="E1872" s="104"/>
      <c r="G1872" s="104"/>
    </row>
    <row r="1873" spans="4:7" x14ac:dyDescent="0.25">
      <c r="E1873" s="104"/>
      <c r="G1873" s="104"/>
    </row>
    <row r="1874" spans="4:7" x14ac:dyDescent="0.25">
      <c r="D1874" s="104"/>
      <c r="E1874" s="104"/>
      <c r="G1874" s="104"/>
    </row>
    <row r="1878" spans="4:7" x14ac:dyDescent="0.25">
      <c r="D1878" s="104"/>
      <c r="E1878" s="104"/>
      <c r="G1878" s="104"/>
    </row>
    <row r="1879" spans="4:7" x14ac:dyDescent="0.25">
      <c r="E1879" s="104"/>
      <c r="G1879" s="104"/>
    </row>
    <row r="1880" spans="4:7" x14ac:dyDescent="0.25">
      <c r="E1880" s="104"/>
      <c r="G1880" s="104"/>
    </row>
    <row r="1881" spans="4:7" x14ac:dyDescent="0.25">
      <c r="D1881" s="104"/>
      <c r="E1881" s="104"/>
      <c r="G1881" s="104"/>
    </row>
    <row r="1884" spans="4:7" x14ac:dyDescent="0.25">
      <c r="D1884" s="104"/>
      <c r="E1884" s="104"/>
      <c r="G1884" s="104"/>
    </row>
    <row r="1885" spans="4:7" x14ac:dyDescent="0.25">
      <c r="D1885" s="104"/>
      <c r="E1885" s="104"/>
      <c r="G1885" s="104"/>
    </row>
    <row r="1886" spans="4:7" x14ac:dyDescent="0.25">
      <c r="D1886" s="104"/>
      <c r="E1886" s="104"/>
      <c r="G1886" s="104"/>
    </row>
    <row r="1887" spans="4:7" x14ac:dyDescent="0.25">
      <c r="D1887" s="104"/>
      <c r="E1887" s="104"/>
      <c r="G1887" s="104"/>
    </row>
    <row r="1888" spans="4:7" x14ac:dyDescent="0.25">
      <c r="E1888" s="104"/>
      <c r="G1888" s="104"/>
    </row>
    <row r="1889" spans="4:7" x14ac:dyDescent="0.25">
      <c r="E1889" s="104"/>
      <c r="G1889" s="104"/>
    </row>
    <row r="1890" spans="4:7" x14ac:dyDescent="0.25">
      <c r="D1890" s="104"/>
      <c r="E1890" s="104"/>
      <c r="G1890" s="104"/>
    </row>
    <row r="1892" spans="4:7" x14ac:dyDescent="0.25">
      <c r="D1892" s="104"/>
      <c r="E1892" s="104"/>
      <c r="G1892" s="104"/>
    </row>
    <row r="1896" spans="4:7" x14ac:dyDescent="0.25">
      <c r="D1896" s="104"/>
      <c r="E1896" s="104"/>
      <c r="G1896" s="104"/>
    </row>
    <row r="1897" spans="4:7" x14ac:dyDescent="0.25">
      <c r="D1897" s="104"/>
      <c r="G1897" s="104"/>
    </row>
    <row r="1898" spans="4:7" x14ac:dyDescent="0.25">
      <c r="E1898" s="104"/>
      <c r="G1898" s="104"/>
    </row>
    <row r="1899" spans="4:7" x14ac:dyDescent="0.25">
      <c r="D1899" s="104"/>
      <c r="G1899" s="104"/>
    </row>
    <row r="1900" spans="4:7" x14ac:dyDescent="0.25">
      <c r="E1900" s="104"/>
      <c r="G1900" s="104"/>
    </row>
    <row r="1901" spans="4:7" x14ac:dyDescent="0.25">
      <c r="D1901" s="104"/>
      <c r="E1901" s="104"/>
      <c r="G1901" s="104"/>
    </row>
    <row r="1904" spans="4:7" x14ac:dyDescent="0.25">
      <c r="D1904" s="104"/>
      <c r="E1904" s="104"/>
      <c r="G1904" s="104"/>
    </row>
    <row r="1906" spans="4:7" x14ac:dyDescent="0.25">
      <c r="E1906" s="104"/>
      <c r="G1906" s="104"/>
    </row>
    <row r="1907" spans="4:7" x14ac:dyDescent="0.25">
      <c r="E1907" s="104"/>
      <c r="G1907" s="104"/>
    </row>
    <row r="1910" spans="4:7" x14ac:dyDescent="0.25">
      <c r="E1910" s="104"/>
      <c r="G1910" s="104"/>
    </row>
    <row r="1912" spans="4:7" x14ac:dyDescent="0.25">
      <c r="E1912" s="104"/>
      <c r="G1912" s="104"/>
    </row>
    <row r="1913" spans="4:7" x14ac:dyDescent="0.25">
      <c r="D1913" s="104"/>
      <c r="E1913" s="104"/>
      <c r="G1913" s="104"/>
    </row>
    <row r="1916" spans="4:7" x14ac:dyDescent="0.25">
      <c r="D1916" s="104"/>
      <c r="E1916" s="104"/>
      <c r="G1916" s="104"/>
    </row>
    <row r="1919" spans="4:7" x14ac:dyDescent="0.25">
      <c r="D1919" s="104"/>
      <c r="G1919" s="104"/>
    </row>
    <row r="1921" spans="4:7" x14ac:dyDescent="0.25">
      <c r="D1921" s="104"/>
      <c r="E1921" s="104"/>
      <c r="G1921" s="104"/>
    </row>
    <row r="1922" spans="4:7" x14ac:dyDescent="0.25">
      <c r="D1922" s="104"/>
      <c r="E1922" s="104"/>
      <c r="G1922" s="104"/>
    </row>
    <row r="1923" spans="4:7" x14ac:dyDescent="0.25">
      <c r="D1923" s="104"/>
      <c r="E1923" s="104"/>
      <c r="G1923" s="104"/>
    </row>
    <row r="1925" spans="4:7" x14ac:dyDescent="0.25">
      <c r="E1925" s="104"/>
      <c r="G1925" s="104"/>
    </row>
    <row r="1926" spans="4:7" x14ac:dyDescent="0.25">
      <c r="D1926" s="104"/>
      <c r="E1926" s="104"/>
      <c r="G1926" s="104"/>
    </row>
    <row r="1929" spans="4:7" x14ac:dyDescent="0.25">
      <c r="D1929" s="104"/>
      <c r="E1929" s="104"/>
      <c r="G1929" s="104"/>
    </row>
    <row r="1930" spans="4:7" x14ac:dyDescent="0.25">
      <c r="D1930" s="104"/>
      <c r="E1930" s="104"/>
      <c r="G1930" s="104"/>
    </row>
    <row r="1931" spans="4:7" x14ac:dyDescent="0.25">
      <c r="D1931" s="104"/>
      <c r="E1931" s="104"/>
      <c r="G1931" s="104"/>
    </row>
    <row r="1932" spans="4:7" x14ac:dyDescent="0.25">
      <c r="D1932" s="104"/>
      <c r="E1932" s="104"/>
      <c r="G1932" s="104"/>
    </row>
    <row r="1936" spans="4:7" x14ac:dyDescent="0.25">
      <c r="D1936" s="104"/>
      <c r="E1936" s="104"/>
      <c r="G1936" s="104"/>
    </row>
    <row r="1937" spans="4:7" x14ac:dyDescent="0.25">
      <c r="D1937" s="104"/>
      <c r="E1937" s="104"/>
      <c r="G1937" s="104"/>
    </row>
    <row r="1940" spans="4:7" x14ac:dyDescent="0.25">
      <c r="D1940" s="104"/>
      <c r="E1940" s="104"/>
      <c r="G1940" s="104"/>
    </row>
    <row r="1941" spans="4:7" x14ac:dyDescent="0.25">
      <c r="D1941" s="104"/>
      <c r="G1941" s="104"/>
    </row>
    <row r="1942" spans="4:7" x14ac:dyDescent="0.25">
      <c r="D1942" s="104"/>
      <c r="E1942" s="104"/>
      <c r="G1942" s="104"/>
    </row>
    <row r="1943" spans="4:7" x14ac:dyDescent="0.25">
      <c r="D1943" s="104"/>
      <c r="E1943" s="104"/>
      <c r="G1943" s="104"/>
    </row>
    <row r="1945" spans="4:7" x14ac:dyDescent="0.25">
      <c r="D1945" s="104"/>
      <c r="E1945" s="104"/>
      <c r="G1945" s="104"/>
    </row>
    <row r="1949" spans="4:7" x14ac:dyDescent="0.25">
      <c r="D1949" s="104"/>
      <c r="E1949" s="104"/>
      <c r="G1949" s="104"/>
    </row>
    <row r="1950" spans="4:7" x14ac:dyDescent="0.25">
      <c r="D1950" s="104"/>
      <c r="E1950" s="104"/>
      <c r="G1950" s="104"/>
    </row>
    <row r="1953" spans="4:7" x14ac:dyDescent="0.25">
      <c r="D1953" s="104"/>
      <c r="E1953" s="104"/>
      <c r="G1953" s="104"/>
    </row>
    <row r="1954" spans="4:7" x14ac:dyDescent="0.25">
      <c r="D1954" s="104"/>
      <c r="E1954" s="104"/>
      <c r="G1954" s="104"/>
    </row>
    <row r="1960" spans="4:7" x14ac:dyDescent="0.25">
      <c r="D1960" s="104"/>
      <c r="E1960" s="104"/>
      <c r="G1960" s="104"/>
    </row>
    <row r="1962" spans="4:7" x14ac:dyDescent="0.25">
      <c r="D1962" s="104"/>
      <c r="E1962" s="104"/>
      <c r="G1962" s="104"/>
    </row>
    <row r="1963" spans="4:7" x14ac:dyDescent="0.25">
      <c r="E1963" s="104"/>
      <c r="G1963" s="104"/>
    </row>
    <row r="1964" spans="4:7" x14ac:dyDescent="0.25">
      <c r="D1964" s="104"/>
      <c r="E1964" s="104"/>
      <c r="G1964" s="104"/>
    </row>
    <row r="1967" spans="4:7" x14ac:dyDescent="0.25">
      <c r="D1967" s="104"/>
      <c r="E1967" s="104"/>
      <c r="G1967" s="104"/>
    </row>
    <row r="1968" spans="4:7" x14ac:dyDescent="0.25">
      <c r="D1968" s="104"/>
      <c r="E1968" s="104"/>
      <c r="G1968" s="104"/>
    </row>
    <row r="1969" spans="4:7" x14ac:dyDescent="0.25">
      <c r="E1969" s="104"/>
      <c r="G1969" s="104"/>
    </row>
    <row r="1970" spans="4:7" x14ac:dyDescent="0.25">
      <c r="D1970" s="104"/>
      <c r="E1970" s="104"/>
      <c r="G1970" s="104"/>
    </row>
    <row r="1971" spans="4:7" x14ac:dyDescent="0.25">
      <c r="D1971" s="104"/>
      <c r="E1971" s="104"/>
      <c r="G1971" s="104"/>
    </row>
    <row r="1972" spans="4:7" x14ac:dyDescent="0.25">
      <c r="D1972" s="104"/>
      <c r="E1972" s="104"/>
      <c r="G1972" s="104"/>
    </row>
    <row r="1975" spans="4:7" x14ac:dyDescent="0.25">
      <c r="D1975" s="104"/>
      <c r="E1975" s="104"/>
      <c r="G1975" s="104"/>
    </row>
    <row r="1976" spans="4:7" x14ac:dyDescent="0.25">
      <c r="D1976" s="104"/>
      <c r="E1976" s="104"/>
      <c r="G1976" s="104"/>
    </row>
    <row r="1983" spans="4:7" x14ac:dyDescent="0.25">
      <c r="D1983" s="104"/>
      <c r="G1983" s="104"/>
    </row>
    <row r="1984" spans="4:7" x14ac:dyDescent="0.25">
      <c r="D1984" s="104"/>
      <c r="G1984" s="104"/>
    </row>
    <row r="1986" spans="4:7" x14ac:dyDescent="0.25">
      <c r="D1986" s="104"/>
      <c r="E1986" s="104"/>
      <c r="G1986" s="104"/>
    </row>
    <row r="1989" spans="4:7" x14ac:dyDescent="0.25">
      <c r="D1989" s="104"/>
      <c r="E1989" s="104"/>
      <c r="G1989" s="104"/>
    </row>
    <row r="1991" spans="4:7" x14ac:dyDescent="0.25">
      <c r="D1991" s="104"/>
      <c r="E1991" s="104"/>
      <c r="G1991" s="104"/>
    </row>
    <row r="1994" spans="4:7" x14ac:dyDescent="0.25">
      <c r="D1994" s="104"/>
      <c r="E1994" s="104"/>
      <c r="G1994" s="104"/>
    </row>
    <row r="1995" spans="4:7" x14ac:dyDescent="0.25">
      <c r="D1995" s="104"/>
      <c r="E1995" s="104"/>
      <c r="G1995" s="104"/>
    </row>
    <row r="2001" spans="4:7" x14ac:dyDescent="0.25">
      <c r="D2001" s="104"/>
      <c r="G2001" s="104"/>
    </row>
    <row r="2002" spans="4:7" x14ac:dyDescent="0.25">
      <c r="D2002" s="104"/>
      <c r="G2002" s="104"/>
    </row>
    <row r="2007" spans="4:7" x14ac:dyDescent="0.25">
      <c r="D2007" s="104"/>
      <c r="G2007" s="104"/>
    </row>
    <row r="2008" spans="4:7" x14ac:dyDescent="0.25">
      <c r="D2008" s="104"/>
      <c r="G2008" s="104"/>
    </row>
    <row r="2010" spans="4:7" x14ac:dyDescent="0.25">
      <c r="D2010" s="104"/>
      <c r="E2010" s="104"/>
      <c r="G2010" s="104"/>
    </row>
    <row r="2012" spans="4:7" x14ac:dyDescent="0.25">
      <c r="D2012" s="104"/>
      <c r="E2012" s="104"/>
      <c r="G2012" s="104"/>
    </row>
    <row r="2013" spans="4:7" x14ac:dyDescent="0.25">
      <c r="D2013" s="104"/>
      <c r="E2013" s="104"/>
      <c r="G2013" s="104"/>
    </row>
    <row r="2021" spans="4:7" x14ac:dyDescent="0.25">
      <c r="D2021" s="104"/>
      <c r="G2021" s="104"/>
    </row>
    <row r="2023" spans="4:7" x14ac:dyDescent="0.25">
      <c r="D2023" s="104"/>
      <c r="G2023" s="104"/>
    </row>
    <row r="2036" spans="4:7" x14ac:dyDescent="0.25">
      <c r="D2036" s="104"/>
      <c r="G2036" s="104"/>
    </row>
    <row r="2038" spans="4:7" x14ac:dyDescent="0.25">
      <c r="D2038" s="104"/>
      <c r="G2038" s="104"/>
    </row>
    <row r="2039" spans="4:7" x14ac:dyDescent="0.25">
      <c r="D2039" s="104"/>
      <c r="G2039" s="104"/>
    </row>
    <row r="2041" spans="4:7" x14ac:dyDescent="0.25">
      <c r="D2041" s="104"/>
      <c r="G2041" s="104"/>
    </row>
    <row r="2042" spans="4:7" x14ac:dyDescent="0.25">
      <c r="D2042" s="104"/>
      <c r="G2042" s="104"/>
    </row>
    <row r="2045" spans="4:7" x14ac:dyDescent="0.25">
      <c r="D2045" s="104"/>
      <c r="E2045" s="104"/>
      <c r="G2045" s="104"/>
    </row>
    <row r="2046" spans="4:7" x14ac:dyDescent="0.25">
      <c r="D2046" s="104"/>
      <c r="E2046" s="104"/>
      <c r="G2046" s="104"/>
    </row>
    <row r="2048" spans="4:7" x14ac:dyDescent="0.25">
      <c r="D2048" s="104"/>
      <c r="E2048" s="104"/>
      <c r="G2048" s="104"/>
    </row>
    <row r="2050" spans="4:7" x14ac:dyDescent="0.25">
      <c r="D2050" s="104"/>
      <c r="E2050" s="104"/>
      <c r="G2050" s="104"/>
    </row>
    <row r="2051" spans="4:7" x14ac:dyDescent="0.25">
      <c r="D2051" s="104"/>
      <c r="E2051" s="104"/>
      <c r="G2051" s="104"/>
    </row>
    <row r="2081" spans="4:7" x14ac:dyDescent="0.25">
      <c r="D2081" s="104"/>
      <c r="E2081" s="104"/>
      <c r="G2081" s="104"/>
    </row>
    <row r="2083" spans="4:7" x14ac:dyDescent="0.25">
      <c r="D2083" s="104"/>
      <c r="E2083" s="104"/>
      <c r="G2083" s="104"/>
    </row>
    <row r="2084" spans="4:7" x14ac:dyDescent="0.25">
      <c r="D2084" s="104"/>
      <c r="E2084" s="104"/>
      <c r="G2084" s="104"/>
    </row>
    <row r="2087" spans="4:7" x14ac:dyDescent="0.25">
      <c r="E2087" s="104"/>
      <c r="G2087" s="104"/>
    </row>
    <row r="2089" spans="4:7" x14ac:dyDescent="0.25">
      <c r="D2089" s="104"/>
      <c r="E2089" s="104"/>
      <c r="G2089" s="104"/>
    </row>
    <row r="2090" spans="4:7" x14ac:dyDescent="0.25">
      <c r="D2090" s="104"/>
      <c r="E2090" s="104"/>
      <c r="G2090" s="104"/>
    </row>
    <row r="2092" spans="4:7" x14ac:dyDescent="0.25">
      <c r="D2092" s="104"/>
      <c r="E2092" s="104"/>
      <c r="G2092" s="104"/>
    </row>
    <row r="2093" spans="4:7" x14ac:dyDescent="0.25">
      <c r="D2093" s="104"/>
      <c r="E2093" s="104"/>
      <c r="G2093" s="104"/>
    </row>
    <row r="2096" spans="4:7" x14ac:dyDescent="0.25">
      <c r="D2096" s="104"/>
      <c r="E2096" s="104"/>
      <c r="G2096" s="104"/>
    </row>
    <row r="2097" spans="4:7" x14ac:dyDescent="0.25">
      <c r="D2097" s="104"/>
      <c r="G2097" s="104"/>
    </row>
    <row r="2098" spans="4:7" x14ac:dyDescent="0.25">
      <c r="D2098" s="104"/>
      <c r="E2098" s="104"/>
      <c r="G2098" s="104"/>
    </row>
    <row r="2101" spans="4:7" x14ac:dyDescent="0.25">
      <c r="D2101" s="104"/>
      <c r="E2101" s="104"/>
      <c r="G2101" s="104"/>
    </row>
    <row r="2102" spans="4:7" x14ac:dyDescent="0.25">
      <c r="D2102" s="104"/>
      <c r="E2102" s="104"/>
      <c r="G2102" s="104"/>
    </row>
    <row r="2106" spans="4:7" x14ac:dyDescent="0.25">
      <c r="D2106" s="104"/>
      <c r="G2106" s="104"/>
    </row>
    <row r="2107" spans="4:7" x14ac:dyDescent="0.25">
      <c r="D2107" s="104"/>
      <c r="G2107" s="104"/>
    </row>
    <row r="2111" spans="4:7" x14ac:dyDescent="0.25">
      <c r="E2111" s="104"/>
      <c r="G2111" s="104"/>
    </row>
    <row r="2112" spans="4:7" x14ac:dyDescent="0.25">
      <c r="E2112" s="104"/>
      <c r="G2112" s="104"/>
    </row>
    <row r="2118" spans="7:7" x14ac:dyDescent="0.25">
      <c r="G2118" s="104"/>
    </row>
    <row r="2120" spans="7:7" x14ac:dyDescent="0.25">
      <c r="G2120" s="104"/>
    </row>
    <row r="2132" spans="4:7" x14ac:dyDescent="0.25">
      <c r="D2132" s="104"/>
      <c r="G2132" s="104"/>
    </row>
    <row r="2133" spans="4:7" x14ac:dyDescent="0.25">
      <c r="D2133" s="104"/>
      <c r="G2133" s="104"/>
    </row>
    <row r="2140" spans="4:7" x14ac:dyDescent="0.25">
      <c r="D2140" s="104"/>
      <c r="G2140" s="104"/>
    </row>
    <row r="2141" spans="4:7" x14ac:dyDescent="0.25">
      <c r="D2141" s="104"/>
      <c r="G2141" s="104"/>
    </row>
    <row r="2144" spans="4:7" x14ac:dyDescent="0.25">
      <c r="D2144" s="104"/>
      <c r="G2144" s="104"/>
    </row>
    <row r="2145" spans="4:7" x14ac:dyDescent="0.25">
      <c r="D2145" s="104"/>
      <c r="G2145" s="10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SCHEDULE OF ACCOUNTS</vt:lpstr>
      <vt:lpstr>schedules per account</vt:lpstr>
      <vt:lpstr>TRIAL BALANCE </vt:lpstr>
      <vt:lpstr>balance sheet</vt:lpstr>
      <vt:lpstr>income sta</vt:lpstr>
      <vt:lpstr>Changes in Equity</vt:lpstr>
      <vt:lpstr>Cash flow </vt:lpstr>
      <vt:lpstr>STRAIGHT SCHEDULE - 060524</vt:lpstr>
      <vt:lpstr>INVESTMENT BOOK VALUE PER COM</vt:lpstr>
      <vt:lpstr>RECEIVABLES</vt:lpstr>
      <vt:lpstr>INVESTMENT PROPERTY 2023</vt:lpstr>
      <vt:lpstr>SCHEDULE-NATURE PER ACCOUNT</vt:lpstr>
      <vt:lpstr>INVESTMENT PROPERTY 2022</vt:lpstr>
      <vt:lpstr>Cash Flows </vt:lpstr>
      <vt:lpstr>INVESTMENT PROPERTY 2021</vt:lpstr>
      <vt:lpstr>SCHEDULE - DEFERRED TAX</vt:lpstr>
      <vt:lpstr>'balance sheet'!Print_Area</vt:lpstr>
      <vt:lpstr>'Cash flow '!Print_Area</vt:lpstr>
      <vt:lpstr>'Cash Flows '!Print_Area</vt:lpstr>
      <vt:lpstr>'Changes in Equity'!Print_Area</vt:lpstr>
      <vt:lpstr>'income sta'!Print_Area</vt:lpstr>
      <vt:lpstr>'INVESTMENT PROPERTY 2021'!Print_Area</vt:lpstr>
      <vt:lpstr>'INVESTMENT PROPERTY 2022'!Print_Area</vt:lpstr>
      <vt:lpstr>'INVESTMENT PROPERTY 2023'!Print_Area</vt:lpstr>
      <vt:lpstr>RECEIVABLES!Print_Area</vt:lpstr>
      <vt:lpstr>'SCHEDULE - DEFERRED TAX'!Print_Area</vt:lpstr>
      <vt:lpstr>'SCHEDULE OF ACCOUNTS'!Print_Area</vt:lpstr>
      <vt:lpstr>'SCHEDULE-NATURE PER ACCOUNT'!Print_Area</vt:lpstr>
      <vt:lpstr>'schedules per account'!Print_Area</vt:lpstr>
      <vt:lpstr>'TRIAL BALANCE '!Print_Area</vt:lpstr>
      <vt:lpstr>'INVESTMENT PROPERTY 2022'!Print_Titles</vt:lpstr>
      <vt:lpstr>'INVESTMENT PROPERTY 2023'!Print_Titles</vt:lpstr>
      <vt:lpstr>'SCHEDULE OF ACCOUNTS'!Print_Titles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bcda</dc:creator>
  <cp:lastModifiedBy>John-Dell</cp:lastModifiedBy>
  <cp:lastPrinted>2024-11-26T07:55:24Z</cp:lastPrinted>
  <dcterms:created xsi:type="dcterms:W3CDTF">2012-05-22T09:37:41Z</dcterms:created>
  <dcterms:modified xsi:type="dcterms:W3CDTF">2025-01-17T06:54:22Z</dcterms:modified>
</cp:coreProperties>
</file>