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admcshare\Departments\Business\,PEDRO\"/>
    </mc:Choice>
  </mc:AlternateContent>
  <bookViews>
    <workbookView xWindow="0" yWindow="0" windowWidth="20490" windowHeight="9045"/>
  </bookViews>
  <sheets>
    <sheet name="CDM 2023" sheetId="1" r:id="rId1"/>
    <sheet name="AB 1045" sheetId="2" r:id="rId2"/>
    <sheet name="Gross Rev Change" sheetId="3" r:id="rId3"/>
  </sheets>
  <calcPr calcId="152511"/>
</workbook>
</file>

<file path=xl/calcChain.xml><?xml version="1.0" encoding="utf-8"?>
<calcChain xmlns="http://schemas.openxmlformats.org/spreadsheetml/2006/main">
  <c r="A2" i="1" l="1"/>
  <c r="D2" i="1"/>
  <c r="E2" i="1"/>
  <c r="A3" i="1"/>
  <c r="D3" i="1"/>
  <c r="A4" i="1"/>
  <c r="D4" i="1"/>
  <c r="E4" i="1"/>
  <c r="A5" i="1"/>
  <c r="D5" i="1"/>
  <c r="E5" i="1"/>
  <c r="A6" i="1"/>
  <c r="D6" i="1"/>
  <c r="A7" i="1"/>
  <c r="D7" i="1"/>
  <c r="E7" i="1"/>
  <c r="A8" i="1"/>
  <c r="D8" i="1"/>
  <c r="A9" i="1"/>
  <c r="D9" i="1"/>
  <c r="A10" i="1"/>
  <c r="D10" i="1"/>
  <c r="A11" i="1"/>
  <c r="D11" i="1"/>
  <c r="A12" i="1"/>
  <c r="D12" i="1"/>
  <c r="A13" i="1"/>
  <c r="D13" i="1"/>
  <c r="A14" i="1"/>
  <c r="D14" i="1"/>
  <c r="A15" i="1"/>
  <c r="D15" i="1"/>
  <c r="A16" i="1"/>
  <c r="D16" i="1"/>
  <c r="E16" i="1"/>
  <c r="A17" i="1"/>
  <c r="D17" i="1"/>
  <c r="A18" i="1"/>
  <c r="D18" i="1"/>
  <c r="A19" i="1"/>
  <c r="D19" i="1"/>
  <c r="A20" i="1"/>
  <c r="D20" i="1"/>
  <c r="A21" i="1"/>
  <c r="D21" i="1"/>
  <c r="A22" i="1"/>
  <c r="D22" i="1"/>
  <c r="A23" i="1"/>
  <c r="D23" i="1"/>
  <c r="A24" i="1"/>
  <c r="D24" i="1"/>
  <c r="A25" i="1"/>
  <c r="D25" i="1"/>
  <c r="A26" i="1"/>
  <c r="D26" i="1"/>
  <c r="E26" i="1"/>
  <c r="A27" i="1"/>
  <c r="D27" i="1"/>
  <c r="A28" i="1"/>
  <c r="D28" i="1"/>
  <c r="A29" i="1"/>
  <c r="D29" i="1"/>
  <c r="A30" i="1"/>
  <c r="D30" i="1"/>
  <c r="A31" i="1"/>
  <c r="D31" i="1"/>
  <c r="A32" i="1"/>
  <c r="D32" i="1"/>
  <c r="A33" i="1"/>
  <c r="D33" i="1"/>
  <c r="A34" i="1"/>
  <c r="D34" i="1"/>
  <c r="A35" i="1"/>
  <c r="D35" i="1"/>
  <c r="A36" i="1"/>
  <c r="D36" i="1"/>
  <c r="A37" i="1"/>
  <c r="D37" i="1"/>
  <c r="A38" i="1"/>
  <c r="D38" i="1"/>
  <c r="A39" i="1"/>
  <c r="D39" i="1"/>
  <c r="A40" i="1"/>
  <c r="D40" i="1"/>
  <c r="A41" i="1"/>
  <c r="D41" i="1"/>
  <c r="A42" i="1"/>
  <c r="D42" i="1"/>
  <c r="A43" i="1"/>
  <c r="D43" i="1"/>
  <c r="A44" i="1"/>
  <c r="D44" i="1"/>
  <c r="A45" i="1"/>
  <c r="D45" i="1"/>
  <c r="A46" i="1"/>
  <c r="D46" i="1"/>
  <c r="A47" i="1"/>
  <c r="D47" i="1"/>
  <c r="A48" i="1"/>
  <c r="D48" i="1"/>
  <c r="A49" i="1"/>
  <c r="D49" i="1"/>
  <c r="A50" i="1"/>
  <c r="D50" i="1"/>
  <c r="A51" i="1"/>
  <c r="D51" i="1"/>
  <c r="A52" i="1"/>
  <c r="D52" i="1"/>
  <c r="A53" i="1"/>
  <c r="D53" i="1"/>
  <c r="A54" i="1"/>
  <c r="D54" i="1"/>
  <c r="A55" i="1"/>
  <c r="D55" i="1"/>
  <c r="A56" i="1"/>
  <c r="D56" i="1"/>
  <c r="A57" i="1"/>
  <c r="D57" i="1"/>
  <c r="A58" i="1"/>
  <c r="D58" i="1"/>
  <c r="A59" i="1"/>
  <c r="D59" i="1"/>
  <c r="A60" i="1"/>
  <c r="D60" i="1"/>
  <c r="A61" i="1"/>
  <c r="D61" i="1"/>
  <c r="A62" i="1"/>
  <c r="D62" i="1"/>
  <c r="A63" i="1"/>
  <c r="D63" i="1"/>
  <c r="A64" i="1"/>
  <c r="D64" i="1"/>
  <c r="A65" i="1"/>
  <c r="D65" i="1"/>
  <c r="A66" i="1"/>
  <c r="D66" i="1"/>
  <c r="A67" i="1"/>
  <c r="D67" i="1"/>
  <c r="A68" i="1"/>
  <c r="D68" i="1"/>
  <c r="A69" i="1"/>
  <c r="D69" i="1"/>
  <c r="A70" i="1"/>
  <c r="D70" i="1"/>
  <c r="A71" i="1"/>
  <c r="D71" i="1"/>
  <c r="A72" i="1"/>
  <c r="D72" i="1"/>
  <c r="A73" i="1"/>
  <c r="D73" i="1"/>
  <c r="A74" i="1"/>
  <c r="D74" i="1"/>
  <c r="A75" i="1"/>
  <c r="D75" i="1"/>
  <c r="A76" i="1"/>
  <c r="D76" i="1"/>
  <c r="A77" i="1"/>
  <c r="D77" i="1"/>
  <c r="A78" i="1"/>
  <c r="D78" i="1"/>
  <c r="A79" i="1"/>
  <c r="D79" i="1"/>
  <c r="A80" i="1"/>
  <c r="D80" i="1"/>
  <c r="A81" i="1"/>
  <c r="D81" i="1"/>
  <c r="A82" i="1"/>
  <c r="D82" i="1"/>
  <c r="A83" i="1"/>
  <c r="D83" i="1"/>
  <c r="A84" i="1"/>
  <c r="D84" i="1"/>
  <c r="A85" i="1"/>
  <c r="D85" i="1"/>
  <c r="A86" i="1"/>
  <c r="D86" i="1"/>
  <c r="A87" i="1"/>
  <c r="D87" i="1"/>
  <c r="A88" i="1"/>
  <c r="D88" i="1"/>
  <c r="A89" i="1"/>
  <c r="D89" i="1"/>
  <c r="A90" i="1"/>
  <c r="D90" i="1"/>
  <c r="A91" i="1"/>
  <c r="D91" i="1"/>
  <c r="A92" i="1"/>
  <c r="D92" i="1"/>
  <c r="A93" i="1"/>
  <c r="D93" i="1"/>
  <c r="A94" i="1"/>
  <c r="D94" i="1"/>
  <c r="A95" i="1"/>
  <c r="D95" i="1"/>
  <c r="A96" i="1"/>
  <c r="D96" i="1"/>
  <c r="A97" i="1"/>
  <c r="D97" i="1"/>
  <c r="A98" i="1"/>
  <c r="D98" i="1"/>
  <c r="A99" i="1"/>
  <c r="D99" i="1"/>
  <c r="A100" i="1"/>
  <c r="D100" i="1"/>
  <c r="A101" i="1"/>
  <c r="D101" i="1"/>
  <c r="A102" i="1"/>
  <c r="D102" i="1"/>
  <c r="A103" i="1"/>
  <c r="D103" i="1"/>
  <c r="A104" i="1"/>
  <c r="D104" i="1"/>
  <c r="A105" i="1"/>
  <c r="D105" i="1"/>
  <c r="A106" i="1"/>
  <c r="D106" i="1"/>
  <c r="A107" i="1"/>
  <c r="D107" i="1"/>
  <c r="A108" i="1"/>
  <c r="D108" i="1"/>
  <c r="A109" i="1"/>
  <c r="D109" i="1"/>
  <c r="A110" i="1"/>
  <c r="D110" i="1"/>
  <c r="A111" i="1"/>
  <c r="D111" i="1"/>
  <c r="A112" i="1"/>
  <c r="D112" i="1"/>
  <c r="A113" i="1"/>
  <c r="D113" i="1"/>
  <c r="A114" i="1"/>
  <c r="D114" i="1"/>
  <c r="A115" i="1"/>
  <c r="D115" i="1"/>
  <c r="A116" i="1"/>
  <c r="D116" i="1"/>
  <c r="A117" i="1"/>
  <c r="D117" i="1"/>
  <c r="A118" i="1"/>
  <c r="D118" i="1"/>
  <c r="E118" i="1"/>
  <c r="A119" i="1"/>
  <c r="D119" i="1"/>
  <c r="A120" i="1"/>
  <c r="D120" i="1"/>
  <c r="A121" i="1"/>
  <c r="D121" i="1"/>
  <c r="A122" i="1"/>
  <c r="D122" i="1"/>
  <c r="A123" i="1"/>
  <c r="D123" i="1"/>
  <c r="A124" i="1"/>
  <c r="D124" i="1"/>
  <c r="A125" i="1"/>
  <c r="D125" i="1"/>
  <c r="E125" i="1"/>
  <c r="A126" i="1"/>
  <c r="D126" i="1"/>
  <c r="A127" i="1"/>
  <c r="D127" i="1"/>
  <c r="E127" i="1"/>
  <c r="A128" i="1"/>
  <c r="D128" i="1"/>
  <c r="A129" i="1"/>
  <c r="D129" i="1"/>
  <c r="E129" i="1"/>
  <c r="A130" i="1"/>
  <c r="D130" i="1"/>
  <c r="A131" i="1"/>
  <c r="D131" i="1"/>
  <c r="A132" i="1"/>
  <c r="D132" i="1"/>
  <c r="A133" i="1"/>
  <c r="D133" i="1"/>
  <c r="A134" i="1"/>
  <c r="D134" i="1"/>
  <c r="A135" i="1"/>
  <c r="D135" i="1"/>
  <c r="A136" i="1"/>
  <c r="D136" i="1"/>
  <c r="A137" i="1"/>
  <c r="D137" i="1"/>
  <c r="A138" i="1"/>
  <c r="D138" i="1"/>
  <c r="A139" i="1"/>
  <c r="D139" i="1"/>
  <c r="A140" i="1"/>
  <c r="D140" i="1"/>
  <c r="A141" i="1"/>
  <c r="D141" i="1"/>
  <c r="A142" i="1"/>
  <c r="D142" i="1"/>
  <c r="E142" i="1"/>
  <c r="A143" i="1"/>
  <c r="D143" i="1"/>
  <c r="E143" i="1"/>
  <c r="A144" i="1"/>
  <c r="D144" i="1"/>
  <c r="A145" i="1"/>
  <c r="D145" i="1"/>
  <c r="E145" i="1"/>
  <c r="A146" i="1"/>
  <c r="D146" i="1"/>
  <c r="E146" i="1"/>
  <c r="A147" i="1"/>
  <c r="D147" i="1"/>
  <c r="E147" i="1"/>
  <c r="A148" i="1"/>
  <c r="D148" i="1"/>
  <c r="A149" i="1"/>
  <c r="D149" i="1"/>
  <c r="A150" i="1"/>
  <c r="D150" i="1"/>
  <c r="A151" i="1"/>
  <c r="D151" i="1"/>
  <c r="E151" i="1"/>
  <c r="A152" i="1"/>
  <c r="D152" i="1"/>
  <c r="E152" i="1"/>
  <c r="A153" i="1"/>
  <c r="D153" i="1"/>
  <c r="A154" i="1"/>
  <c r="D154" i="1"/>
  <c r="A155" i="1"/>
  <c r="D155" i="1"/>
  <c r="E155" i="1"/>
  <c r="A156" i="1"/>
  <c r="D156" i="1"/>
  <c r="E156" i="1"/>
  <c r="A157" i="1"/>
  <c r="D157" i="1"/>
  <c r="A158" i="1"/>
  <c r="D158" i="1"/>
  <c r="E158" i="1"/>
  <c r="A159" i="1"/>
  <c r="D159" i="1"/>
  <c r="A160" i="1"/>
  <c r="D160" i="1"/>
  <c r="A161" i="1"/>
  <c r="D161" i="1"/>
  <c r="E161" i="1"/>
  <c r="A162" i="1"/>
  <c r="D162" i="1"/>
  <c r="A163" i="1"/>
  <c r="D163" i="1"/>
  <c r="A164" i="1"/>
  <c r="D164" i="1"/>
  <c r="A165" i="1"/>
  <c r="D165" i="1"/>
  <c r="A166" i="1"/>
  <c r="D166" i="1"/>
  <c r="E166" i="1"/>
  <c r="A167" i="1"/>
  <c r="D167" i="1"/>
  <c r="A168" i="1"/>
  <c r="D168" i="1"/>
  <c r="A169" i="1"/>
  <c r="D169" i="1"/>
  <c r="E169" i="1"/>
  <c r="A170" i="1"/>
  <c r="D170" i="1"/>
  <c r="E170" i="1"/>
  <c r="A171" i="1"/>
  <c r="D171" i="1"/>
  <c r="A172" i="1"/>
  <c r="D172" i="1"/>
  <c r="A173" i="1"/>
  <c r="D173" i="1"/>
  <c r="A174" i="1"/>
  <c r="D174" i="1"/>
  <c r="A175" i="1"/>
  <c r="D175" i="1"/>
  <c r="E175" i="1"/>
  <c r="A176" i="1"/>
  <c r="D176" i="1"/>
  <c r="A177" i="1"/>
  <c r="D177" i="1"/>
  <c r="A178" i="1"/>
  <c r="D178" i="1"/>
  <c r="A179" i="1"/>
  <c r="D179" i="1"/>
  <c r="A180" i="1"/>
  <c r="D180" i="1"/>
  <c r="A181" i="1"/>
  <c r="D181" i="1"/>
  <c r="A182" i="1"/>
  <c r="D182" i="1"/>
  <c r="A183" i="1"/>
  <c r="D183" i="1"/>
  <c r="E183" i="1"/>
  <c r="A184" i="1"/>
  <c r="D184" i="1"/>
  <c r="A185" i="1"/>
  <c r="D185" i="1"/>
  <c r="A186" i="1"/>
  <c r="D186" i="1"/>
  <c r="A187" i="1"/>
  <c r="D187" i="1"/>
  <c r="A188" i="1"/>
  <c r="D188" i="1"/>
  <c r="A189" i="1"/>
  <c r="D189" i="1"/>
  <c r="A190" i="1"/>
  <c r="D190" i="1"/>
  <c r="E190" i="1"/>
  <c r="A191" i="1"/>
  <c r="D191" i="1"/>
  <c r="E191" i="1"/>
  <c r="A192" i="1"/>
  <c r="D192" i="1"/>
  <c r="E192" i="1"/>
  <c r="A193" i="1"/>
  <c r="D193" i="1"/>
  <c r="A194" i="1"/>
  <c r="D194" i="1"/>
  <c r="A195" i="1"/>
  <c r="D195" i="1"/>
  <c r="A196" i="1"/>
  <c r="D196" i="1"/>
  <c r="E196" i="1"/>
  <c r="A197" i="1"/>
  <c r="D197" i="1"/>
  <c r="A198" i="1"/>
  <c r="D198" i="1"/>
  <c r="A199" i="1"/>
  <c r="D199" i="1"/>
  <c r="A200" i="1"/>
  <c r="D200" i="1"/>
  <c r="A201" i="1"/>
  <c r="D201" i="1"/>
  <c r="E201" i="1"/>
  <c r="A202" i="1"/>
  <c r="D202" i="1"/>
  <c r="E202" i="1"/>
  <c r="A203" i="1"/>
  <c r="D203" i="1"/>
  <c r="A204" i="1"/>
  <c r="D204" i="1"/>
  <c r="E204" i="1"/>
  <c r="A205" i="1"/>
  <c r="D205" i="1"/>
  <c r="A206" i="1"/>
  <c r="D206" i="1"/>
  <c r="A207" i="1"/>
  <c r="D207" i="1"/>
  <c r="A208" i="1"/>
  <c r="D208" i="1"/>
  <c r="A209" i="1"/>
  <c r="D209" i="1"/>
  <c r="A210" i="1"/>
  <c r="D210" i="1"/>
  <c r="A211" i="1"/>
  <c r="D211" i="1"/>
  <c r="A212" i="1"/>
  <c r="D212" i="1"/>
  <c r="A213" i="1"/>
  <c r="D213" i="1"/>
  <c r="A214" i="1"/>
  <c r="D214" i="1"/>
  <c r="A215" i="1"/>
  <c r="D215" i="1"/>
  <c r="A216" i="1"/>
  <c r="D216" i="1"/>
  <c r="A217" i="1"/>
  <c r="D217" i="1"/>
  <c r="A218" i="1"/>
  <c r="D218" i="1"/>
  <c r="A219" i="1"/>
  <c r="D219" i="1"/>
  <c r="A220" i="1"/>
  <c r="D220" i="1"/>
  <c r="A221" i="1"/>
  <c r="D221" i="1"/>
  <c r="A222" i="1"/>
  <c r="D222" i="1"/>
  <c r="E222" i="1"/>
  <c r="A223" i="1"/>
  <c r="D223" i="1"/>
  <c r="A224" i="1"/>
  <c r="D224" i="1"/>
  <c r="A225" i="1"/>
  <c r="D225" i="1"/>
  <c r="A226" i="1"/>
  <c r="D226" i="1"/>
  <c r="A227" i="1"/>
  <c r="D227" i="1"/>
  <c r="A228" i="1"/>
  <c r="D228" i="1"/>
  <c r="A229" i="1"/>
  <c r="D229" i="1"/>
  <c r="A230" i="1"/>
  <c r="D230" i="1"/>
  <c r="A231" i="1"/>
  <c r="D231" i="1"/>
  <c r="A232" i="1"/>
  <c r="D232" i="1"/>
  <c r="A233" i="1"/>
  <c r="D233" i="1"/>
  <c r="A234" i="1"/>
  <c r="D234" i="1"/>
  <c r="A235" i="1"/>
  <c r="D235" i="1"/>
  <c r="A236" i="1"/>
  <c r="D236" i="1"/>
  <c r="A237" i="1"/>
  <c r="D237" i="1"/>
  <c r="A238" i="1"/>
  <c r="D238" i="1"/>
  <c r="A239" i="1"/>
  <c r="D239" i="1"/>
  <c r="A240" i="1"/>
  <c r="D240" i="1"/>
  <c r="A241" i="1"/>
  <c r="D241" i="1"/>
  <c r="A242" i="1"/>
  <c r="D242" i="1"/>
  <c r="A243" i="1"/>
  <c r="D243" i="1"/>
  <c r="A244" i="1"/>
  <c r="D244" i="1"/>
  <c r="E244" i="1"/>
  <c r="A245" i="1"/>
  <c r="D245" i="1"/>
  <c r="A246" i="1"/>
  <c r="D246" i="1"/>
  <c r="A247" i="1"/>
  <c r="D247" i="1"/>
  <c r="A248" i="1"/>
  <c r="D248" i="1"/>
  <c r="A249" i="1"/>
  <c r="D249" i="1"/>
  <c r="A250" i="1"/>
  <c r="D250" i="1"/>
  <c r="A251" i="1"/>
  <c r="D251" i="1"/>
  <c r="A252" i="1"/>
  <c r="D252" i="1"/>
  <c r="A253" i="1"/>
  <c r="D253" i="1"/>
  <c r="A254" i="1"/>
  <c r="D254" i="1"/>
  <c r="A255" i="1"/>
  <c r="D255" i="1"/>
  <c r="E255" i="1"/>
  <c r="A256" i="1"/>
  <c r="D256" i="1"/>
  <c r="A257" i="1"/>
  <c r="D257" i="1"/>
  <c r="A258" i="1"/>
  <c r="D258" i="1"/>
  <c r="A259" i="1"/>
  <c r="D259" i="1"/>
  <c r="A260" i="1"/>
  <c r="D260" i="1"/>
  <c r="A261" i="1"/>
  <c r="D261" i="1"/>
  <c r="A262" i="1"/>
  <c r="D262" i="1"/>
  <c r="A263" i="1"/>
  <c r="D263" i="1"/>
  <c r="A264" i="1"/>
  <c r="D264" i="1"/>
  <c r="E264" i="1"/>
  <c r="A265" i="1"/>
  <c r="D265" i="1"/>
  <c r="E265" i="1"/>
  <c r="A266" i="1"/>
  <c r="D266" i="1"/>
  <c r="A267" i="1"/>
  <c r="D267" i="1"/>
  <c r="A268" i="1"/>
  <c r="D268" i="1"/>
  <c r="E268" i="1"/>
  <c r="A269" i="1"/>
  <c r="D269" i="1"/>
  <c r="A270" i="1"/>
  <c r="D270" i="1"/>
  <c r="A271" i="1"/>
  <c r="D271" i="1"/>
  <c r="A272" i="1"/>
  <c r="D272" i="1"/>
  <c r="E272" i="1"/>
  <c r="A273" i="1"/>
  <c r="D273" i="1"/>
  <c r="E273" i="1"/>
  <c r="A274" i="1"/>
  <c r="D274" i="1"/>
  <c r="E274" i="1"/>
  <c r="A275" i="1"/>
  <c r="D275" i="1"/>
  <c r="E275" i="1"/>
  <c r="A276" i="1"/>
  <c r="D276" i="1"/>
  <c r="A277" i="1"/>
  <c r="D277" i="1"/>
  <c r="E277" i="1"/>
  <c r="A278" i="1"/>
  <c r="D278" i="1"/>
  <c r="E278" i="1"/>
  <c r="A279" i="1"/>
  <c r="D279" i="1"/>
  <c r="A280" i="1"/>
  <c r="D280" i="1"/>
  <c r="E280" i="1"/>
  <c r="A281" i="1"/>
  <c r="D281" i="1"/>
  <c r="A282" i="1"/>
  <c r="D282" i="1"/>
  <c r="A283" i="1"/>
  <c r="D283" i="1"/>
  <c r="A284" i="1"/>
  <c r="D284" i="1"/>
  <c r="A285" i="1"/>
  <c r="D285" i="1"/>
  <c r="E285" i="1"/>
  <c r="A286" i="1"/>
  <c r="D286" i="1"/>
  <c r="E286" i="1"/>
  <c r="A287" i="1"/>
  <c r="D287" i="1"/>
  <c r="A288" i="1"/>
  <c r="D288" i="1"/>
  <c r="E288" i="1"/>
  <c r="A289" i="1"/>
  <c r="D289" i="1"/>
  <c r="E289" i="1"/>
  <c r="A290" i="1"/>
  <c r="D290" i="1"/>
  <c r="E290" i="1"/>
  <c r="A291" i="1"/>
  <c r="D291" i="1"/>
  <c r="A292" i="1"/>
  <c r="D292" i="1"/>
  <c r="E292" i="1"/>
  <c r="A293" i="1"/>
  <c r="D293" i="1"/>
  <c r="A294" i="1"/>
  <c r="D294" i="1"/>
  <c r="A295" i="1"/>
  <c r="D295" i="1"/>
  <c r="A296" i="1"/>
  <c r="D296" i="1"/>
  <c r="E296" i="1"/>
  <c r="A297" i="1"/>
  <c r="D297" i="1"/>
  <c r="E297" i="1"/>
  <c r="A298" i="1"/>
  <c r="D298" i="1"/>
  <c r="E298" i="1"/>
  <c r="A299" i="1"/>
  <c r="D299" i="1"/>
  <c r="A300" i="1"/>
  <c r="D300" i="1"/>
  <c r="E300" i="1"/>
  <c r="A301" i="1"/>
  <c r="D301" i="1"/>
  <c r="E301" i="1"/>
  <c r="A302" i="1"/>
  <c r="D302" i="1"/>
  <c r="A303" i="1"/>
  <c r="D303" i="1"/>
  <c r="E303" i="1"/>
  <c r="A304" i="1"/>
  <c r="D304" i="1"/>
  <c r="E304" i="1"/>
  <c r="A305" i="1"/>
  <c r="D305" i="1"/>
  <c r="A306" i="1"/>
  <c r="D306" i="1"/>
  <c r="E306" i="1"/>
  <c r="A307" i="1"/>
  <c r="D307" i="1"/>
  <c r="A308" i="1"/>
  <c r="D308" i="1"/>
  <c r="E308" i="1"/>
  <c r="A309" i="1"/>
  <c r="D309" i="1"/>
  <c r="E309" i="1"/>
  <c r="A310" i="1"/>
  <c r="D310" i="1"/>
  <c r="E310" i="1"/>
  <c r="A311" i="1"/>
  <c r="D311" i="1"/>
  <c r="A312" i="1"/>
  <c r="D312" i="1"/>
  <c r="A313" i="1"/>
  <c r="D313" i="1"/>
  <c r="A314" i="1"/>
  <c r="D314" i="1"/>
  <c r="A315" i="1"/>
  <c r="D315" i="1"/>
  <c r="A316" i="1"/>
  <c r="D316" i="1"/>
  <c r="A317" i="1"/>
  <c r="D317" i="1"/>
  <c r="A318" i="1"/>
  <c r="D318" i="1"/>
  <c r="A319" i="1"/>
  <c r="D319" i="1"/>
  <c r="A320" i="1"/>
  <c r="D320" i="1"/>
  <c r="A321" i="1"/>
  <c r="D321" i="1"/>
  <c r="A322" i="1"/>
  <c r="D322" i="1"/>
  <c r="A323" i="1"/>
  <c r="D323" i="1"/>
  <c r="A324" i="1"/>
  <c r="D324" i="1"/>
  <c r="A325" i="1"/>
  <c r="D325" i="1"/>
  <c r="A326" i="1"/>
  <c r="D326" i="1"/>
  <c r="A327" i="1"/>
  <c r="D327" i="1"/>
  <c r="A328" i="1"/>
  <c r="D328" i="1"/>
  <c r="A329" i="1"/>
  <c r="D329" i="1"/>
  <c r="A330" i="1"/>
  <c r="D330" i="1"/>
  <c r="A331" i="1"/>
  <c r="D331" i="1"/>
  <c r="A332" i="1"/>
  <c r="D332" i="1"/>
  <c r="A333" i="1"/>
  <c r="D333" i="1"/>
  <c r="A334" i="1"/>
  <c r="D334" i="1"/>
  <c r="A335" i="1"/>
  <c r="D335" i="1"/>
  <c r="A336" i="1"/>
  <c r="D336" i="1"/>
  <c r="A337" i="1"/>
  <c r="D337" i="1"/>
  <c r="A338" i="1"/>
  <c r="D338" i="1"/>
  <c r="A339" i="1"/>
  <c r="D339" i="1"/>
  <c r="A340" i="1"/>
  <c r="D340" i="1"/>
  <c r="A341" i="1"/>
  <c r="D341" i="1"/>
  <c r="A342" i="1"/>
  <c r="D342" i="1"/>
  <c r="A343" i="1"/>
  <c r="D343" i="1"/>
  <c r="A344" i="1"/>
  <c r="D344" i="1"/>
  <c r="A345" i="1"/>
  <c r="D345" i="1"/>
  <c r="A346" i="1"/>
  <c r="D346" i="1"/>
  <c r="A347" i="1"/>
  <c r="D347" i="1"/>
  <c r="A348" i="1"/>
  <c r="D348" i="1"/>
  <c r="A349" i="1"/>
  <c r="D349" i="1"/>
  <c r="A350" i="1"/>
  <c r="D350" i="1"/>
  <c r="A351" i="1"/>
  <c r="D351" i="1"/>
  <c r="A352" i="1"/>
  <c r="D352" i="1"/>
  <c r="A353" i="1"/>
  <c r="D353" i="1"/>
  <c r="A354" i="1"/>
  <c r="D354" i="1"/>
  <c r="A355" i="1"/>
  <c r="D355" i="1"/>
  <c r="A356" i="1"/>
  <c r="D356" i="1"/>
  <c r="A357" i="1"/>
  <c r="D357" i="1"/>
  <c r="A358" i="1"/>
  <c r="D358" i="1"/>
  <c r="A359" i="1"/>
  <c r="D359" i="1"/>
  <c r="E359" i="1"/>
  <c r="A360" i="1"/>
  <c r="D360" i="1"/>
  <c r="A361" i="1"/>
  <c r="D361" i="1"/>
  <c r="A362" i="1"/>
  <c r="D362" i="1"/>
  <c r="A363" i="1"/>
  <c r="D363" i="1"/>
  <c r="A364" i="1"/>
  <c r="D364" i="1"/>
  <c r="A365" i="1"/>
  <c r="D365" i="1"/>
  <c r="A366" i="1"/>
  <c r="D366" i="1"/>
  <c r="A367" i="1"/>
  <c r="D367" i="1"/>
  <c r="A368" i="1"/>
  <c r="D368" i="1"/>
  <c r="A369" i="1"/>
  <c r="D369" i="1"/>
  <c r="A370" i="1"/>
  <c r="D370" i="1"/>
  <c r="E370" i="1"/>
  <c r="A371" i="1"/>
  <c r="D371" i="1"/>
  <c r="A372" i="1"/>
  <c r="D372" i="1"/>
  <c r="A373" i="1"/>
  <c r="D373" i="1"/>
  <c r="A374" i="1"/>
  <c r="D374" i="1"/>
  <c r="A375" i="1"/>
  <c r="D375" i="1"/>
  <c r="A376" i="1"/>
  <c r="D376" i="1"/>
  <c r="A377" i="1"/>
  <c r="D377" i="1"/>
  <c r="A378" i="1"/>
  <c r="D378" i="1"/>
  <c r="A379" i="1"/>
  <c r="D379" i="1"/>
  <c r="E379" i="1"/>
  <c r="A380" i="1"/>
  <c r="D380" i="1"/>
  <c r="A381" i="1"/>
  <c r="D381" i="1"/>
  <c r="A382" i="1"/>
  <c r="D382" i="1"/>
  <c r="A383" i="1"/>
  <c r="D383" i="1"/>
  <c r="A384" i="1"/>
  <c r="D384" i="1"/>
  <c r="E384" i="1"/>
  <c r="A385" i="1"/>
  <c r="D385" i="1"/>
  <c r="A386" i="1"/>
  <c r="D386" i="1"/>
  <c r="A387" i="1"/>
  <c r="D387" i="1"/>
  <c r="A388" i="1"/>
  <c r="D388" i="1"/>
  <c r="A389" i="1"/>
  <c r="D389" i="1"/>
  <c r="A390" i="1"/>
  <c r="D390" i="1"/>
  <c r="A391" i="1"/>
  <c r="D391" i="1"/>
  <c r="A392" i="1"/>
  <c r="D392" i="1"/>
  <c r="A393" i="1"/>
  <c r="D393" i="1"/>
  <c r="A394" i="1"/>
  <c r="D394" i="1"/>
  <c r="A395" i="1"/>
  <c r="D395" i="1"/>
  <c r="A396" i="1"/>
  <c r="D396" i="1"/>
  <c r="A397" i="1"/>
  <c r="D397" i="1"/>
  <c r="A398" i="1"/>
  <c r="D398" i="1"/>
  <c r="A399" i="1"/>
  <c r="D399" i="1"/>
  <c r="A400" i="1"/>
  <c r="D400" i="1"/>
  <c r="A401" i="1"/>
  <c r="D401" i="1"/>
  <c r="A402" i="1"/>
  <c r="D402" i="1"/>
  <c r="A403" i="1"/>
  <c r="D403" i="1"/>
  <c r="A404" i="1"/>
  <c r="D404" i="1"/>
  <c r="A405" i="1"/>
  <c r="D405" i="1"/>
  <c r="A406" i="1"/>
  <c r="D406" i="1"/>
  <c r="A407" i="1"/>
  <c r="D407" i="1"/>
  <c r="A408" i="1"/>
  <c r="D408" i="1"/>
  <c r="A409" i="1"/>
  <c r="D409" i="1"/>
  <c r="A410" i="1"/>
  <c r="D410" i="1"/>
  <c r="A411" i="1"/>
  <c r="D411" i="1"/>
  <c r="A412" i="1"/>
  <c r="D412" i="1"/>
  <c r="A413" i="1"/>
  <c r="D413" i="1"/>
  <c r="A414" i="1"/>
  <c r="D414" i="1"/>
  <c r="A415" i="1"/>
  <c r="D415" i="1"/>
  <c r="A416" i="1"/>
  <c r="D416" i="1"/>
  <c r="A417" i="1"/>
  <c r="D417" i="1"/>
  <c r="A418" i="1"/>
  <c r="D418" i="1"/>
  <c r="A419" i="1"/>
  <c r="D419" i="1"/>
  <c r="A420" i="1"/>
  <c r="D420" i="1"/>
  <c r="A421" i="1"/>
  <c r="D421" i="1"/>
  <c r="A422" i="1"/>
  <c r="D422" i="1"/>
  <c r="A423" i="1"/>
  <c r="D423" i="1"/>
  <c r="A424" i="1"/>
  <c r="D424" i="1"/>
  <c r="A425" i="1"/>
  <c r="D425" i="1"/>
  <c r="A426" i="1"/>
  <c r="D426" i="1"/>
  <c r="A427" i="1"/>
  <c r="D427" i="1"/>
  <c r="A428" i="1"/>
  <c r="D428" i="1"/>
  <c r="A429" i="1"/>
  <c r="D429" i="1"/>
  <c r="A430" i="1"/>
  <c r="D430" i="1"/>
  <c r="A431" i="1"/>
  <c r="D431" i="1"/>
  <c r="A432" i="1"/>
  <c r="D432" i="1"/>
  <c r="A433" i="1"/>
  <c r="D433" i="1"/>
  <c r="A434" i="1"/>
  <c r="D434" i="1"/>
  <c r="A435" i="1"/>
  <c r="D435" i="1"/>
  <c r="A436" i="1"/>
  <c r="D436" i="1"/>
  <c r="A437" i="1"/>
  <c r="D437" i="1"/>
  <c r="A438" i="1"/>
  <c r="D438" i="1"/>
  <c r="A439" i="1"/>
  <c r="D439" i="1"/>
  <c r="A440" i="1"/>
  <c r="D440" i="1"/>
  <c r="A441" i="1"/>
  <c r="D441" i="1"/>
  <c r="A442" i="1"/>
  <c r="D442" i="1"/>
  <c r="A443" i="1"/>
  <c r="D443" i="1"/>
  <c r="A444" i="1"/>
  <c r="D444" i="1"/>
  <c r="A445" i="1"/>
  <c r="D445" i="1"/>
  <c r="A446" i="1"/>
  <c r="D446" i="1"/>
  <c r="A447" i="1"/>
  <c r="D447" i="1"/>
  <c r="A448" i="1"/>
  <c r="D448" i="1"/>
  <c r="A449" i="1"/>
  <c r="D449" i="1"/>
  <c r="A450" i="1"/>
  <c r="D450" i="1"/>
  <c r="A451" i="1"/>
  <c r="D451" i="1"/>
  <c r="A452" i="1"/>
  <c r="D452" i="1"/>
  <c r="A453" i="1"/>
  <c r="D453" i="1"/>
  <c r="A454" i="1"/>
  <c r="D454" i="1"/>
  <c r="A455" i="1"/>
  <c r="D455" i="1"/>
  <c r="A456" i="1"/>
  <c r="D456" i="1"/>
  <c r="A457" i="1"/>
  <c r="D457" i="1"/>
  <c r="A458" i="1"/>
  <c r="D458" i="1"/>
  <c r="A459" i="1"/>
  <c r="D459" i="1"/>
  <c r="A460" i="1"/>
  <c r="D460" i="1"/>
  <c r="A461" i="1"/>
  <c r="D461" i="1"/>
  <c r="A462" i="1"/>
  <c r="D462" i="1"/>
  <c r="A463" i="1"/>
  <c r="D463" i="1"/>
  <c r="A464" i="1"/>
  <c r="D464" i="1"/>
  <c r="A465" i="1"/>
  <c r="D465" i="1"/>
  <c r="A466" i="1"/>
  <c r="D466" i="1"/>
  <c r="A467" i="1"/>
  <c r="D467" i="1"/>
  <c r="A468" i="1"/>
  <c r="D468" i="1"/>
  <c r="A469" i="1"/>
  <c r="D469" i="1"/>
  <c r="A470" i="1"/>
  <c r="D470" i="1"/>
  <c r="A471" i="1"/>
  <c r="D471" i="1"/>
  <c r="A472" i="1"/>
  <c r="D472" i="1"/>
  <c r="A473" i="1"/>
  <c r="D473" i="1"/>
  <c r="A474" i="1"/>
  <c r="D474" i="1"/>
  <c r="A475" i="1"/>
  <c r="D475" i="1"/>
  <c r="A476" i="1"/>
  <c r="D476" i="1"/>
  <c r="A477" i="1"/>
  <c r="D477" i="1"/>
  <c r="A478" i="1"/>
  <c r="D478" i="1"/>
  <c r="A479" i="1"/>
  <c r="D479" i="1"/>
  <c r="E479" i="1"/>
  <c r="A480" i="1"/>
  <c r="D480" i="1"/>
  <c r="E480" i="1"/>
  <c r="A481" i="1"/>
  <c r="D481" i="1"/>
  <c r="A482" i="1"/>
  <c r="D482" i="1"/>
  <c r="A483" i="1"/>
  <c r="D483" i="1"/>
  <c r="A484" i="1"/>
  <c r="D484" i="1"/>
  <c r="A485" i="1"/>
  <c r="D485" i="1"/>
  <c r="A486" i="1"/>
  <c r="D486" i="1"/>
  <c r="A487" i="1"/>
  <c r="D487" i="1"/>
  <c r="A488" i="1"/>
  <c r="D488" i="1"/>
  <c r="A489" i="1"/>
  <c r="D489" i="1"/>
  <c r="A490" i="1"/>
  <c r="D490" i="1"/>
  <c r="A491" i="1"/>
  <c r="D491" i="1"/>
  <c r="A492" i="1"/>
  <c r="D492" i="1"/>
  <c r="A493" i="1"/>
  <c r="D493" i="1"/>
  <c r="A494" i="1"/>
  <c r="D494" i="1"/>
  <c r="A495" i="1"/>
  <c r="D495" i="1"/>
  <c r="A496" i="1"/>
  <c r="D496" i="1"/>
  <c r="A497" i="1"/>
  <c r="D497" i="1"/>
  <c r="A498" i="1"/>
  <c r="D498" i="1"/>
  <c r="A499" i="1"/>
  <c r="D499" i="1"/>
  <c r="A500" i="1"/>
  <c r="D500" i="1"/>
  <c r="A501" i="1"/>
  <c r="D501" i="1"/>
  <c r="A502" i="1"/>
  <c r="D502" i="1"/>
  <c r="A503" i="1"/>
  <c r="D503" i="1"/>
  <c r="A504" i="1"/>
  <c r="D504" i="1"/>
  <c r="A505" i="1"/>
  <c r="D505" i="1"/>
  <c r="A506" i="1"/>
  <c r="D506" i="1"/>
  <c r="A507" i="1"/>
  <c r="D507" i="1"/>
  <c r="A508" i="1"/>
  <c r="D508" i="1"/>
  <c r="A509" i="1"/>
  <c r="D509" i="1"/>
  <c r="A510" i="1"/>
  <c r="D510" i="1"/>
  <c r="A511" i="1"/>
  <c r="D511" i="1"/>
  <c r="A512" i="1"/>
  <c r="D512" i="1"/>
  <c r="A513" i="1"/>
  <c r="D513" i="1"/>
  <c r="A514" i="1"/>
  <c r="D514" i="1"/>
  <c r="A515" i="1"/>
  <c r="D515" i="1"/>
  <c r="A516" i="1"/>
  <c r="D516" i="1"/>
  <c r="A517" i="1"/>
  <c r="D517" i="1"/>
  <c r="A518" i="1"/>
  <c r="D518" i="1"/>
  <c r="A519" i="1"/>
  <c r="D519" i="1"/>
  <c r="A520" i="1"/>
  <c r="D520" i="1"/>
  <c r="A521" i="1"/>
  <c r="D521" i="1"/>
  <c r="A522" i="1"/>
  <c r="D522" i="1"/>
  <c r="A523" i="1"/>
  <c r="D523" i="1"/>
  <c r="A524" i="1"/>
  <c r="D524" i="1"/>
  <c r="A525" i="1"/>
  <c r="D525" i="1"/>
  <c r="A526" i="1"/>
  <c r="D526" i="1"/>
  <c r="A527" i="1"/>
  <c r="D527" i="1"/>
  <c r="A528" i="1"/>
  <c r="D528" i="1"/>
  <c r="A529" i="1"/>
  <c r="D529" i="1"/>
  <c r="A530" i="1"/>
  <c r="D530" i="1"/>
  <c r="A531" i="1"/>
  <c r="D531" i="1"/>
  <c r="A532" i="1"/>
  <c r="D532" i="1"/>
  <c r="A533" i="1"/>
  <c r="D533" i="1"/>
  <c r="A534" i="1"/>
  <c r="D534" i="1"/>
  <c r="A535" i="1"/>
  <c r="D535" i="1"/>
  <c r="A536" i="1"/>
  <c r="D536" i="1"/>
  <c r="A537" i="1"/>
  <c r="D537" i="1"/>
  <c r="A538" i="1"/>
  <c r="D538" i="1"/>
  <c r="A539" i="1"/>
  <c r="D539" i="1"/>
  <c r="A540" i="1"/>
  <c r="D540" i="1"/>
  <c r="A541" i="1"/>
  <c r="D541" i="1"/>
  <c r="A542" i="1"/>
  <c r="D542" i="1"/>
  <c r="A543" i="1"/>
  <c r="D543" i="1"/>
  <c r="A544" i="1"/>
  <c r="D544" i="1"/>
  <c r="A545" i="1"/>
  <c r="D545" i="1"/>
  <c r="A546" i="1"/>
  <c r="D546" i="1"/>
  <c r="A547" i="1"/>
  <c r="D547" i="1"/>
  <c r="A548" i="1"/>
  <c r="D548" i="1"/>
  <c r="A549" i="1"/>
  <c r="D549" i="1"/>
  <c r="A550" i="1"/>
  <c r="D550" i="1"/>
  <c r="A551" i="1"/>
  <c r="D551" i="1"/>
  <c r="A552" i="1"/>
  <c r="D552" i="1"/>
  <c r="A553" i="1"/>
  <c r="D553" i="1"/>
  <c r="A554" i="1"/>
  <c r="D554" i="1"/>
  <c r="E554" i="1"/>
  <c r="A555" i="1"/>
  <c r="D555" i="1"/>
  <c r="A556" i="1"/>
  <c r="D556" i="1"/>
  <c r="A557" i="1"/>
  <c r="D557" i="1"/>
  <c r="A558" i="1"/>
  <c r="D558" i="1"/>
  <c r="A559" i="1"/>
  <c r="D559" i="1"/>
  <c r="A560" i="1"/>
  <c r="D560" i="1"/>
  <c r="E560" i="1"/>
  <c r="A561" i="1"/>
  <c r="D561" i="1"/>
  <c r="A562" i="1"/>
  <c r="D562" i="1"/>
  <c r="A563" i="1"/>
  <c r="D563" i="1"/>
  <c r="A564" i="1"/>
  <c r="D564" i="1"/>
  <c r="A565" i="1"/>
  <c r="D565" i="1"/>
  <c r="A566" i="1"/>
  <c r="D566" i="1"/>
  <c r="A567" i="1"/>
  <c r="D567" i="1"/>
  <c r="A568" i="1"/>
  <c r="D568" i="1"/>
  <c r="A569" i="1"/>
  <c r="D569" i="1"/>
  <c r="A570" i="1"/>
  <c r="D570" i="1"/>
  <c r="A571" i="1"/>
  <c r="D571" i="1"/>
  <c r="A572" i="1"/>
  <c r="D572" i="1"/>
  <c r="A573" i="1"/>
  <c r="D573" i="1"/>
  <c r="A574" i="1"/>
  <c r="D574" i="1"/>
  <c r="A575" i="1"/>
  <c r="D575" i="1"/>
  <c r="A576" i="1"/>
  <c r="D576" i="1"/>
  <c r="E576" i="1"/>
  <c r="A577" i="1"/>
  <c r="D577" i="1"/>
  <c r="A578" i="1"/>
  <c r="D578" i="1"/>
  <c r="A579" i="1"/>
  <c r="D579" i="1"/>
  <c r="A580" i="1"/>
  <c r="D580" i="1"/>
  <c r="A581" i="1"/>
  <c r="D581" i="1"/>
  <c r="A582" i="1"/>
  <c r="D582" i="1"/>
  <c r="A583" i="1"/>
  <c r="D583" i="1"/>
  <c r="A584" i="1"/>
  <c r="D584" i="1"/>
  <c r="A585" i="1"/>
  <c r="D585" i="1"/>
  <c r="A586" i="1"/>
  <c r="D586" i="1"/>
  <c r="A587" i="1"/>
  <c r="D587" i="1"/>
  <c r="A588" i="1"/>
  <c r="D588" i="1"/>
  <c r="A589" i="1"/>
  <c r="D589" i="1"/>
  <c r="A590" i="1"/>
  <c r="D590" i="1"/>
  <c r="E590" i="1"/>
  <c r="A591" i="1"/>
  <c r="D591" i="1"/>
  <c r="A592" i="1"/>
  <c r="D592" i="1"/>
  <c r="E592" i="1"/>
  <c r="A593" i="1"/>
  <c r="D593" i="1"/>
  <c r="A594" i="1"/>
  <c r="D594" i="1"/>
  <c r="A595" i="1"/>
  <c r="D595" i="1"/>
  <c r="A596" i="1"/>
  <c r="D596" i="1"/>
  <c r="A597" i="1"/>
  <c r="D597" i="1"/>
  <c r="A598" i="1"/>
  <c r="D598" i="1"/>
  <c r="A599" i="1"/>
  <c r="D599" i="1"/>
  <c r="E599" i="1"/>
  <c r="A600" i="1"/>
  <c r="D600" i="1"/>
  <c r="A601" i="1"/>
  <c r="D601" i="1"/>
  <c r="A602" i="1"/>
  <c r="D602" i="1"/>
  <c r="A603" i="1"/>
  <c r="D603" i="1"/>
  <c r="A604" i="1"/>
  <c r="D604" i="1"/>
  <c r="A605" i="1"/>
  <c r="D605" i="1"/>
  <c r="A606" i="1"/>
  <c r="D606" i="1"/>
  <c r="E606" i="1"/>
  <c r="A607" i="1"/>
  <c r="D607" i="1"/>
  <c r="A608" i="1"/>
  <c r="D608" i="1"/>
  <c r="A609" i="1"/>
  <c r="D609" i="1"/>
  <c r="A610" i="1"/>
  <c r="D610" i="1"/>
  <c r="A611" i="1"/>
  <c r="D611" i="1"/>
  <c r="E611" i="1"/>
  <c r="A612" i="1"/>
  <c r="D612" i="1"/>
  <c r="A613" i="1"/>
  <c r="D613" i="1"/>
  <c r="A614" i="1"/>
  <c r="D614" i="1"/>
  <c r="A615" i="1"/>
  <c r="D615" i="1"/>
  <c r="A616" i="1"/>
  <c r="D616" i="1"/>
  <c r="A617" i="1"/>
  <c r="D617" i="1"/>
  <c r="A618" i="1"/>
  <c r="D618" i="1"/>
  <c r="A619" i="1"/>
  <c r="D619" i="1"/>
  <c r="A620" i="1"/>
  <c r="D620" i="1"/>
  <c r="A621" i="1"/>
  <c r="D621" i="1"/>
  <c r="A622" i="1"/>
  <c r="D622" i="1"/>
  <c r="A623" i="1"/>
  <c r="D623" i="1"/>
  <c r="A624" i="1"/>
  <c r="D624" i="1"/>
  <c r="A625" i="1"/>
  <c r="D625" i="1"/>
  <c r="A626" i="1"/>
  <c r="D626" i="1"/>
  <c r="A627" i="1"/>
  <c r="D627" i="1"/>
  <c r="A628" i="1"/>
  <c r="D628" i="1"/>
  <c r="A629" i="1"/>
  <c r="D629" i="1"/>
  <c r="A630" i="1"/>
  <c r="D630" i="1"/>
  <c r="A631" i="1"/>
  <c r="D631" i="1"/>
  <c r="A632" i="1"/>
  <c r="D632" i="1"/>
  <c r="A633" i="1"/>
  <c r="D633" i="1"/>
  <c r="A634" i="1"/>
  <c r="D634" i="1"/>
  <c r="A635" i="1"/>
  <c r="D635" i="1"/>
  <c r="A636" i="1"/>
  <c r="D636" i="1"/>
  <c r="A637" i="1"/>
  <c r="D637" i="1"/>
  <c r="A638" i="1"/>
  <c r="D638" i="1"/>
  <c r="A639" i="1"/>
  <c r="D639" i="1"/>
  <c r="A640" i="1"/>
  <c r="D640" i="1"/>
  <c r="A641" i="1"/>
  <c r="D641" i="1"/>
  <c r="A642" i="1"/>
  <c r="D642" i="1"/>
  <c r="A643" i="1"/>
  <c r="D643" i="1"/>
  <c r="A644" i="1"/>
  <c r="D644" i="1"/>
  <c r="A645" i="1"/>
  <c r="D645" i="1"/>
  <c r="A646" i="1"/>
  <c r="D646" i="1"/>
  <c r="A647" i="1"/>
  <c r="D647" i="1"/>
  <c r="A648" i="1"/>
  <c r="D648" i="1"/>
  <c r="A649" i="1"/>
  <c r="D649" i="1"/>
  <c r="A650" i="1"/>
  <c r="D650" i="1"/>
  <c r="A651" i="1"/>
  <c r="D651" i="1"/>
  <c r="A652" i="1"/>
  <c r="D652" i="1"/>
  <c r="A653" i="1"/>
  <c r="D653" i="1"/>
  <c r="A654" i="1"/>
  <c r="D654" i="1"/>
  <c r="A655" i="1"/>
  <c r="D655" i="1"/>
  <c r="E655" i="1"/>
  <c r="A656" i="1"/>
  <c r="D656" i="1"/>
  <c r="A657" i="1"/>
  <c r="D657" i="1"/>
  <c r="A658" i="1"/>
  <c r="D658" i="1"/>
  <c r="A659" i="1"/>
  <c r="D659" i="1"/>
  <c r="A660" i="1"/>
  <c r="D660" i="1"/>
  <c r="A661" i="1"/>
  <c r="D661" i="1"/>
  <c r="A662" i="1"/>
  <c r="D662" i="1"/>
  <c r="A663" i="1"/>
  <c r="D663" i="1"/>
  <c r="A664" i="1"/>
  <c r="D664" i="1"/>
  <c r="A665" i="1"/>
  <c r="D665" i="1"/>
  <c r="A666" i="1"/>
  <c r="D666" i="1"/>
  <c r="A667" i="1"/>
  <c r="D667" i="1"/>
  <c r="A668" i="1"/>
  <c r="D668" i="1"/>
  <c r="A669" i="1"/>
  <c r="D669" i="1"/>
  <c r="A670" i="1"/>
  <c r="D670" i="1"/>
  <c r="A671" i="1"/>
  <c r="D671" i="1"/>
  <c r="A672" i="1"/>
  <c r="D672" i="1"/>
  <c r="A673" i="1"/>
  <c r="D673" i="1"/>
  <c r="A674" i="1"/>
  <c r="D674" i="1"/>
  <c r="A675" i="1"/>
  <c r="D675" i="1"/>
  <c r="E675" i="1"/>
  <c r="A676" i="1"/>
  <c r="D676" i="1"/>
  <c r="E676" i="1"/>
  <c r="A677" i="1"/>
  <c r="D677" i="1"/>
  <c r="A678" i="1"/>
  <c r="D678" i="1"/>
  <c r="A679" i="1"/>
  <c r="D679" i="1"/>
  <c r="A680" i="1"/>
  <c r="D680" i="1"/>
  <c r="A681" i="1"/>
  <c r="D681" i="1"/>
  <c r="A682" i="1"/>
  <c r="D682" i="1"/>
  <c r="A683" i="1"/>
  <c r="D683" i="1"/>
  <c r="A684" i="1"/>
  <c r="D684" i="1"/>
  <c r="A685" i="1"/>
  <c r="D685" i="1"/>
  <c r="A686" i="1"/>
  <c r="D686" i="1"/>
  <c r="A687" i="1"/>
  <c r="D687" i="1"/>
  <c r="A688" i="1"/>
  <c r="D688" i="1"/>
  <c r="A689" i="1"/>
  <c r="D689" i="1"/>
  <c r="A690" i="1"/>
  <c r="D690" i="1"/>
  <c r="A691" i="1"/>
  <c r="D691" i="1"/>
  <c r="A692" i="1"/>
  <c r="D692" i="1"/>
  <c r="A693" i="1"/>
  <c r="D693" i="1"/>
  <c r="A694" i="1"/>
  <c r="D694" i="1"/>
  <c r="A695" i="1"/>
  <c r="D695" i="1"/>
  <c r="A696" i="1"/>
  <c r="D696" i="1"/>
  <c r="A697" i="1"/>
  <c r="D697" i="1"/>
  <c r="A698" i="1"/>
  <c r="D698" i="1"/>
  <c r="A699" i="1"/>
  <c r="D699" i="1"/>
  <c r="A700" i="1"/>
  <c r="D700" i="1"/>
  <c r="A701" i="1"/>
  <c r="D701" i="1"/>
  <c r="A702" i="1"/>
  <c r="D702" i="1"/>
  <c r="A703" i="1"/>
  <c r="D703" i="1"/>
  <c r="A704" i="1"/>
  <c r="D704" i="1"/>
  <c r="A705" i="1"/>
  <c r="D705" i="1"/>
  <c r="A706" i="1"/>
  <c r="D706" i="1"/>
  <c r="A707" i="1"/>
  <c r="D707" i="1"/>
  <c r="A708" i="1"/>
  <c r="D708" i="1"/>
  <c r="A709" i="1"/>
  <c r="D709" i="1"/>
  <c r="A710" i="1"/>
  <c r="D710" i="1"/>
  <c r="A711" i="1"/>
  <c r="D711" i="1"/>
  <c r="A712" i="1"/>
  <c r="D712" i="1"/>
  <c r="A713" i="1"/>
  <c r="D713" i="1"/>
  <c r="A714" i="1"/>
  <c r="D714" i="1"/>
  <c r="A715" i="1"/>
  <c r="D715" i="1"/>
  <c r="A716" i="1"/>
  <c r="D716" i="1"/>
  <c r="A717" i="1"/>
  <c r="D717" i="1"/>
  <c r="A718" i="1"/>
  <c r="D718" i="1"/>
  <c r="A719" i="1"/>
  <c r="D719" i="1"/>
  <c r="A720" i="1"/>
  <c r="D720" i="1"/>
  <c r="A721" i="1"/>
  <c r="D721" i="1"/>
  <c r="A722" i="1"/>
  <c r="D722" i="1"/>
  <c r="A723" i="1"/>
  <c r="D723" i="1"/>
  <c r="A724" i="1"/>
  <c r="D724" i="1"/>
  <c r="A725" i="1"/>
  <c r="D725" i="1"/>
  <c r="A726" i="1"/>
  <c r="D726" i="1"/>
  <c r="A727" i="1"/>
  <c r="D727" i="1"/>
  <c r="A728" i="1"/>
  <c r="D728" i="1"/>
  <c r="A729" i="1"/>
  <c r="D729" i="1"/>
  <c r="A730" i="1"/>
  <c r="D730" i="1"/>
  <c r="A731" i="1"/>
  <c r="D731" i="1"/>
  <c r="A732" i="1"/>
  <c r="D732" i="1"/>
  <c r="A733" i="1"/>
  <c r="D733" i="1"/>
  <c r="A734" i="1"/>
  <c r="D734" i="1"/>
  <c r="A735" i="1"/>
  <c r="D735" i="1"/>
  <c r="A736" i="1"/>
  <c r="D736" i="1"/>
  <c r="A737" i="1"/>
  <c r="D737" i="1"/>
  <c r="A738" i="1"/>
  <c r="D738" i="1"/>
  <c r="A739" i="1"/>
  <c r="D739" i="1"/>
  <c r="A740" i="1"/>
  <c r="D740" i="1"/>
  <c r="A741" i="1"/>
  <c r="D741" i="1"/>
  <c r="A742" i="1"/>
  <c r="D742" i="1"/>
  <c r="A743" i="1"/>
  <c r="D743" i="1"/>
  <c r="A744" i="1"/>
  <c r="D744" i="1"/>
  <c r="A745" i="1"/>
  <c r="D745" i="1"/>
  <c r="A746" i="1"/>
  <c r="D746" i="1"/>
  <c r="A747" i="1"/>
  <c r="D747" i="1"/>
  <c r="A748" i="1"/>
  <c r="D748" i="1"/>
  <c r="A749" i="1"/>
  <c r="D749" i="1"/>
  <c r="A750" i="1"/>
  <c r="D750" i="1"/>
  <c r="A751" i="1"/>
  <c r="D751" i="1"/>
  <c r="A752" i="1"/>
  <c r="D752" i="1"/>
  <c r="A753" i="1"/>
  <c r="D753" i="1"/>
  <c r="A754" i="1"/>
  <c r="D754" i="1"/>
  <c r="A755" i="1"/>
  <c r="D755" i="1"/>
  <c r="A756" i="1"/>
  <c r="D756" i="1"/>
  <c r="A757" i="1"/>
  <c r="D757" i="1"/>
  <c r="A758" i="1"/>
  <c r="D758" i="1"/>
  <c r="A759" i="1"/>
  <c r="D759" i="1"/>
  <c r="A760" i="1"/>
  <c r="D760" i="1"/>
  <c r="A761" i="1"/>
  <c r="D761" i="1"/>
  <c r="A762" i="1"/>
  <c r="D762" i="1"/>
  <c r="A763" i="1"/>
  <c r="D763" i="1"/>
  <c r="A764" i="1"/>
  <c r="D764" i="1"/>
  <c r="A765" i="1"/>
  <c r="D765" i="1"/>
  <c r="A766" i="1"/>
  <c r="D766" i="1"/>
  <c r="A767" i="1"/>
  <c r="D767" i="1"/>
  <c r="A768" i="1"/>
  <c r="D768" i="1"/>
  <c r="A769" i="1"/>
  <c r="D769" i="1"/>
  <c r="A770" i="1"/>
  <c r="D770" i="1"/>
  <c r="A771" i="1"/>
  <c r="D771" i="1"/>
  <c r="A772" i="1"/>
  <c r="D772" i="1"/>
  <c r="A773" i="1"/>
  <c r="D773" i="1"/>
  <c r="A774" i="1"/>
  <c r="D774" i="1"/>
  <c r="A775" i="1"/>
  <c r="D775" i="1"/>
  <c r="A776" i="1"/>
  <c r="D776" i="1"/>
  <c r="A777" i="1"/>
  <c r="D777" i="1"/>
  <c r="A778" i="1"/>
  <c r="D778" i="1"/>
  <c r="A779" i="1"/>
  <c r="D779" i="1"/>
  <c r="A780" i="1"/>
  <c r="D780" i="1"/>
  <c r="A781" i="1"/>
  <c r="D781" i="1"/>
  <c r="A782" i="1"/>
  <c r="D782" i="1"/>
  <c r="A783" i="1"/>
  <c r="D783" i="1"/>
  <c r="A784" i="1"/>
  <c r="D784" i="1"/>
  <c r="A785" i="1"/>
  <c r="D785" i="1"/>
  <c r="A786" i="1"/>
  <c r="D786" i="1"/>
  <c r="A787" i="1"/>
  <c r="D787" i="1"/>
  <c r="A788" i="1"/>
  <c r="D788" i="1"/>
  <c r="A789" i="1"/>
  <c r="D789" i="1"/>
  <c r="A790" i="1"/>
  <c r="D790" i="1"/>
  <c r="A791" i="1"/>
  <c r="D791" i="1"/>
  <c r="A792" i="1"/>
  <c r="D792" i="1"/>
  <c r="A793" i="1"/>
  <c r="D793" i="1"/>
  <c r="A794" i="1"/>
  <c r="D794" i="1"/>
  <c r="A795" i="1"/>
  <c r="D795" i="1"/>
  <c r="A796" i="1"/>
  <c r="D796" i="1"/>
  <c r="A797" i="1"/>
  <c r="D797" i="1"/>
  <c r="A798" i="1"/>
  <c r="D798" i="1"/>
  <c r="A799" i="1"/>
  <c r="D799" i="1"/>
  <c r="A800" i="1"/>
  <c r="D800" i="1"/>
  <c r="A801" i="1"/>
  <c r="D801" i="1"/>
  <c r="A802" i="1"/>
  <c r="D802" i="1"/>
  <c r="A803" i="1"/>
  <c r="D803" i="1"/>
  <c r="A804" i="1"/>
  <c r="D804" i="1"/>
  <c r="A805" i="1"/>
  <c r="D805" i="1"/>
  <c r="E805" i="1"/>
  <c r="A806" i="1"/>
  <c r="D806" i="1"/>
  <c r="A807" i="1"/>
  <c r="D807" i="1"/>
  <c r="A808" i="1"/>
  <c r="D808" i="1"/>
  <c r="A809" i="1"/>
  <c r="D809" i="1"/>
  <c r="E809" i="1"/>
  <c r="A810" i="1"/>
  <c r="D810" i="1"/>
  <c r="E810" i="1"/>
  <c r="A811" i="1"/>
  <c r="D811" i="1"/>
  <c r="A812" i="1"/>
  <c r="D812" i="1"/>
  <c r="E812" i="1"/>
  <c r="A813" i="1"/>
  <c r="D813" i="1"/>
  <c r="E813" i="1"/>
  <c r="A814" i="1"/>
  <c r="D814" i="1"/>
  <c r="E814" i="1"/>
  <c r="A815" i="1"/>
  <c r="D815" i="1"/>
  <c r="A816" i="1"/>
  <c r="D816" i="1"/>
  <c r="A817" i="1"/>
  <c r="D817" i="1"/>
  <c r="A818" i="1"/>
  <c r="D818" i="1"/>
  <c r="A819" i="1"/>
  <c r="D819" i="1"/>
  <c r="A820" i="1"/>
  <c r="D820" i="1"/>
  <c r="A821" i="1"/>
  <c r="D821" i="1"/>
  <c r="A822" i="1"/>
  <c r="D822" i="1"/>
  <c r="A823" i="1"/>
  <c r="D823" i="1"/>
  <c r="A824" i="1"/>
  <c r="D824" i="1"/>
  <c r="A825" i="1"/>
  <c r="D825" i="1"/>
  <c r="A826" i="1"/>
  <c r="D826" i="1"/>
  <c r="A827" i="1"/>
  <c r="D827" i="1"/>
  <c r="A828" i="1"/>
  <c r="D828" i="1"/>
  <c r="A829" i="1"/>
  <c r="D829" i="1"/>
  <c r="A830" i="1"/>
  <c r="D830" i="1"/>
  <c r="A831" i="1"/>
  <c r="D831" i="1"/>
  <c r="A832" i="1"/>
  <c r="D832" i="1"/>
  <c r="A833" i="1"/>
  <c r="D833" i="1"/>
  <c r="A834" i="1"/>
  <c r="D834" i="1"/>
  <c r="A835" i="1"/>
  <c r="D835" i="1"/>
  <c r="A836" i="1"/>
  <c r="D836" i="1"/>
  <c r="A837" i="1"/>
  <c r="D837" i="1"/>
  <c r="A838" i="1"/>
  <c r="D838" i="1"/>
  <c r="A839" i="1"/>
  <c r="D839" i="1"/>
  <c r="A840" i="1"/>
  <c r="D840" i="1"/>
  <c r="A841" i="1"/>
  <c r="D841" i="1"/>
  <c r="A842" i="1"/>
  <c r="D842" i="1"/>
  <c r="A843" i="1"/>
  <c r="D843" i="1"/>
  <c r="A844" i="1"/>
  <c r="D844" i="1"/>
  <c r="A845" i="1"/>
  <c r="D845" i="1"/>
  <c r="A846" i="1"/>
  <c r="D846" i="1"/>
  <c r="A847" i="1"/>
  <c r="D847" i="1"/>
  <c r="A848" i="1"/>
  <c r="D848" i="1"/>
  <c r="A849" i="1"/>
  <c r="D849" i="1"/>
  <c r="A850" i="1"/>
  <c r="D850" i="1"/>
  <c r="A851" i="1"/>
  <c r="D851" i="1"/>
  <c r="A852" i="1"/>
  <c r="D852" i="1"/>
  <c r="A853" i="1"/>
  <c r="D853" i="1"/>
  <c r="A854" i="1"/>
  <c r="D854" i="1"/>
  <c r="A855" i="1"/>
  <c r="D855" i="1"/>
  <c r="A856" i="1"/>
  <c r="D856" i="1"/>
  <c r="A857" i="1"/>
  <c r="D857" i="1"/>
  <c r="A858" i="1"/>
  <c r="D858" i="1"/>
  <c r="A859" i="1"/>
  <c r="D859" i="1"/>
  <c r="A860" i="1"/>
  <c r="D860" i="1"/>
  <c r="A861" i="1"/>
  <c r="D861" i="1"/>
  <c r="A862" i="1"/>
  <c r="D862" i="1"/>
  <c r="A863" i="1"/>
  <c r="D863" i="1"/>
  <c r="A864" i="1"/>
  <c r="D864" i="1"/>
  <c r="A865" i="1"/>
  <c r="D865" i="1"/>
  <c r="A866" i="1"/>
  <c r="D866" i="1"/>
  <c r="A867" i="1"/>
  <c r="D867" i="1"/>
  <c r="A868" i="1"/>
  <c r="D868" i="1"/>
  <c r="A869" i="1"/>
  <c r="D869" i="1"/>
  <c r="A870" i="1"/>
  <c r="D870" i="1"/>
  <c r="A871" i="1"/>
  <c r="D871" i="1"/>
  <c r="A872" i="1"/>
  <c r="D872" i="1"/>
  <c r="A873" i="1"/>
  <c r="D873" i="1"/>
  <c r="A874" i="1"/>
  <c r="D874" i="1"/>
  <c r="A875" i="1"/>
  <c r="D875" i="1"/>
  <c r="A876" i="1"/>
  <c r="D876" i="1"/>
  <c r="A877" i="1"/>
  <c r="D877" i="1"/>
  <c r="A878" i="1"/>
  <c r="D878" i="1"/>
  <c r="A879" i="1"/>
  <c r="D879" i="1"/>
  <c r="A880" i="1"/>
  <c r="D880" i="1"/>
  <c r="A881" i="1"/>
  <c r="D881" i="1"/>
  <c r="A882" i="1"/>
  <c r="D882" i="1"/>
  <c r="A883" i="1"/>
  <c r="D883" i="1"/>
  <c r="A884" i="1"/>
  <c r="D884" i="1"/>
  <c r="A885" i="1"/>
  <c r="D885" i="1"/>
  <c r="A886" i="1"/>
  <c r="D886" i="1"/>
  <c r="A887" i="1"/>
  <c r="D887" i="1"/>
  <c r="A888" i="1"/>
  <c r="D888" i="1"/>
  <c r="A889" i="1"/>
  <c r="D889" i="1"/>
  <c r="A890" i="1"/>
  <c r="D890" i="1"/>
  <c r="E890" i="1"/>
  <c r="A891" i="1"/>
  <c r="D891" i="1"/>
  <c r="A892" i="1"/>
  <c r="D892" i="1"/>
  <c r="A893" i="1"/>
  <c r="D893" i="1"/>
  <c r="A894" i="1"/>
  <c r="D894" i="1"/>
  <c r="E894" i="1"/>
  <c r="A895" i="1"/>
  <c r="D895" i="1"/>
  <c r="A896" i="1"/>
  <c r="D896" i="1"/>
  <c r="E896" i="1"/>
  <c r="A897" i="1"/>
  <c r="D897" i="1"/>
  <c r="A898" i="1"/>
  <c r="D898" i="1"/>
  <c r="E898" i="1"/>
  <c r="A899" i="1"/>
  <c r="D899" i="1"/>
  <c r="E899" i="1"/>
  <c r="A900" i="1"/>
  <c r="D900" i="1"/>
  <c r="E900" i="1"/>
  <c r="A901" i="1"/>
  <c r="D901" i="1"/>
  <c r="E901" i="1"/>
  <c r="A902" i="1"/>
  <c r="D902" i="1"/>
  <c r="E902" i="1"/>
  <c r="A903" i="1"/>
  <c r="D903" i="1"/>
  <c r="A904" i="1"/>
  <c r="D904" i="1"/>
  <c r="A905" i="1"/>
  <c r="D905" i="1"/>
  <c r="A906" i="1"/>
  <c r="D906" i="1"/>
  <c r="A907" i="1"/>
  <c r="D907" i="1"/>
  <c r="A908" i="1"/>
  <c r="D908" i="1"/>
  <c r="A909" i="1"/>
  <c r="D909" i="1"/>
  <c r="E909" i="1"/>
  <c r="A910" i="1"/>
  <c r="D910" i="1"/>
  <c r="E910" i="1"/>
  <c r="A911" i="1"/>
  <c r="D911" i="1"/>
  <c r="E911" i="1"/>
  <c r="A912" i="1"/>
  <c r="D912" i="1"/>
  <c r="E912" i="1"/>
  <c r="A913" i="1"/>
  <c r="D913" i="1"/>
  <c r="A914" i="1"/>
  <c r="D914" i="1"/>
  <c r="A915" i="1"/>
  <c r="D915" i="1"/>
  <c r="A916" i="1"/>
  <c r="D916" i="1"/>
  <c r="A917" i="1"/>
  <c r="D917" i="1"/>
  <c r="A918" i="1"/>
  <c r="D918" i="1"/>
  <c r="A919" i="1"/>
  <c r="D919" i="1"/>
  <c r="A920" i="1"/>
  <c r="D920" i="1"/>
  <c r="A921" i="1"/>
  <c r="D921" i="1"/>
  <c r="A922" i="1"/>
  <c r="D922" i="1"/>
  <c r="A923" i="1"/>
  <c r="D923" i="1"/>
  <c r="A924" i="1"/>
  <c r="D924" i="1"/>
  <c r="A925" i="1"/>
  <c r="D925" i="1"/>
  <c r="A926" i="1"/>
  <c r="D926" i="1"/>
  <c r="A927" i="1"/>
  <c r="D927" i="1"/>
  <c r="A928" i="1"/>
  <c r="D928" i="1"/>
  <c r="A929" i="1"/>
  <c r="D929" i="1"/>
  <c r="A930" i="1"/>
  <c r="D930" i="1"/>
  <c r="A931" i="1"/>
  <c r="D931" i="1"/>
  <c r="A932" i="1"/>
  <c r="D932" i="1"/>
  <c r="A933" i="1"/>
  <c r="D933" i="1"/>
  <c r="A934" i="1"/>
  <c r="D934" i="1"/>
  <c r="A935" i="1"/>
  <c r="D935" i="1"/>
  <c r="A936" i="1"/>
  <c r="D936" i="1"/>
  <c r="A937" i="1"/>
  <c r="D937" i="1"/>
  <c r="A938" i="1"/>
  <c r="D938" i="1"/>
  <c r="A939" i="1"/>
  <c r="D939" i="1"/>
  <c r="A940" i="1"/>
  <c r="D940" i="1"/>
  <c r="A941" i="1"/>
  <c r="D941" i="1"/>
  <c r="A942" i="1"/>
  <c r="D942" i="1"/>
  <c r="A943" i="1"/>
  <c r="D943" i="1"/>
  <c r="A944" i="1"/>
  <c r="D944" i="1"/>
  <c r="A945" i="1"/>
  <c r="D945" i="1"/>
  <c r="A946" i="1"/>
  <c r="D946" i="1"/>
  <c r="A947" i="1"/>
  <c r="D947" i="1"/>
  <c r="E947" i="1"/>
  <c r="A948" i="1"/>
  <c r="D948" i="1"/>
  <c r="A949" i="1"/>
  <c r="D949" i="1"/>
  <c r="E949" i="1"/>
  <c r="A950" i="1"/>
  <c r="D950" i="1"/>
  <c r="A951" i="1"/>
  <c r="D951" i="1"/>
  <c r="A952" i="1"/>
  <c r="D952" i="1"/>
  <c r="A953" i="1"/>
  <c r="D953" i="1"/>
  <c r="A954" i="1"/>
  <c r="D954" i="1"/>
  <c r="A955" i="1"/>
  <c r="D955" i="1"/>
  <c r="A956" i="1"/>
  <c r="D956" i="1"/>
  <c r="A957" i="1"/>
  <c r="D957" i="1"/>
  <c r="A958" i="1"/>
  <c r="D958" i="1"/>
  <c r="A959" i="1"/>
  <c r="D959" i="1"/>
  <c r="A960" i="1"/>
  <c r="D960" i="1"/>
  <c r="A961" i="1"/>
  <c r="D961" i="1"/>
  <c r="A962" i="1"/>
  <c r="D962" i="1"/>
  <c r="A963" i="1"/>
  <c r="D963" i="1"/>
  <c r="A964" i="1"/>
  <c r="D964" i="1"/>
  <c r="A965" i="1"/>
  <c r="D965" i="1"/>
  <c r="A966" i="1"/>
  <c r="D966" i="1"/>
  <c r="A967" i="1"/>
  <c r="D967" i="1"/>
  <c r="A968" i="1"/>
  <c r="D968" i="1"/>
  <c r="A969" i="1"/>
  <c r="D969" i="1"/>
  <c r="A970" i="1"/>
  <c r="D970" i="1"/>
  <c r="A971" i="1"/>
  <c r="D971" i="1"/>
  <c r="A972" i="1"/>
  <c r="D972" i="1"/>
  <c r="A973" i="1"/>
  <c r="D973" i="1"/>
  <c r="A974" i="1"/>
  <c r="D974" i="1"/>
  <c r="A975" i="1"/>
  <c r="D975" i="1"/>
  <c r="A976" i="1"/>
  <c r="D976" i="1"/>
  <c r="A977" i="1"/>
  <c r="D977" i="1"/>
  <c r="A978" i="1"/>
  <c r="D978" i="1"/>
  <c r="A979" i="1"/>
  <c r="D979" i="1"/>
  <c r="A980" i="1"/>
  <c r="D980" i="1"/>
  <c r="A981" i="1"/>
  <c r="D981" i="1"/>
  <c r="A982" i="1"/>
  <c r="D982" i="1"/>
  <c r="A983" i="1"/>
  <c r="D983" i="1"/>
  <c r="A984" i="1"/>
  <c r="D984" i="1"/>
  <c r="E984" i="1"/>
  <c r="A985" i="1"/>
  <c r="D985" i="1"/>
  <c r="A986" i="1"/>
  <c r="D986" i="1"/>
  <c r="A987" i="1"/>
  <c r="D987" i="1"/>
  <c r="A988" i="1"/>
  <c r="D988" i="1"/>
  <c r="E988" i="1"/>
  <c r="A989" i="1"/>
  <c r="D989" i="1"/>
  <c r="A990" i="1"/>
  <c r="D990" i="1"/>
  <c r="A991" i="1"/>
  <c r="D991" i="1"/>
  <c r="A992" i="1"/>
  <c r="D992" i="1"/>
  <c r="A993" i="1"/>
  <c r="D993" i="1"/>
  <c r="A994" i="1"/>
  <c r="D994" i="1"/>
  <c r="A995" i="1"/>
  <c r="D995" i="1"/>
  <c r="E995" i="1"/>
  <c r="A996" i="1"/>
  <c r="D996" i="1"/>
  <c r="A997" i="1"/>
  <c r="D997" i="1"/>
  <c r="A998" i="1"/>
  <c r="D998" i="1"/>
  <c r="A999" i="1"/>
  <c r="D999" i="1"/>
  <c r="A1000" i="1"/>
  <c r="D1000" i="1"/>
  <c r="A1001" i="1"/>
  <c r="D1001" i="1"/>
  <c r="A1002" i="1"/>
  <c r="D1002" i="1"/>
  <c r="A1003" i="1"/>
  <c r="D1003" i="1"/>
  <c r="A1004" i="1"/>
  <c r="D1004" i="1"/>
  <c r="A1005" i="1"/>
  <c r="D1005" i="1"/>
  <c r="A1006" i="1"/>
  <c r="D1006" i="1"/>
  <c r="E1006" i="1"/>
  <c r="A1007" i="1"/>
  <c r="D1007" i="1"/>
  <c r="A1008" i="1"/>
  <c r="D1008" i="1"/>
  <c r="A1009" i="1"/>
  <c r="D1009" i="1"/>
  <c r="A1010" i="1"/>
  <c r="D1010" i="1"/>
  <c r="A1011" i="1"/>
  <c r="D1011" i="1"/>
  <c r="A1012" i="1"/>
  <c r="D1012" i="1"/>
  <c r="A1013" i="1"/>
  <c r="D1013" i="1"/>
  <c r="A1014" i="1"/>
  <c r="D1014" i="1"/>
  <c r="A1015" i="1"/>
  <c r="D1015" i="1"/>
  <c r="A1016" i="1"/>
  <c r="D1016" i="1"/>
  <c r="A1017" i="1"/>
  <c r="D1017" i="1"/>
  <c r="A1018" i="1"/>
  <c r="D1018" i="1"/>
  <c r="A1019" i="1"/>
  <c r="D1019" i="1"/>
  <c r="A1020" i="1"/>
  <c r="D1020" i="1"/>
  <c r="A1021" i="1"/>
  <c r="D1021" i="1"/>
  <c r="A1022" i="1"/>
  <c r="D1022" i="1"/>
  <c r="A1023" i="1"/>
  <c r="D1023" i="1"/>
  <c r="A1024" i="1"/>
  <c r="D1024" i="1"/>
  <c r="A1025" i="1"/>
  <c r="D1025" i="1"/>
  <c r="A1026" i="1"/>
  <c r="D1026" i="1"/>
  <c r="A1027" i="1"/>
  <c r="D1027" i="1"/>
  <c r="A1028" i="1"/>
  <c r="D1028" i="1"/>
  <c r="A1029" i="1"/>
  <c r="D1029" i="1"/>
  <c r="A1030" i="1"/>
  <c r="D1030" i="1"/>
  <c r="A1031" i="1"/>
  <c r="D1031" i="1"/>
  <c r="A1032" i="1"/>
  <c r="D1032" i="1"/>
  <c r="A1033" i="1"/>
  <c r="D1033" i="1"/>
  <c r="A1034" i="1"/>
  <c r="D1034" i="1"/>
  <c r="A1035" i="1"/>
  <c r="D1035" i="1"/>
  <c r="A1036" i="1"/>
  <c r="D1036" i="1"/>
  <c r="A1037" i="1"/>
  <c r="D1037" i="1"/>
  <c r="A1038" i="1"/>
  <c r="D1038" i="1"/>
  <c r="A1039" i="1"/>
  <c r="D1039" i="1"/>
  <c r="A1040" i="1"/>
  <c r="D1040" i="1"/>
  <c r="A1041" i="1"/>
  <c r="D1041" i="1"/>
  <c r="A1042" i="1"/>
  <c r="D1042" i="1"/>
  <c r="A1043" i="1"/>
  <c r="D1043" i="1"/>
  <c r="A1044" i="1"/>
  <c r="D1044" i="1"/>
  <c r="A1045" i="1"/>
  <c r="D1045" i="1"/>
  <c r="A1046" i="1"/>
  <c r="D1046" i="1"/>
  <c r="A1047" i="1"/>
  <c r="D1047" i="1"/>
  <c r="A1048" i="1"/>
  <c r="D1048" i="1"/>
  <c r="A1049" i="1"/>
  <c r="D1049" i="1"/>
  <c r="A1050" i="1"/>
  <c r="D1050" i="1"/>
  <c r="A1051" i="1"/>
  <c r="D1051" i="1"/>
  <c r="A1052" i="1"/>
  <c r="D1052" i="1"/>
  <c r="A1053" i="1"/>
  <c r="D1053" i="1"/>
  <c r="A1054" i="1"/>
  <c r="D1054" i="1"/>
  <c r="A1055" i="1"/>
  <c r="D1055" i="1"/>
  <c r="A1056" i="1"/>
  <c r="D1056" i="1"/>
  <c r="A1057" i="1"/>
  <c r="D1057" i="1"/>
  <c r="A1058" i="1"/>
  <c r="D1058" i="1"/>
  <c r="A1059" i="1"/>
  <c r="D1059" i="1"/>
  <c r="A1060" i="1"/>
  <c r="D1060" i="1"/>
  <c r="A1061" i="1"/>
  <c r="D1061" i="1"/>
  <c r="A1062" i="1"/>
  <c r="D1062" i="1"/>
  <c r="A1063" i="1"/>
  <c r="D1063" i="1"/>
  <c r="A1064" i="1"/>
  <c r="D1064" i="1"/>
  <c r="A1065" i="1"/>
  <c r="D1065" i="1"/>
  <c r="A1066" i="1"/>
  <c r="D1066" i="1"/>
  <c r="A1067" i="1"/>
  <c r="D1067" i="1"/>
  <c r="A1068" i="1"/>
  <c r="D1068" i="1"/>
  <c r="A1069" i="1"/>
  <c r="D1069" i="1"/>
  <c r="A1070" i="1"/>
  <c r="D1070" i="1"/>
  <c r="A1071" i="1"/>
  <c r="D1071" i="1"/>
  <c r="A1072" i="1"/>
  <c r="D1072" i="1"/>
  <c r="A1073" i="1"/>
  <c r="D1073" i="1"/>
  <c r="A1074" i="1"/>
  <c r="D1074" i="1"/>
  <c r="A1075" i="1"/>
  <c r="D1075" i="1"/>
  <c r="A1076" i="1"/>
  <c r="D1076" i="1"/>
  <c r="A1077" i="1"/>
  <c r="D1077" i="1"/>
  <c r="A1078" i="1"/>
  <c r="D1078" i="1"/>
  <c r="A1079" i="1"/>
  <c r="D1079" i="1"/>
  <c r="A1080" i="1"/>
  <c r="D1080" i="1"/>
  <c r="A1081" i="1"/>
  <c r="D1081" i="1"/>
  <c r="A1082" i="1"/>
  <c r="D1082" i="1"/>
  <c r="A1083" i="1"/>
  <c r="D1083" i="1"/>
  <c r="A1084" i="1"/>
  <c r="D1084" i="1"/>
  <c r="A1085" i="1"/>
  <c r="D1085" i="1"/>
  <c r="A1086" i="1"/>
  <c r="D1086" i="1"/>
  <c r="A1087" i="1"/>
  <c r="D1087" i="1"/>
  <c r="A1088" i="1"/>
  <c r="D1088" i="1"/>
  <c r="A1089" i="1"/>
  <c r="D1089" i="1"/>
  <c r="A1090" i="1"/>
  <c r="D1090" i="1"/>
  <c r="A1091" i="1"/>
  <c r="D1091" i="1"/>
  <c r="A1092" i="1"/>
  <c r="D1092" i="1"/>
  <c r="A1093" i="1"/>
  <c r="D1093" i="1"/>
  <c r="A1094" i="1"/>
  <c r="D1094" i="1"/>
  <c r="A1095" i="1"/>
  <c r="D1095" i="1"/>
  <c r="A1096" i="1"/>
  <c r="D1096" i="1"/>
  <c r="A1097" i="1"/>
  <c r="D1097" i="1"/>
  <c r="A1098" i="1"/>
  <c r="D1098" i="1"/>
  <c r="A1099" i="1"/>
  <c r="D1099" i="1"/>
  <c r="A1100" i="1"/>
  <c r="D1100" i="1"/>
  <c r="A1101" i="1"/>
  <c r="D1101" i="1"/>
  <c r="A1102" i="1"/>
  <c r="D1102" i="1"/>
  <c r="A1103" i="1"/>
  <c r="D1103" i="1"/>
  <c r="A1104" i="1"/>
  <c r="D1104" i="1"/>
  <c r="A1105" i="1"/>
  <c r="D1105" i="1"/>
  <c r="A1106" i="1"/>
  <c r="D1106" i="1"/>
  <c r="A1107" i="1"/>
  <c r="D1107" i="1"/>
  <c r="A1108" i="1"/>
  <c r="D1108" i="1"/>
  <c r="A1109" i="1"/>
  <c r="D1109" i="1"/>
  <c r="A1110" i="1"/>
  <c r="D1110" i="1"/>
  <c r="A1111" i="1"/>
  <c r="D1111" i="1"/>
  <c r="A1112" i="1"/>
  <c r="D1112" i="1"/>
  <c r="A1113" i="1"/>
  <c r="D1113" i="1"/>
  <c r="A1114" i="1"/>
  <c r="D1114" i="1"/>
  <c r="A1115" i="1"/>
  <c r="D1115" i="1"/>
  <c r="A1116" i="1"/>
  <c r="D1116" i="1"/>
  <c r="A1117" i="1"/>
  <c r="D1117" i="1"/>
  <c r="A1118" i="1"/>
  <c r="D1118" i="1"/>
  <c r="A1119" i="1"/>
  <c r="D1119" i="1"/>
  <c r="A1120" i="1"/>
  <c r="D1120" i="1"/>
  <c r="A1121" i="1"/>
  <c r="D1121" i="1"/>
  <c r="A1122" i="1"/>
  <c r="D1122" i="1"/>
  <c r="A1123" i="1"/>
  <c r="D1123" i="1"/>
  <c r="A1124" i="1"/>
  <c r="D1124" i="1"/>
  <c r="A1125" i="1"/>
  <c r="D1125" i="1"/>
  <c r="A1126" i="1"/>
  <c r="D1126" i="1"/>
  <c r="A1127" i="1"/>
  <c r="D1127" i="1"/>
  <c r="A1128" i="1"/>
  <c r="D1128" i="1"/>
  <c r="A1129" i="1"/>
  <c r="D1129" i="1"/>
  <c r="A1130" i="1"/>
  <c r="D1130" i="1"/>
  <c r="A1131" i="1"/>
  <c r="D1131" i="1"/>
  <c r="A1132" i="1"/>
  <c r="D1132" i="1"/>
  <c r="A1133" i="1"/>
  <c r="D1133" i="1"/>
  <c r="A1134" i="1"/>
  <c r="D1134" i="1"/>
  <c r="A1135" i="1"/>
  <c r="D1135" i="1"/>
  <c r="A1136" i="1"/>
  <c r="D1136" i="1"/>
  <c r="A1137" i="1"/>
  <c r="D1137" i="1"/>
  <c r="A1138" i="1"/>
  <c r="D1138" i="1"/>
  <c r="A1139" i="1"/>
  <c r="D1139" i="1"/>
  <c r="A1140" i="1"/>
  <c r="D1140" i="1"/>
  <c r="A1141" i="1"/>
  <c r="D1141" i="1"/>
  <c r="A1142" i="1"/>
  <c r="D1142" i="1"/>
  <c r="A1143" i="1"/>
  <c r="D1143" i="1"/>
  <c r="A1144" i="1"/>
  <c r="D1144" i="1"/>
  <c r="A1145" i="1"/>
  <c r="D1145" i="1"/>
  <c r="A1146" i="1"/>
  <c r="D1146" i="1"/>
  <c r="A1147" i="1"/>
  <c r="D1147" i="1"/>
  <c r="A1148" i="1"/>
  <c r="D1148" i="1"/>
  <c r="A1149" i="1"/>
  <c r="D1149" i="1"/>
  <c r="A1150" i="1"/>
  <c r="D1150" i="1"/>
  <c r="A1151" i="1"/>
  <c r="D1151" i="1"/>
  <c r="A1152" i="1"/>
  <c r="D1152" i="1"/>
  <c r="A1153" i="1"/>
  <c r="D1153" i="1"/>
  <c r="A1154" i="1"/>
  <c r="D1154" i="1"/>
  <c r="A1155" i="1"/>
  <c r="D1155" i="1"/>
  <c r="A1156" i="1"/>
  <c r="D1156" i="1"/>
  <c r="E1156" i="1"/>
  <c r="A1157" i="1"/>
  <c r="D1157" i="1"/>
  <c r="A1158" i="1"/>
  <c r="D1158" i="1"/>
  <c r="A1159" i="1"/>
  <c r="D1159" i="1"/>
  <c r="A1160" i="1"/>
  <c r="D1160" i="1"/>
  <c r="A1161" i="1"/>
  <c r="D1161" i="1"/>
  <c r="A1162" i="1"/>
  <c r="D1162" i="1"/>
  <c r="A1163" i="1"/>
  <c r="D1163" i="1"/>
  <c r="A1164" i="1"/>
  <c r="D1164" i="1"/>
  <c r="A1165" i="1"/>
  <c r="D1165" i="1"/>
  <c r="A1166" i="1"/>
  <c r="D1166" i="1"/>
  <c r="A1167" i="1"/>
  <c r="D1167" i="1"/>
  <c r="A1168" i="1"/>
  <c r="D1168" i="1"/>
  <c r="A1169" i="1"/>
  <c r="D1169" i="1"/>
  <c r="A1170" i="1"/>
  <c r="D1170" i="1"/>
  <c r="A1171" i="1"/>
  <c r="D1171" i="1"/>
  <c r="A1172" i="1"/>
  <c r="D1172" i="1"/>
  <c r="A1173" i="1"/>
  <c r="D1173" i="1"/>
  <c r="A1174" i="1"/>
  <c r="D1174" i="1"/>
  <c r="A1175" i="1"/>
  <c r="D1175" i="1"/>
  <c r="A1176" i="1"/>
  <c r="D1176" i="1"/>
  <c r="A1177" i="1"/>
  <c r="D1177" i="1"/>
  <c r="A1178" i="1"/>
  <c r="D1178" i="1"/>
  <c r="A1179" i="1"/>
  <c r="D1179" i="1"/>
  <c r="A1180" i="1"/>
  <c r="D1180" i="1"/>
  <c r="A1181" i="1"/>
  <c r="D1181" i="1"/>
  <c r="A1182" i="1"/>
  <c r="D1182" i="1"/>
  <c r="A1183" i="1"/>
  <c r="D1183" i="1"/>
  <c r="A1184" i="1"/>
  <c r="D1184" i="1"/>
  <c r="A1185" i="1"/>
  <c r="D1185" i="1"/>
  <c r="A1186" i="1"/>
  <c r="D1186" i="1"/>
  <c r="A1187" i="1"/>
  <c r="D1187" i="1"/>
  <c r="A1188" i="1"/>
  <c r="D1188" i="1"/>
  <c r="A1189" i="1"/>
  <c r="D1189" i="1"/>
  <c r="A1190" i="1"/>
  <c r="D1190" i="1"/>
  <c r="A1191" i="1"/>
  <c r="D1191" i="1"/>
  <c r="A1192" i="1"/>
  <c r="D1192" i="1"/>
  <c r="A1193" i="1"/>
  <c r="D1193" i="1"/>
  <c r="A1194" i="1"/>
  <c r="D1194" i="1"/>
  <c r="A1195" i="1"/>
  <c r="D1195" i="1"/>
  <c r="A1196" i="1"/>
  <c r="D1196" i="1"/>
  <c r="A1197" i="1"/>
  <c r="D1197" i="1"/>
  <c r="A1198" i="1"/>
  <c r="D1198" i="1"/>
  <c r="A1199" i="1"/>
  <c r="D1199" i="1"/>
  <c r="A1200" i="1"/>
  <c r="D1200" i="1"/>
  <c r="A1201" i="1"/>
  <c r="D1201" i="1"/>
  <c r="A1202" i="1"/>
  <c r="D1202" i="1"/>
  <c r="E1202" i="1"/>
  <c r="A1203" i="1"/>
  <c r="D1203" i="1"/>
  <c r="A1204" i="1"/>
  <c r="D1204" i="1"/>
  <c r="A1205" i="1"/>
  <c r="D1205" i="1"/>
  <c r="A1206" i="1"/>
  <c r="D1206" i="1"/>
  <c r="A1207" i="1"/>
  <c r="D1207" i="1"/>
  <c r="A1208" i="1"/>
  <c r="D1208" i="1"/>
  <c r="A1209" i="1"/>
  <c r="D1209" i="1"/>
  <c r="A1210" i="1"/>
  <c r="D1210" i="1"/>
  <c r="A1211" i="1"/>
  <c r="D1211" i="1"/>
  <c r="A1212" i="1"/>
  <c r="D1212" i="1"/>
  <c r="A1213" i="1"/>
  <c r="D1213" i="1"/>
  <c r="A1214" i="1"/>
  <c r="D1214" i="1"/>
  <c r="A1215" i="1"/>
  <c r="D1215" i="1"/>
  <c r="A1216" i="1"/>
  <c r="D1216" i="1"/>
  <c r="E1216" i="1"/>
  <c r="A1217" i="1"/>
  <c r="D1217" i="1"/>
  <c r="A1218" i="1"/>
  <c r="D1218" i="1"/>
  <c r="A1219" i="1"/>
  <c r="D1219" i="1"/>
  <c r="E1219" i="1"/>
  <c r="A1220" i="1"/>
  <c r="D1220" i="1"/>
  <c r="A1221" i="1"/>
  <c r="D1221" i="1"/>
  <c r="A1222" i="1"/>
  <c r="D1222" i="1"/>
  <c r="A1223" i="1"/>
  <c r="D1223" i="1"/>
  <c r="E1223" i="1"/>
  <c r="A1224" i="1"/>
  <c r="D1224" i="1"/>
  <c r="E1224" i="1"/>
  <c r="A1225" i="1"/>
  <c r="D1225" i="1"/>
  <c r="A1226" i="1"/>
  <c r="D1226" i="1"/>
  <c r="A1227" i="1"/>
  <c r="D1227" i="1"/>
  <c r="A1228" i="1"/>
  <c r="D1228" i="1"/>
  <c r="A1229" i="1"/>
  <c r="D1229" i="1"/>
  <c r="E1229" i="1"/>
  <c r="A1230" i="1"/>
  <c r="D1230" i="1"/>
  <c r="E1230" i="1"/>
  <c r="A1231" i="1"/>
  <c r="D1231" i="1"/>
  <c r="A1232" i="1"/>
  <c r="D1232" i="1"/>
  <c r="A1233" i="1"/>
  <c r="D1233" i="1"/>
  <c r="A1234" i="1"/>
  <c r="D1234" i="1"/>
  <c r="A1235" i="1"/>
  <c r="D1235" i="1"/>
  <c r="A1236" i="1"/>
  <c r="D1236" i="1"/>
  <c r="A1237" i="1"/>
  <c r="D1237" i="1"/>
  <c r="A1238" i="1"/>
  <c r="D1238" i="1"/>
  <c r="A1239" i="1"/>
  <c r="D1239" i="1"/>
  <c r="A1240" i="1"/>
  <c r="D1240" i="1"/>
  <c r="A1241" i="1"/>
  <c r="D1241" i="1"/>
  <c r="A1242" i="1"/>
  <c r="D1242" i="1"/>
  <c r="A1243" i="1"/>
  <c r="D1243" i="1"/>
  <c r="A1244" i="1"/>
  <c r="D1244" i="1"/>
  <c r="A1245" i="1"/>
  <c r="D1245" i="1"/>
  <c r="A1246" i="1"/>
  <c r="D1246" i="1"/>
  <c r="A1247" i="1"/>
  <c r="D1247" i="1"/>
  <c r="A1248" i="1"/>
  <c r="D1248" i="1"/>
  <c r="A1249" i="1"/>
  <c r="D1249" i="1"/>
  <c r="A1250" i="1"/>
  <c r="D1250" i="1"/>
  <c r="A1251" i="1"/>
  <c r="D1251" i="1"/>
  <c r="A1252" i="1"/>
  <c r="D1252" i="1"/>
  <c r="A1253" i="1"/>
  <c r="D1253" i="1"/>
  <c r="A1254" i="1"/>
  <c r="D1254" i="1"/>
  <c r="A1255" i="1"/>
  <c r="D1255" i="1"/>
  <c r="A1256" i="1"/>
  <c r="D1256" i="1"/>
  <c r="A1257" i="1"/>
  <c r="D1257" i="1"/>
  <c r="A1258" i="1"/>
  <c r="D1258" i="1"/>
  <c r="A1259" i="1"/>
  <c r="D1259" i="1"/>
  <c r="A1260" i="1"/>
  <c r="D1260" i="1"/>
  <c r="A1261" i="1"/>
  <c r="D1261" i="1"/>
  <c r="A1262" i="1"/>
  <c r="D1262" i="1"/>
  <c r="A1263" i="1"/>
  <c r="D1263" i="1"/>
  <c r="A1264" i="1"/>
  <c r="D1264" i="1"/>
  <c r="A1265" i="1"/>
  <c r="D1265" i="1"/>
  <c r="A1266" i="1"/>
  <c r="D1266" i="1"/>
  <c r="A1267" i="1"/>
  <c r="D1267" i="1"/>
  <c r="A1268" i="1"/>
  <c r="D1268" i="1"/>
  <c r="A1269" i="1"/>
  <c r="D1269" i="1"/>
  <c r="A1270" i="1"/>
  <c r="D1270" i="1"/>
  <c r="A1271" i="1"/>
  <c r="D1271" i="1"/>
  <c r="A1272" i="1"/>
  <c r="D1272" i="1"/>
  <c r="A1273" i="1"/>
  <c r="D1273" i="1"/>
  <c r="A1274" i="1"/>
  <c r="D1274" i="1"/>
  <c r="A1275" i="1"/>
  <c r="D1275" i="1"/>
  <c r="A1276" i="1"/>
  <c r="D1276" i="1"/>
  <c r="A1277" i="1"/>
  <c r="D1277" i="1"/>
  <c r="A1278" i="1"/>
  <c r="D1278" i="1"/>
  <c r="A1279" i="1"/>
  <c r="D1279" i="1"/>
  <c r="A1280" i="1"/>
  <c r="D1280" i="1"/>
  <c r="A1281" i="1"/>
  <c r="D1281" i="1"/>
  <c r="A1282" i="1"/>
  <c r="D1282" i="1"/>
  <c r="A1283" i="1"/>
  <c r="D1283" i="1"/>
  <c r="A1284" i="1"/>
  <c r="D1284" i="1"/>
  <c r="A1285" i="1"/>
  <c r="D1285" i="1"/>
  <c r="A1286" i="1"/>
  <c r="D1286" i="1"/>
  <c r="A1287" i="1"/>
  <c r="D1287" i="1"/>
  <c r="A1288" i="1"/>
  <c r="D1288" i="1"/>
  <c r="A1289" i="1"/>
  <c r="D1289" i="1"/>
  <c r="A1290" i="1"/>
  <c r="D1290" i="1"/>
  <c r="A1291" i="1"/>
  <c r="D1291" i="1"/>
  <c r="A1292" i="1"/>
  <c r="D1292" i="1"/>
  <c r="A1293" i="1"/>
  <c r="D1293" i="1"/>
  <c r="A1294" i="1"/>
  <c r="D1294" i="1"/>
  <c r="A1295" i="1"/>
  <c r="D1295" i="1"/>
  <c r="A1296" i="1"/>
  <c r="D1296" i="1"/>
  <c r="A1297" i="1"/>
  <c r="D1297" i="1"/>
  <c r="A1298" i="1"/>
  <c r="D1298" i="1"/>
  <c r="A1299" i="1"/>
  <c r="D1299" i="1"/>
  <c r="A1300" i="1"/>
  <c r="D1300" i="1"/>
  <c r="A1301" i="1"/>
  <c r="D1301" i="1"/>
  <c r="A1302" i="1"/>
  <c r="D1302" i="1"/>
  <c r="A1303" i="1"/>
  <c r="D1303" i="1"/>
  <c r="A1304" i="1"/>
  <c r="D1304" i="1"/>
  <c r="A1305" i="1"/>
  <c r="D1305" i="1"/>
  <c r="A1306" i="1"/>
  <c r="D1306" i="1"/>
  <c r="A1307" i="1"/>
  <c r="D1307" i="1"/>
  <c r="A1308" i="1"/>
  <c r="D1308" i="1"/>
  <c r="A1309" i="1"/>
  <c r="D1309" i="1"/>
  <c r="A1310" i="1"/>
  <c r="D1310" i="1"/>
  <c r="A1311" i="1"/>
  <c r="D1311" i="1"/>
  <c r="A1312" i="1"/>
  <c r="D1312" i="1"/>
  <c r="A1313" i="1"/>
  <c r="D1313" i="1"/>
  <c r="A1314" i="1"/>
  <c r="D1314" i="1"/>
  <c r="A1315" i="1"/>
  <c r="D1315" i="1"/>
  <c r="A1316" i="1"/>
  <c r="D1316" i="1"/>
  <c r="A1317" i="1"/>
  <c r="D1317" i="1"/>
  <c r="A1318" i="1"/>
  <c r="D1318" i="1"/>
  <c r="A1319" i="1"/>
  <c r="D1319" i="1"/>
  <c r="A1320" i="1"/>
  <c r="D1320" i="1"/>
  <c r="A1321" i="1"/>
  <c r="D1321" i="1"/>
  <c r="A1322" i="1"/>
  <c r="D1322" i="1"/>
  <c r="A1323" i="1"/>
  <c r="D1323" i="1"/>
  <c r="A1324" i="1"/>
  <c r="D1324" i="1"/>
  <c r="A1325" i="1"/>
  <c r="D1325" i="1"/>
  <c r="A1326" i="1"/>
  <c r="D1326" i="1"/>
  <c r="A1327" i="1"/>
  <c r="D1327" i="1"/>
  <c r="A1328" i="1"/>
  <c r="D1328" i="1"/>
  <c r="A1329" i="1"/>
  <c r="D1329" i="1"/>
  <c r="A1330" i="1"/>
  <c r="D1330" i="1"/>
  <c r="A1331" i="1"/>
  <c r="D1331" i="1"/>
  <c r="A1332" i="1"/>
  <c r="D1332" i="1"/>
  <c r="A1333" i="1"/>
  <c r="D1333" i="1"/>
  <c r="A1334" i="1"/>
  <c r="D1334" i="1"/>
  <c r="A1335" i="1"/>
  <c r="D1335" i="1"/>
  <c r="A1336" i="1"/>
  <c r="D1336" i="1"/>
  <c r="A1337" i="1"/>
  <c r="D1337" i="1"/>
  <c r="A1338" i="1"/>
  <c r="D1338" i="1"/>
  <c r="A1339" i="1"/>
  <c r="D1339" i="1"/>
  <c r="A1340" i="1"/>
  <c r="D1340" i="1"/>
  <c r="A1341" i="1"/>
  <c r="D1341" i="1"/>
  <c r="A1342" i="1"/>
  <c r="D1342" i="1"/>
  <c r="A1343" i="1"/>
  <c r="D1343" i="1"/>
  <c r="A1344" i="1"/>
  <c r="D1344" i="1"/>
  <c r="A1345" i="1"/>
  <c r="D1345" i="1"/>
  <c r="A1346" i="1"/>
  <c r="D1346" i="1"/>
  <c r="A1347" i="1"/>
  <c r="D1347" i="1"/>
  <c r="A1348" i="1"/>
  <c r="D1348" i="1"/>
  <c r="A1349" i="1"/>
  <c r="D1349" i="1"/>
  <c r="A1350" i="1"/>
  <c r="D1350" i="1"/>
  <c r="A1351" i="1"/>
  <c r="D1351" i="1"/>
  <c r="A1352" i="1"/>
  <c r="D1352" i="1"/>
  <c r="A1353" i="1"/>
  <c r="D1353" i="1"/>
  <c r="A1354" i="1"/>
  <c r="D1354" i="1"/>
  <c r="A1355" i="1"/>
  <c r="D1355" i="1"/>
  <c r="A1356" i="1"/>
  <c r="D1356" i="1"/>
  <c r="A1357" i="1"/>
  <c r="D1357" i="1"/>
  <c r="A1358" i="1"/>
  <c r="D1358" i="1"/>
  <c r="A1359" i="1"/>
  <c r="D1359" i="1"/>
  <c r="A1360" i="1"/>
  <c r="D1360" i="1"/>
  <c r="A1361" i="1"/>
  <c r="D1361" i="1"/>
  <c r="A1362" i="1"/>
  <c r="D1362" i="1"/>
  <c r="A1363" i="1"/>
  <c r="D1363" i="1"/>
  <c r="A1364" i="1"/>
  <c r="D1364" i="1"/>
  <c r="A1365" i="1"/>
  <c r="D1365" i="1"/>
  <c r="A1366" i="1"/>
  <c r="D1366" i="1"/>
  <c r="A1367" i="1"/>
  <c r="D1367" i="1"/>
  <c r="A1368" i="1"/>
  <c r="D1368" i="1"/>
  <c r="A1369" i="1"/>
  <c r="D1369" i="1"/>
  <c r="A1370" i="1"/>
  <c r="D1370" i="1"/>
  <c r="A1371" i="1"/>
  <c r="D1371" i="1"/>
  <c r="A1372" i="1"/>
  <c r="D1372" i="1"/>
  <c r="A1373" i="1"/>
  <c r="D1373" i="1"/>
  <c r="A1374" i="1"/>
  <c r="D1374" i="1"/>
  <c r="A1375" i="1"/>
  <c r="D1375" i="1"/>
  <c r="A1376" i="1"/>
  <c r="D1376" i="1"/>
  <c r="A1377" i="1"/>
  <c r="D1377" i="1"/>
  <c r="A1378" i="1"/>
  <c r="D1378" i="1"/>
  <c r="A1379" i="1"/>
  <c r="D1379" i="1"/>
  <c r="A1380" i="1"/>
  <c r="D1380" i="1"/>
  <c r="A1381" i="1"/>
  <c r="D1381" i="1"/>
  <c r="A1382" i="1"/>
  <c r="D1382" i="1"/>
  <c r="E1382" i="1"/>
  <c r="A1383" i="1"/>
  <c r="D1383" i="1"/>
  <c r="A1384" i="1"/>
  <c r="D1384" i="1"/>
  <c r="A1385" i="1"/>
  <c r="D1385" i="1"/>
  <c r="A1386" i="1"/>
  <c r="D1386" i="1"/>
  <c r="A1387" i="1"/>
  <c r="D1387" i="1"/>
  <c r="A1388" i="1"/>
  <c r="D1388" i="1"/>
  <c r="A1389" i="1"/>
  <c r="D1389" i="1"/>
  <c r="A1390" i="1"/>
  <c r="D1390" i="1"/>
  <c r="A1391" i="1"/>
  <c r="D1391" i="1"/>
  <c r="A1392" i="1"/>
  <c r="D1392" i="1"/>
  <c r="A1393" i="1"/>
  <c r="D1393" i="1"/>
  <c r="A1394" i="1"/>
  <c r="D1394" i="1"/>
  <c r="A1395" i="1"/>
  <c r="D1395" i="1"/>
  <c r="A1396" i="1"/>
  <c r="D1396" i="1"/>
  <c r="A1397" i="1"/>
  <c r="D1397" i="1"/>
  <c r="A1398" i="1"/>
  <c r="D1398" i="1"/>
  <c r="A1399" i="1"/>
  <c r="D1399" i="1"/>
  <c r="A1400" i="1"/>
  <c r="D1400" i="1"/>
  <c r="A1401" i="1"/>
  <c r="D1401" i="1"/>
  <c r="A1402" i="1"/>
  <c r="D1402" i="1"/>
  <c r="A1403" i="1"/>
  <c r="D1403" i="1"/>
  <c r="A1404" i="1"/>
  <c r="D1404" i="1"/>
  <c r="A1405" i="1"/>
  <c r="D1405" i="1"/>
  <c r="A1406" i="1"/>
  <c r="D1406" i="1"/>
  <c r="A1407" i="1"/>
  <c r="D1407" i="1"/>
  <c r="A1408" i="1"/>
  <c r="D1408" i="1"/>
  <c r="A1409" i="1"/>
  <c r="D1409" i="1"/>
  <c r="A1410" i="1"/>
  <c r="D1410" i="1"/>
  <c r="A1411" i="1"/>
  <c r="D1411" i="1"/>
  <c r="A1412" i="1"/>
  <c r="D1412" i="1"/>
  <c r="A1413" i="1"/>
  <c r="D1413" i="1"/>
  <c r="A1414" i="1"/>
  <c r="D1414" i="1"/>
  <c r="A1415" i="1"/>
  <c r="D1415" i="1"/>
  <c r="A1416" i="1"/>
  <c r="D1416" i="1"/>
  <c r="A1417" i="1"/>
  <c r="D1417" i="1"/>
  <c r="A1418" i="1"/>
  <c r="D1418" i="1"/>
  <c r="A1419" i="1"/>
  <c r="D1419" i="1"/>
  <c r="A1420" i="1"/>
  <c r="D1420" i="1"/>
  <c r="A1421" i="1"/>
  <c r="D1421" i="1"/>
  <c r="A1422" i="1"/>
  <c r="D1422" i="1"/>
  <c r="A1423" i="1"/>
  <c r="D1423" i="1"/>
  <c r="A1424" i="1"/>
  <c r="D1424" i="1"/>
  <c r="A1425" i="1"/>
  <c r="D1425" i="1"/>
  <c r="A1426" i="1"/>
  <c r="D1426" i="1"/>
  <c r="A1427" i="1"/>
  <c r="D1427" i="1"/>
  <c r="A1428" i="1"/>
  <c r="D1428" i="1"/>
  <c r="A1429" i="1"/>
  <c r="D1429" i="1"/>
  <c r="A1430" i="1"/>
  <c r="D1430" i="1"/>
  <c r="A1431" i="1"/>
  <c r="D1431" i="1"/>
  <c r="A1432" i="1"/>
  <c r="D1432" i="1"/>
  <c r="A1433" i="1"/>
  <c r="D1433" i="1"/>
  <c r="A1434" i="1"/>
  <c r="D1434" i="1"/>
  <c r="A1435" i="1"/>
  <c r="D1435" i="1"/>
  <c r="A1436" i="1"/>
  <c r="D1436" i="1"/>
  <c r="A1437" i="1"/>
  <c r="D1437" i="1"/>
  <c r="A1438" i="1"/>
  <c r="D1438" i="1"/>
  <c r="A1439" i="1"/>
  <c r="D1439" i="1"/>
  <c r="A1440" i="1"/>
  <c r="D1440" i="1"/>
  <c r="A1441" i="1"/>
  <c r="D1441" i="1"/>
  <c r="A1442" i="1"/>
  <c r="D1442" i="1"/>
  <c r="A1443" i="1"/>
  <c r="D1443" i="1"/>
  <c r="A1444" i="1"/>
  <c r="D1444" i="1"/>
  <c r="A1445" i="1"/>
  <c r="D1445" i="1"/>
  <c r="A1446" i="1"/>
  <c r="D1446" i="1"/>
  <c r="A1447" i="1"/>
  <c r="D1447" i="1"/>
  <c r="A1448" i="1"/>
  <c r="D1448" i="1"/>
  <c r="A1449" i="1"/>
  <c r="D1449" i="1"/>
  <c r="A1450" i="1"/>
  <c r="D1450" i="1"/>
  <c r="A1451" i="1"/>
  <c r="D1451" i="1"/>
  <c r="A1452" i="1"/>
  <c r="D1452" i="1"/>
  <c r="A1453" i="1"/>
  <c r="D1453" i="1"/>
  <c r="A1454" i="1"/>
  <c r="D1454" i="1"/>
  <c r="A1455" i="1"/>
  <c r="D1455" i="1"/>
  <c r="A1456" i="1"/>
  <c r="D1456" i="1"/>
  <c r="A1457" i="1"/>
  <c r="D1457" i="1"/>
  <c r="A1458" i="1"/>
  <c r="D1458" i="1"/>
  <c r="A1459" i="1"/>
  <c r="D1459" i="1"/>
  <c r="A1460" i="1"/>
  <c r="D1460" i="1"/>
  <c r="A1461" i="1"/>
  <c r="D1461" i="1"/>
  <c r="A1462" i="1"/>
  <c r="D1462" i="1"/>
  <c r="A1463" i="1"/>
  <c r="D1463" i="1"/>
  <c r="A1464" i="1"/>
  <c r="D1464" i="1"/>
  <c r="A1465" i="1"/>
  <c r="D1465" i="1"/>
  <c r="A1466" i="1"/>
  <c r="D1466" i="1"/>
  <c r="A1467" i="1"/>
  <c r="D1467" i="1"/>
  <c r="A1468" i="1"/>
  <c r="D1468" i="1"/>
  <c r="A1469" i="1"/>
  <c r="D1469" i="1"/>
  <c r="A1470" i="1"/>
  <c r="D1470" i="1"/>
  <c r="A1471" i="1"/>
  <c r="D1471" i="1"/>
  <c r="A1472" i="1"/>
  <c r="D1472" i="1"/>
  <c r="A1473" i="1"/>
  <c r="D1473" i="1"/>
  <c r="A1474" i="1"/>
  <c r="D1474" i="1"/>
  <c r="A1475" i="1"/>
  <c r="D1475" i="1"/>
  <c r="A1476" i="1"/>
  <c r="D1476" i="1"/>
  <c r="A1477" i="1"/>
  <c r="D1477" i="1"/>
  <c r="A1478" i="1"/>
  <c r="D1478" i="1"/>
  <c r="A1479" i="1"/>
  <c r="D1479" i="1"/>
  <c r="A1480" i="1"/>
  <c r="D1480" i="1"/>
  <c r="A1481" i="1"/>
  <c r="D1481" i="1"/>
  <c r="A1482" i="1"/>
  <c r="D1482" i="1"/>
  <c r="A1483" i="1"/>
  <c r="D1483" i="1"/>
  <c r="A1484" i="1"/>
  <c r="D1484" i="1"/>
  <c r="A1485" i="1"/>
  <c r="D1485" i="1"/>
  <c r="A1486" i="1"/>
  <c r="D1486" i="1"/>
  <c r="A1487" i="1"/>
  <c r="D1487" i="1"/>
  <c r="A1488" i="1"/>
  <c r="D1488" i="1"/>
  <c r="A1489" i="1"/>
  <c r="D1489" i="1"/>
  <c r="A1490" i="1"/>
  <c r="D1490" i="1"/>
  <c r="A1491" i="1"/>
  <c r="D1491" i="1"/>
  <c r="A1492" i="1"/>
  <c r="D1492" i="1"/>
  <c r="A1493" i="1"/>
  <c r="D1493" i="1"/>
  <c r="A1494" i="1"/>
  <c r="D1494" i="1"/>
  <c r="A1495" i="1"/>
  <c r="D1495" i="1"/>
  <c r="A1496" i="1"/>
  <c r="D1496" i="1"/>
  <c r="A1497" i="1"/>
  <c r="D1497" i="1"/>
  <c r="A1498" i="1"/>
  <c r="D1498" i="1"/>
  <c r="A1499" i="1"/>
  <c r="D1499" i="1"/>
  <c r="A1500" i="1"/>
  <c r="D1500" i="1"/>
  <c r="A1501" i="1"/>
  <c r="D1501" i="1"/>
  <c r="A1502" i="1"/>
  <c r="D1502" i="1"/>
  <c r="A1503" i="1"/>
  <c r="D1503" i="1"/>
  <c r="A1504" i="1"/>
  <c r="D1504" i="1"/>
  <c r="A1505" i="1"/>
  <c r="D1505" i="1"/>
  <c r="A1506" i="1"/>
  <c r="D1506" i="1"/>
  <c r="A1507" i="1"/>
  <c r="D1507" i="1"/>
  <c r="A1508" i="1"/>
  <c r="D1508" i="1"/>
  <c r="A1509" i="1"/>
  <c r="D1509" i="1"/>
  <c r="A1510" i="1"/>
  <c r="D1510" i="1"/>
  <c r="A1511" i="1"/>
  <c r="D1511" i="1"/>
  <c r="A1512" i="1"/>
  <c r="D1512" i="1"/>
  <c r="A1513" i="1"/>
  <c r="D1513" i="1"/>
  <c r="A1514" i="1"/>
  <c r="D1514" i="1"/>
  <c r="A1515" i="1"/>
  <c r="D1515" i="1"/>
  <c r="A1516" i="1"/>
  <c r="D1516" i="1"/>
  <c r="A1517" i="1"/>
  <c r="D1517" i="1"/>
  <c r="A1518" i="1"/>
  <c r="D1518" i="1"/>
  <c r="A1519" i="1"/>
  <c r="D1519" i="1"/>
  <c r="A1520" i="1"/>
  <c r="D1520" i="1"/>
  <c r="A1521" i="1"/>
  <c r="D1521" i="1"/>
  <c r="A1522" i="1"/>
  <c r="D1522" i="1"/>
  <c r="A1523" i="1"/>
  <c r="D1523" i="1"/>
  <c r="A1524" i="1"/>
  <c r="D1524" i="1"/>
  <c r="A1525" i="1"/>
  <c r="D1525" i="1"/>
  <c r="A1526" i="1"/>
  <c r="D1526" i="1"/>
  <c r="A1527" i="1"/>
  <c r="D1527" i="1"/>
  <c r="A1528" i="1"/>
  <c r="D1528" i="1"/>
  <c r="A1529" i="1"/>
  <c r="D1529" i="1"/>
  <c r="A1530" i="1"/>
  <c r="D1530" i="1"/>
  <c r="A1531" i="1"/>
  <c r="D1531" i="1"/>
  <c r="A1532" i="1"/>
  <c r="D1532" i="1"/>
  <c r="A1533" i="1"/>
  <c r="D1533" i="1"/>
  <c r="A1534" i="1"/>
  <c r="D1534" i="1"/>
  <c r="A1535" i="1"/>
  <c r="D1535" i="1"/>
  <c r="A1536" i="1"/>
  <c r="D1536" i="1"/>
  <c r="A1537" i="1"/>
  <c r="D1537" i="1"/>
  <c r="A1538" i="1"/>
  <c r="D1538" i="1"/>
  <c r="A1539" i="1"/>
  <c r="D1539" i="1"/>
  <c r="A1540" i="1"/>
  <c r="D1540" i="1"/>
  <c r="A1541" i="1"/>
  <c r="D1541" i="1"/>
  <c r="A1542" i="1"/>
  <c r="D1542" i="1"/>
  <c r="A1543" i="1"/>
  <c r="D1543" i="1"/>
  <c r="A1544" i="1"/>
  <c r="D1544" i="1"/>
  <c r="A1545" i="1"/>
  <c r="D1545" i="1"/>
  <c r="A1546" i="1"/>
  <c r="D1546" i="1"/>
  <c r="A1547" i="1"/>
  <c r="D1547" i="1"/>
  <c r="A1548" i="1"/>
  <c r="D1548" i="1"/>
  <c r="A1549" i="1"/>
  <c r="D1549" i="1"/>
  <c r="A1550" i="1"/>
  <c r="D1550" i="1"/>
  <c r="A1551" i="1"/>
  <c r="D1551" i="1"/>
  <c r="A1552" i="1"/>
  <c r="D1552" i="1"/>
  <c r="A1553" i="1"/>
  <c r="D1553" i="1"/>
  <c r="A1554" i="1"/>
  <c r="D1554" i="1"/>
  <c r="A1555" i="1"/>
  <c r="D1555" i="1"/>
  <c r="A1556" i="1"/>
  <c r="D1556" i="1"/>
  <c r="A1557" i="1"/>
  <c r="D1557" i="1"/>
  <c r="A1558" i="1"/>
  <c r="D1558" i="1"/>
  <c r="A1559" i="1"/>
  <c r="D1559" i="1"/>
  <c r="A1560" i="1"/>
  <c r="D1560" i="1"/>
  <c r="A1561" i="1"/>
  <c r="D1561" i="1"/>
  <c r="A1562" i="1"/>
  <c r="D1562" i="1"/>
  <c r="A1563" i="1"/>
  <c r="D1563" i="1"/>
  <c r="A1564" i="1"/>
  <c r="D1564" i="1"/>
  <c r="A1565" i="1"/>
  <c r="D1565" i="1"/>
  <c r="A1566" i="1"/>
  <c r="D1566" i="1"/>
  <c r="A1567" i="1"/>
  <c r="D1567" i="1"/>
  <c r="A1568" i="1"/>
  <c r="D1568" i="1"/>
  <c r="A1569" i="1"/>
  <c r="D1569" i="1"/>
  <c r="A1570" i="1"/>
  <c r="D1570" i="1"/>
  <c r="A1571" i="1"/>
  <c r="D1571" i="1"/>
  <c r="A1572" i="1"/>
  <c r="D1572" i="1"/>
  <c r="A1573" i="1"/>
  <c r="D1573" i="1"/>
  <c r="A1574" i="1"/>
  <c r="D1574" i="1"/>
  <c r="A1575" i="1"/>
  <c r="D1575" i="1"/>
  <c r="A1576" i="1"/>
  <c r="D1576" i="1"/>
  <c r="A1577" i="1"/>
  <c r="D1577" i="1"/>
  <c r="A1578" i="1"/>
  <c r="D1578" i="1"/>
  <c r="A1579" i="1"/>
  <c r="D1579" i="1"/>
  <c r="A1580" i="1"/>
  <c r="D1580" i="1"/>
  <c r="A1581" i="1"/>
  <c r="D1581" i="1"/>
  <c r="A1582" i="1"/>
  <c r="D1582" i="1"/>
  <c r="A1583" i="1"/>
  <c r="D1583" i="1"/>
  <c r="A1584" i="1"/>
  <c r="D1584" i="1"/>
  <c r="A1585" i="1"/>
  <c r="D1585" i="1"/>
  <c r="A1586" i="1"/>
  <c r="D1586" i="1"/>
  <c r="A1587" i="1"/>
  <c r="D1587" i="1"/>
  <c r="A1588" i="1"/>
  <c r="D1588" i="1"/>
  <c r="A1589" i="1"/>
  <c r="D1589" i="1"/>
  <c r="A1590" i="1"/>
  <c r="D1590" i="1"/>
  <c r="A1591" i="1"/>
  <c r="D1591" i="1"/>
  <c r="A1592" i="1"/>
  <c r="D1592" i="1"/>
  <c r="A1593" i="1"/>
  <c r="D1593" i="1"/>
  <c r="A1594" i="1"/>
  <c r="D1594" i="1"/>
  <c r="A1595" i="1"/>
  <c r="D1595" i="1"/>
  <c r="A1596" i="1"/>
  <c r="D1596" i="1"/>
  <c r="A1597" i="1"/>
  <c r="D1597" i="1"/>
  <c r="A1598" i="1"/>
  <c r="D1598" i="1"/>
  <c r="A1599" i="1"/>
  <c r="D1599" i="1"/>
  <c r="A1600" i="1"/>
  <c r="D1600" i="1"/>
  <c r="A1601" i="1"/>
  <c r="D1601" i="1"/>
  <c r="A1602" i="1"/>
  <c r="D1602" i="1"/>
  <c r="A1603" i="1"/>
  <c r="D1603" i="1"/>
  <c r="A1604" i="1"/>
  <c r="D1604" i="1"/>
  <c r="A1605" i="1"/>
  <c r="D1605" i="1"/>
  <c r="A1606" i="1"/>
  <c r="D1606" i="1"/>
  <c r="A1607" i="1"/>
  <c r="D1607" i="1"/>
  <c r="A1608" i="1"/>
  <c r="D1608" i="1"/>
  <c r="A1609" i="1"/>
  <c r="D1609" i="1"/>
  <c r="A1610" i="1"/>
  <c r="D1610" i="1"/>
  <c r="A1611" i="1"/>
  <c r="D1611" i="1"/>
  <c r="A1612" i="1"/>
  <c r="D1612" i="1"/>
  <c r="A1613" i="1"/>
  <c r="D1613" i="1"/>
  <c r="A1614" i="1"/>
  <c r="D1614" i="1"/>
  <c r="A1615" i="1"/>
  <c r="D1615" i="1"/>
  <c r="A1616" i="1"/>
  <c r="D1616" i="1"/>
  <c r="A1617" i="1"/>
  <c r="D1617" i="1"/>
  <c r="A1618" i="1"/>
  <c r="D1618" i="1"/>
  <c r="A1619" i="1"/>
  <c r="D1619" i="1"/>
  <c r="A1620" i="1"/>
  <c r="D1620" i="1"/>
  <c r="A1621" i="1"/>
  <c r="D1621" i="1"/>
  <c r="A1622" i="1"/>
  <c r="D1622" i="1"/>
  <c r="A1623" i="1"/>
  <c r="D1623" i="1"/>
  <c r="A1624" i="1"/>
  <c r="D1624" i="1"/>
  <c r="A1625" i="1"/>
  <c r="D1625" i="1"/>
  <c r="A1626" i="1"/>
  <c r="D1626" i="1"/>
  <c r="A1627" i="1"/>
  <c r="D1627" i="1"/>
  <c r="A1628" i="1"/>
  <c r="D1628" i="1"/>
  <c r="A1629" i="1"/>
  <c r="D1629" i="1"/>
  <c r="A1630" i="1"/>
  <c r="D1630" i="1"/>
  <c r="A1631" i="1"/>
  <c r="D1631" i="1"/>
  <c r="A1632" i="1"/>
  <c r="D1632" i="1"/>
  <c r="A1633" i="1"/>
  <c r="D1633" i="1"/>
  <c r="A1634" i="1"/>
  <c r="D1634" i="1"/>
  <c r="A1635" i="1"/>
  <c r="D1635" i="1"/>
  <c r="A1636" i="1"/>
  <c r="D1636" i="1"/>
  <c r="A1637" i="1"/>
  <c r="D1637" i="1"/>
  <c r="A1638" i="1"/>
  <c r="D1638" i="1"/>
  <c r="A1639" i="1"/>
  <c r="D1639" i="1"/>
  <c r="A1640" i="1"/>
  <c r="D1640" i="1"/>
  <c r="A1641" i="1"/>
  <c r="D1641" i="1"/>
  <c r="A1642" i="1"/>
  <c r="D1642" i="1"/>
  <c r="A1643" i="1"/>
  <c r="D1643" i="1"/>
  <c r="A1644" i="1"/>
  <c r="D1644" i="1"/>
  <c r="A1645" i="1"/>
  <c r="D1645" i="1"/>
  <c r="A1646" i="1"/>
  <c r="D1646" i="1"/>
  <c r="A1647" i="1"/>
  <c r="D1647" i="1"/>
  <c r="A1648" i="1"/>
  <c r="D1648" i="1"/>
  <c r="A1649" i="1"/>
  <c r="D1649" i="1"/>
  <c r="A1650" i="1"/>
  <c r="D1650" i="1"/>
  <c r="A1651" i="1"/>
  <c r="D1651" i="1"/>
  <c r="A1652" i="1"/>
  <c r="D1652" i="1"/>
  <c r="A1653" i="1"/>
  <c r="D1653" i="1"/>
  <c r="A1654" i="1"/>
  <c r="D1654" i="1"/>
  <c r="A1655" i="1"/>
  <c r="D1655" i="1"/>
  <c r="A1656" i="1"/>
  <c r="D1656" i="1"/>
  <c r="A1657" i="1"/>
  <c r="D1657" i="1"/>
  <c r="A1658" i="1"/>
  <c r="D1658" i="1"/>
  <c r="A1659" i="1"/>
  <c r="D1659" i="1"/>
  <c r="A1660" i="1"/>
  <c r="D1660" i="1"/>
  <c r="A1661" i="1"/>
  <c r="D1661" i="1"/>
  <c r="A1662" i="1"/>
  <c r="D1662" i="1"/>
  <c r="A1663" i="1"/>
  <c r="D1663" i="1"/>
  <c r="A1664" i="1"/>
  <c r="D1664" i="1"/>
  <c r="A1665" i="1"/>
  <c r="D1665" i="1"/>
  <c r="A1666" i="1"/>
  <c r="D1666" i="1"/>
  <c r="A1667" i="1"/>
  <c r="D1667" i="1"/>
  <c r="A1668" i="1"/>
  <c r="D1668" i="1"/>
  <c r="A1669" i="1"/>
  <c r="D1669" i="1"/>
  <c r="A1670" i="1"/>
  <c r="D1670" i="1"/>
  <c r="A1671" i="1"/>
  <c r="D1671" i="1"/>
  <c r="A1672" i="1"/>
  <c r="D1672" i="1"/>
  <c r="A1673" i="1"/>
  <c r="D1673" i="1"/>
  <c r="A1674" i="1"/>
  <c r="D1674" i="1"/>
  <c r="A1675" i="1"/>
  <c r="D1675" i="1"/>
  <c r="A1676" i="1"/>
  <c r="D1676" i="1"/>
  <c r="A1677" i="1"/>
  <c r="D1677" i="1"/>
  <c r="A1678" i="1"/>
  <c r="D1678" i="1"/>
  <c r="A1679" i="1"/>
  <c r="D1679" i="1"/>
  <c r="A1680" i="1"/>
  <c r="D1680" i="1"/>
  <c r="A1681" i="1"/>
  <c r="D1681" i="1"/>
  <c r="A1682" i="1"/>
  <c r="D1682" i="1"/>
  <c r="A1683" i="1"/>
  <c r="D1683" i="1"/>
  <c r="A1684" i="1"/>
  <c r="D1684" i="1"/>
  <c r="A1685" i="1"/>
  <c r="D1685" i="1"/>
  <c r="A1686" i="1"/>
  <c r="D1686" i="1"/>
  <c r="A1687" i="1"/>
  <c r="D1687" i="1"/>
  <c r="A1688" i="1"/>
  <c r="D1688" i="1"/>
  <c r="A1689" i="1"/>
  <c r="D1689" i="1"/>
  <c r="A1690" i="1"/>
  <c r="D1690" i="1"/>
  <c r="A1691" i="1"/>
  <c r="D1691" i="1"/>
  <c r="A1692" i="1"/>
  <c r="D1692" i="1"/>
  <c r="A1693" i="1"/>
  <c r="D1693" i="1"/>
  <c r="A1694" i="1"/>
  <c r="D1694" i="1"/>
  <c r="A1695" i="1"/>
  <c r="D1695" i="1"/>
  <c r="A1696" i="1"/>
  <c r="D1696" i="1"/>
  <c r="A1697" i="1"/>
  <c r="D1697" i="1"/>
  <c r="A1698" i="1"/>
  <c r="D1698" i="1"/>
  <c r="A1699" i="1"/>
  <c r="D1699" i="1"/>
  <c r="A1700" i="1"/>
  <c r="D1700" i="1"/>
  <c r="A1701" i="1"/>
  <c r="D1701" i="1"/>
  <c r="A1702" i="1"/>
  <c r="D1702" i="1"/>
  <c r="A1703" i="1"/>
  <c r="D1703" i="1"/>
  <c r="A1704" i="1"/>
  <c r="D1704" i="1"/>
  <c r="A1705" i="1"/>
  <c r="D1705" i="1"/>
  <c r="A1706" i="1"/>
  <c r="D1706" i="1"/>
  <c r="A1707" i="1"/>
  <c r="D1707" i="1"/>
  <c r="A1708" i="1"/>
  <c r="D1708" i="1"/>
  <c r="A1709" i="1"/>
  <c r="D1709" i="1"/>
  <c r="A1710" i="1"/>
  <c r="D1710" i="1"/>
  <c r="A1711" i="1"/>
  <c r="D1711" i="1"/>
  <c r="A1712" i="1"/>
  <c r="D1712" i="1"/>
  <c r="A1713" i="1"/>
  <c r="D1713" i="1"/>
  <c r="A1714" i="1"/>
  <c r="D1714" i="1"/>
  <c r="A1715" i="1"/>
  <c r="D1715" i="1"/>
  <c r="A1716" i="1"/>
  <c r="D1716" i="1"/>
  <c r="A1717" i="1"/>
  <c r="D1717" i="1"/>
  <c r="A1718" i="1"/>
  <c r="D1718" i="1"/>
  <c r="A1719" i="1"/>
  <c r="D1719" i="1"/>
  <c r="A1720" i="1"/>
  <c r="D1720" i="1"/>
  <c r="A1721" i="1"/>
  <c r="D1721" i="1"/>
  <c r="A1722" i="1"/>
  <c r="D1722" i="1"/>
  <c r="A1723" i="1"/>
  <c r="D1723" i="1"/>
  <c r="A1724" i="1"/>
  <c r="D1724" i="1"/>
  <c r="A1725" i="1"/>
  <c r="D1725" i="1"/>
  <c r="A1726" i="1"/>
  <c r="D1726" i="1"/>
  <c r="A1727" i="1"/>
  <c r="D1727" i="1"/>
  <c r="A1728" i="1"/>
  <c r="D1728" i="1"/>
  <c r="A1729" i="1"/>
  <c r="D1729" i="1"/>
  <c r="A1730" i="1"/>
  <c r="D1730" i="1"/>
  <c r="A1731" i="1"/>
  <c r="D1731" i="1"/>
  <c r="A1732" i="1"/>
  <c r="D1732" i="1"/>
  <c r="A1733" i="1"/>
  <c r="D1733" i="1"/>
  <c r="A1734" i="1"/>
  <c r="D1734" i="1"/>
  <c r="A1735" i="1"/>
  <c r="D1735" i="1"/>
  <c r="A1736" i="1"/>
  <c r="D1736" i="1"/>
  <c r="A1737" i="1"/>
  <c r="D1737" i="1"/>
  <c r="A1738" i="1"/>
  <c r="D1738" i="1"/>
  <c r="A1739" i="1"/>
  <c r="D1739" i="1"/>
  <c r="A1740" i="1"/>
  <c r="D1740" i="1"/>
  <c r="A1741" i="1"/>
  <c r="D1741" i="1"/>
  <c r="A1742" i="1"/>
  <c r="D1742" i="1"/>
  <c r="A1743" i="1"/>
  <c r="D1743" i="1"/>
  <c r="A1744" i="1"/>
  <c r="D1744" i="1"/>
  <c r="A1745" i="1"/>
  <c r="D1745" i="1"/>
  <c r="A1746" i="1"/>
  <c r="D1746" i="1"/>
  <c r="A1747" i="1"/>
  <c r="D1747" i="1"/>
  <c r="A1748" i="1"/>
  <c r="D1748" i="1"/>
  <c r="A1749" i="1"/>
  <c r="D1749" i="1"/>
  <c r="A1750" i="1"/>
  <c r="D1750" i="1"/>
  <c r="A1751" i="1"/>
  <c r="D1751" i="1"/>
  <c r="A1752" i="1"/>
  <c r="D1752" i="1"/>
  <c r="A1753" i="1"/>
  <c r="D1753" i="1"/>
  <c r="A1754" i="1"/>
  <c r="D1754" i="1"/>
  <c r="A1755" i="1"/>
  <c r="D1755" i="1"/>
  <c r="A1756" i="1"/>
  <c r="D1756" i="1"/>
  <c r="A1757" i="1"/>
  <c r="D1757" i="1"/>
  <c r="A1758" i="1"/>
  <c r="D1758" i="1"/>
  <c r="A1759" i="1"/>
  <c r="D1759" i="1"/>
  <c r="A1760" i="1"/>
  <c r="D1760" i="1"/>
  <c r="A1761" i="1"/>
  <c r="D1761" i="1"/>
  <c r="A1762" i="1"/>
  <c r="D1762" i="1"/>
  <c r="A1763" i="1"/>
  <c r="D1763" i="1"/>
  <c r="A1764" i="1"/>
  <c r="D1764" i="1"/>
  <c r="A1765" i="1"/>
  <c r="D1765" i="1"/>
  <c r="A1766" i="1"/>
  <c r="D1766" i="1"/>
  <c r="A1767" i="1"/>
  <c r="D1767" i="1"/>
  <c r="A1768" i="1"/>
  <c r="D1768" i="1"/>
  <c r="A1769" i="1"/>
  <c r="D1769" i="1"/>
  <c r="A1770" i="1"/>
  <c r="D1770" i="1"/>
  <c r="A1771" i="1"/>
  <c r="D1771" i="1"/>
  <c r="A1772" i="1"/>
  <c r="D1772" i="1"/>
  <c r="A1773" i="1"/>
  <c r="D1773" i="1"/>
  <c r="A1774" i="1"/>
  <c r="D1774" i="1"/>
  <c r="A1775" i="1"/>
  <c r="D1775" i="1"/>
  <c r="A1776" i="1"/>
  <c r="D1776" i="1"/>
  <c r="A1777" i="1"/>
  <c r="D1777" i="1"/>
  <c r="A1778" i="1"/>
  <c r="D1778" i="1"/>
  <c r="A1779" i="1"/>
  <c r="D1779" i="1"/>
  <c r="A1780" i="1"/>
  <c r="D1780" i="1"/>
  <c r="A1781" i="1"/>
  <c r="D1781" i="1"/>
  <c r="A1782" i="1"/>
  <c r="D1782" i="1"/>
  <c r="A1783" i="1"/>
  <c r="D1783" i="1"/>
  <c r="A1784" i="1"/>
  <c r="D1784" i="1"/>
  <c r="A1785" i="1"/>
  <c r="D1785" i="1"/>
  <c r="A1786" i="1"/>
  <c r="D1786" i="1"/>
  <c r="A1787" i="1"/>
  <c r="D1787" i="1"/>
  <c r="A1788" i="1"/>
  <c r="D1788" i="1"/>
  <c r="A1789" i="1"/>
  <c r="D1789" i="1"/>
  <c r="A1790" i="1"/>
  <c r="D1790" i="1"/>
  <c r="A1791" i="1"/>
  <c r="D1791" i="1"/>
  <c r="A1792" i="1"/>
  <c r="D1792" i="1"/>
  <c r="A1793" i="1"/>
  <c r="D1793" i="1"/>
  <c r="A1794" i="1"/>
  <c r="D1794" i="1"/>
  <c r="A1795" i="1"/>
  <c r="D1795" i="1"/>
  <c r="A1796" i="1"/>
  <c r="D1796" i="1"/>
  <c r="A1797" i="1"/>
  <c r="D1797" i="1"/>
  <c r="A1798" i="1"/>
  <c r="D1798" i="1"/>
  <c r="A1799" i="1"/>
  <c r="D1799" i="1"/>
  <c r="A1800" i="1"/>
  <c r="D1800" i="1"/>
  <c r="A1801" i="1"/>
  <c r="D1801" i="1"/>
  <c r="A1802" i="1"/>
  <c r="D1802" i="1"/>
  <c r="A1803" i="1"/>
  <c r="D1803" i="1"/>
  <c r="A1804" i="1"/>
  <c r="D1804" i="1"/>
  <c r="A1805" i="1"/>
  <c r="D1805" i="1"/>
  <c r="A1806" i="1"/>
  <c r="D1806" i="1"/>
  <c r="A1807" i="1"/>
  <c r="D1807" i="1"/>
  <c r="A1808" i="1"/>
  <c r="D1808" i="1"/>
  <c r="A1809" i="1"/>
  <c r="D1809" i="1"/>
  <c r="A1810" i="1"/>
  <c r="D1810" i="1"/>
  <c r="A1811" i="1"/>
  <c r="D1811" i="1"/>
  <c r="A1812" i="1"/>
  <c r="D1812" i="1"/>
  <c r="A1813" i="1"/>
  <c r="D1813" i="1"/>
  <c r="A1814" i="1"/>
  <c r="D1814" i="1"/>
  <c r="A1815" i="1"/>
  <c r="D1815" i="1"/>
  <c r="A1816" i="1"/>
  <c r="D1816" i="1"/>
  <c r="A1817" i="1"/>
  <c r="D1817" i="1"/>
  <c r="A1818" i="1"/>
  <c r="D1818" i="1"/>
  <c r="A1819" i="1"/>
  <c r="D1819" i="1"/>
  <c r="A1820" i="1"/>
  <c r="D1820" i="1"/>
  <c r="A1821" i="1"/>
  <c r="D1821" i="1"/>
  <c r="A1822" i="1"/>
  <c r="D1822" i="1"/>
  <c r="A1823" i="1"/>
  <c r="D1823" i="1"/>
  <c r="A1824" i="1"/>
  <c r="D1824" i="1"/>
  <c r="A1825" i="1"/>
  <c r="D1825" i="1"/>
  <c r="A1826" i="1"/>
  <c r="D1826" i="1"/>
  <c r="A1827" i="1"/>
  <c r="D1827" i="1"/>
  <c r="A1828" i="1"/>
  <c r="D1828" i="1"/>
  <c r="A1829" i="1"/>
  <c r="D1829" i="1"/>
  <c r="A1830" i="1"/>
  <c r="D1830" i="1"/>
  <c r="A1831" i="1"/>
  <c r="D1831" i="1"/>
  <c r="A1832" i="1"/>
  <c r="D1832" i="1"/>
  <c r="A1833" i="1"/>
  <c r="D1833" i="1"/>
  <c r="A1834" i="1"/>
  <c r="D1834" i="1"/>
  <c r="A1835" i="1"/>
  <c r="D1835" i="1"/>
  <c r="A1836" i="1"/>
  <c r="D1836" i="1"/>
  <c r="A1837" i="1"/>
  <c r="D1837" i="1"/>
  <c r="A1838" i="1"/>
  <c r="D1838" i="1"/>
  <c r="A1839" i="1"/>
  <c r="D1839" i="1"/>
  <c r="A1840" i="1"/>
  <c r="D1840" i="1"/>
  <c r="A1841" i="1"/>
  <c r="D1841" i="1"/>
  <c r="A1842" i="1"/>
  <c r="D1842" i="1"/>
  <c r="A1843" i="1"/>
  <c r="D1843" i="1"/>
  <c r="A1844" i="1"/>
  <c r="D1844" i="1"/>
  <c r="A1845" i="1"/>
  <c r="D1845" i="1"/>
  <c r="A1846" i="1"/>
  <c r="D1846" i="1"/>
  <c r="A1847" i="1"/>
  <c r="D1847" i="1"/>
  <c r="A1848" i="1"/>
  <c r="D1848" i="1"/>
  <c r="A1849" i="1"/>
  <c r="D1849" i="1"/>
  <c r="A1850" i="1"/>
  <c r="D1850" i="1"/>
  <c r="A1851" i="1"/>
  <c r="D1851" i="1"/>
  <c r="A1852" i="1"/>
  <c r="D1852" i="1"/>
  <c r="A1853" i="1"/>
  <c r="D1853" i="1"/>
  <c r="A1854" i="1"/>
  <c r="D1854" i="1"/>
  <c r="A1855" i="1"/>
  <c r="D1855" i="1"/>
  <c r="A1856" i="1"/>
  <c r="D1856" i="1"/>
  <c r="A1857" i="1"/>
  <c r="D1857" i="1"/>
  <c r="A1858" i="1"/>
  <c r="D1858" i="1"/>
  <c r="A1859" i="1"/>
  <c r="D1859" i="1"/>
  <c r="A1860" i="1"/>
  <c r="D1860" i="1"/>
  <c r="A1861" i="1"/>
  <c r="D1861" i="1"/>
  <c r="A1862" i="1"/>
  <c r="D1862" i="1"/>
  <c r="A1863" i="1"/>
  <c r="D1863" i="1"/>
  <c r="A1864" i="1"/>
  <c r="D1864" i="1"/>
  <c r="A1865" i="1"/>
  <c r="D1865" i="1"/>
  <c r="A1866" i="1"/>
  <c r="D1866" i="1"/>
  <c r="A1867" i="1"/>
  <c r="D1867" i="1"/>
  <c r="A1868" i="1"/>
  <c r="D1868" i="1"/>
  <c r="A1869" i="1"/>
  <c r="D1869" i="1"/>
  <c r="A1870" i="1"/>
  <c r="D1870" i="1"/>
  <c r="A1871" i="1"/>
  <c r="D1871" i="1"/>
  <c r="A1872" i="1"/>
  <c r="D1872" i="1"/>
  <c r="A1873" i="1"/>
  <c r="D1873" i="1"/>
  <c r="A1874" i="1"/>
  <c r="D1874" i="1"/>
  <c r="A1875" i="1"/>
  <c r="D1875" i="1"/>
  <c r="A1876" i="1"/>
  <c r="D1876" i="1"/>
  <c r="A1877" i="1"/>
  <c r="D1877" i="1"/>
  <c r="A1878" i="1"/>
  <c r="D1878" i="1"/>
  <c r="A1879" i="1"/>
  <c r="D1879" i="1"/>
  <c r="A1880" i="1"/>
  <c r="D1880" i="1"/>
  <c r="A1881" i="1"/>
  <c r="D1881" i="1"/>
  <c r="A1882" i="1"/>
  <c r="D1882" i="1"/>
  <c r="A1883" i="1"/>
  <c r="D1883" i="1"/>
  <c r="A1884" i="1"/>
  <c r="D1884" i="1"/>
  <c r="A1885" i="1"/>
  <c r="D1885" i="1"/>
  <c r="A1886" i="1"/>
  <c r="D1886" i="1"/>
  <c r="A1887" i="1"/>
  <c r="D1887" i="1"/>
  <c r="A1888" i="1"/>
  <c r="D1888" i="1"/>
  <c r="A1889" i="1"/>
  <c r="D1889" i="1"/>
  <c r="A1890" i="1"/>
  <c r="D1890" i="1"/>
  <c r="A1891" i="1"/>
  <c r="D1891" i="1"/>
  <c r="A1892" i="1"/>
  <c r="D1892" i="1"/>
  <c r="A1893" i="1"/>
  <c r="D1893" i="1"/>
  <c r="A1894" i="1"/>
  <c r="D1894" i="1"/>
  <c r="A1895" i="1"/>
  <c r="D1895" i="1"/>
  <c r="A1896" i="1"/>
  <c r="D1896" i="1"/>
  <c r="A1897" i="1"/>
  <c r="D1897" i="1"/>
  <c r="A1898" i="1"/>
  <c r="D1898" i="1"/>
  <c r="A1899" i="1"/>
  <c r="D1899" i="1"/>
  <c r="A1900" i="1"/>
  <c r="D1900" i="1"/>
  <c r="A1901" i="1"/>
  <c r="D1901" i="1"/>
  <c r="A1902" i="1"/>
  <c r="D1902" i="1"/>
  <c r="A1903" i="1"/>
  <c r="D1903" i="1"/>
  <c r="A1904" i="1"/>
  <c r="D1904" i="1"/>
  <c r="A1905" i="1"/>
  <c r="D1905" i="1"/>
  <c r="A1906" i="1"/>
  <c r="D1906" i="1"/>
  <c r="A1907" i="1"/>
  <c r="D1907" i="1"/>
  <c r="A1908" i="1"/>
  <c r="D1908" i="1"/>
  <c r="A1909" i="1"/>
  <c r="D1909" i="1"/>
  <c r="A1910" i="1"/>
  <c r="D1910" i="1"/>
  <c r="A1911" i="1"/>
  <c r="D1911" i="1"/>
  <c r="A1912" i="1"/>
  <c r="D1912" i="1"/>
  <c r="A1913" i="1"/>
  <c r="D1913" i="1"/>
  <c r="A1914" i="1"/>
  <c r="D1914" i="1"/>
  <c r="A1915" i="1"/>
  <c r="D1915" i="1"/>
  <c r="A1916" i="1"/>
  <c r="D1916" i="1"/>
  <c r="A1917" i="1"/>
  <c r="D1917" i="1"/>
  <c r="A1918" i="1"/>
  <c r="D1918" i="1"/>
  <c r="A1919" i="1"/>
  <c r="D1919" i="1"/>
  <c r="A1920" i="1"/>
  <c r="D1920" i="1"/>
  <c r="A1921" i="1"/>
  <c r="D1921" i="1"/>
  <c r="A1922" i="1"/>
  <c r="D1922" i="1"/>
  <c r="A1923" i="1"/>
  <c r="D1923" i="1"/>
  <c r="A1924" i="1"/>
  <c r="D1924" i="1"/>
  <c r="A1925" i="1"/>
  <c r="D1925" i="1"/>
  <c r="A1926" i="1"/>
  <c r="D1926" i="1"/>
  <c r="A1927" i="1"/>
  <c r="D1927" i="1"/>
  <c r="A1928" i="1"/>
  <c r="D1928" i="1"/>
  <c r="A1929" i="1"/>
  <c r="D1929" i="1"/>
  <c r="A1930" i="1"/>
  <c r="D1930" i="1"/>
  <c r="A1931" i="1"/>
  <c r="D1931" i="1"/>
  <c r="A1932" i="1"/>
  <c r="D1932" i="1"/>
  <c r="A1933" i="1"/>
  <c r="D1933" i="1"/>
  <c r="A1934" i="1"/>
  <c r="D1934" i="1"/>
  <c r="A1935" i="1"/>
  <c r="D1935" i="1"/>
  <c r="A1936" i="1"/>
  <c r="D1936" i="1"/>
  <c r="A1937" i="1"/>
  <c r="D1937" i="1"/>
  <c r="A1938" i="1"/>
  <c r="D1938" i="1"/>
  <c r="A1939" i="1"/>
  <c r="D1939" i="1"/>
  <c r="A1940" i="1"/>
  <c r="D1940" i="1"/>
  <c r="A1941" i="1"/>
  <c r="D1941" i="1"/>
  <c r="A1942" i="1"/>
  <c r="D1942" i="1"/>
  <c r="A1943" i="1"/>
  <c r="D1943" i="1"/>
  <c r="A1944" i="1"/>
  <c r="D1944" i="1"/>
  <c r="A1945" i="1"/>
  <c r="D1945" i="1"/>
  <c r="A1946" i="1"/>
  <c r="D1946" i="1"/>
  <c r="A1947" i="1"/>
  <c r="D1947" i="1"/>
  <c r="A1948" i="1"/>
  <c r="D1948" i="1"/>
  <c r="A1949" i="1"/>
  <c r="D1949" i="1"/>
  <c r="A1950" i="1"/>
  <c r="D1950" i="1"/>
  <c r="A1951" i="1"/>
  <c r="D1951" i="1"/>
  <c r="A1952" i="1"/>
  <c r="D1952" i="1"/>
  <c r="A1953" i="1"/>
  <c r="D1953" i="1"/>
  <c r="A1954" i="1"/>
  <c r="D1954" i="1"/>
  <c r="A1955" i="1"/>
  <c r="D1955" i="1"/>
  <c r="A1956" i="1"/>
  <c r="D1956" i="1"/>
  <c r="A1957" i="1"/>
  <c r="D1957" i="1"/>
  <c r="A1958" i="1"/>
  <c r="D1958" i="1"/>
  <c r="A1959" i="1"/>
  <c r="D1959" i="1"/>
  <c r="A1960" i="1"/>
  <c r="D1960" i="1"/>
  <c r="A1961" i="1"/>
  <c r="D1961" i="1"/>
  <c r="A1962" i="1"/>
  <c r="D1962" i="1"/>
  <c r="A1963" i="1"/>
  <c r="D1963" i="1"/>
  <c r="A1964" i="1"/>
  <c r="D1964" i="1"/>
  <c r="A1965" i="1"/>
  <c r="D1965" i="1"/>
  <c r="A1966" i="1"/>
  <c r="D1966" i="1"/>
  <c r="A1967" i="1"/>
  <c r="D1967" i="1"/>
  <c r="A1968" i="1"/>
  <c r="D1968" i="1"/>
  <c r="A1969" i="1"/>
  <c r="D1969" i="1"/>
  <c r="A1970" i="1"/>
  <c r="D1970" i="1"/>
  <c r="A1971" i="1"/>
  <c r="D1971" i="1"/>
  <c r="A1972" i="1"/>
  <c r="D1972" i="1"/>
  <c r="A1973" i="1"/>
  <c r="D1973" i="1"/>
  <c r="A1974" i="1"/>
  <c r="D1974" i="1"/>
  <c r="A1975" i="1"/>
  <c r="D1975" i="1"/>
  <c r="A1976" i="1"/>
  <c r="D1976" i="1"/>
  <c r="A1977" i="1"/>
  <c r="D1977" i="1"/>
  <c r="A1978" i="1"/>
  <c r="D1978" i="1"/>
  <c r="A1979" i="1"/>
  <c r="D1979" i="1"/>
  <c r="A1980" i="1"/>
  <c r="D1980" i="1"/>
  <c r="A1981" i="1"/>
  <c r="D1981" i="1"/>
  <c r="A1982" i="1"/>
  <c r="D1982" i="1"/>
  <c r="A1983" i="1"/>
  <c r="D1983" i="1"/>
  <c r="A1984" i="1"/>
  <c r="D1984" i="1"/>
  <c r="A1985" i="1"/>
  <c r="D1985" i="1"/>
  <c r="A1986" i="1"/>
  <c r="D1986" i="1"/>
  <c r="A1987" i="1"/>
  <c r="D1987" i="1"/>
  <c r="A1988" i="1"/>
  <c r="D1988" i="1"/>
  <c r="A1989" i="1"/>
  <c r="D1989" i="1"/>
  <c r="A1990" i="1"/>
  <c r="D1990" i="1"/>
  <c r="A1991" i="1"/>
  <c r="D1991" i="1"/>
  <c r="A1992" i="1"/>
  <c r="D1992" i="1"/>
  <c r="A1993" i="1"/>
  <c r="D1993" i="1"/>
  <c r="A1994" i="1"/>
  <c r="D1994" i="1"/>
  <c r="A1995" i="1"/>
  <c r="D1995" i="1"/>
  <c r="A1996" i="1"/>
  <c r="D1996" i="1"/>
  <c r="A1997" i="1"/>
  <c r="D1997" i="1"/>
  <c r="A1998" i="1"/>
  <c r="D1998" i="1"/>
  <c r="A1999" i="1"/>
  <c r="D1999" i="1"/>
  <c r="A2000" i="1"/>
  <c r="D2000" i="1"/>
  <c r="A2001" i="1"/>
  <c r="D2001" i="1"/>
  <c r="A2002" i="1"/>
  <c r="D2002" i="1"/>
  <c r="A2003" i="1"/>
  <c r="D2003" i="1"/>
  <c r="A2004" i="1"/>
  <c r="D2004" i="1"/>
  <c r="A2005" i="1"/>
  <c r="D2005" i="1"/>
  <c r="A2006" i="1"/>
  <c r="D2006" i="1"/>
  <c r="A2007" i="1"/>
  <c r="D2007" i="1"/>
  <c r="A2008" i="1"/>
  <c r="D2008" i="1"/>
  <c r="A2009" i="1"/>
  <c r="D2009" i="1"/>
  <c r="A2010" i="1"/>
  <c r="D2010" i="1"/>
  <c r="A2011" i="1"/>
  <c r="D2011" i="1"/>
  <c r="A2012" i="1"/>
  <c r="D2012" i="1"/>
  <c r="A2013" i="1"/>
  <c r="D2013" i="1"/>
  <c r="A2014" i="1"/>
  <c r="D2014" i="1"/>
  <c r="A2015" i="1"/>
  <c r="D2015" i="1"/>
  <c r="A2016" i="1"/>
  <c r="D2016" i="1"/>
  <c r="A2017" i="1"/>
  <c r="D2017" i="1"/>
  <c r="A2018" i="1"/>
  <c r="D2018" i="1"/>
  <c r="A2019" i="1"/>
  <c r="D2019" i="1"/>
  <c r="A2020" i="1"/>
  <c r="D2020" i="1"/>
  <c r="A2021" i="1"/>
  <c r="D2021" i="1"/>
  <c r="A2022" i="1"/>
  <c r="D2022" i="1"/>
  <c r="A2023" i="1"/>
  <c r="D2023" i="1"/>
  <c r="A2024" i="1"/>
  <c r="D2024" i="1"/>
  <c r="A2025" i="1"/>
  <c r="D2025" i="1"/>
  <c r="A2026" i="1"/>
  <c r="D2026" i="1"/>
  <c r="A2027" i="1"/>
  <c r="D2027" i="1"/>
  <c r="A2028" i="1"/>
  <c r="D2028" i="1"/>
  <c r="A2029" i="1"/>
  <c r="D2029" i="1"/>
  <c r="A2030" i="1"/>
  <c r="D2030" i="1"/>
  <c r="A2031" i="1"/>
  <c r="D2031" i="1"/>
  <c r="A2032" i="1"/>
  <c r="D2032" i="1"/>
  <c r="E2032" i="1"/>
  <c r="A2033" i="1"/>
  <c r="D2033" i="1"/>
  <c r="A2034" i="1"/>
  <c r="D2034" i="1"/>
  <c r="A2035" i="1"/>
  <c r="D2035" i="1"/>
  <c r="A2036" i="1"/>
  <c r="D2036" i="1"/>
  <c r="A2037" i="1"/>
  <c r="D2037" i="1"/>
  <c r="A2038" i="1"/>
  <c r="D2038" i="1"/>
  <c r="A2039" i="1"/>
  <c r="D2039" i="1"/>
  <c r="A2040" i="1"/>
  <c r="D2040" i="1"/>
  <c r="A2041" i="1"/>
  <c r="D2041" i="1"/>
  <c r="A2042" i="1"/>
  <c r="D2042" i="1"/>
  <c r="A2043" i="1"/>
  <c r="D2043" i="1"/>
  <c r="A2044" i="1"/>
  <c r="D2044" i="1"/>
  <c r="A2045" i="1"/>
  <c r="D2045" i="1"/>
  <c r="A2046" i="1"/>
  <c r="D2046" i="1"/>
  <c r="A2047" i="1"/>
  <c r="D2047" i="1"/>
  <c r="A2048" i="1"/>
  <c r="D2048" i="1"/>
  <c r="A2049" i="1"/>
  <c r="D2049" i="1"/>
  <c r="A2050" i="1"/>
  <c r="D2050" i="1"/>
  <c r="A2051" i="1"/>
  <c r="D2051" i="1"/>
  <c r="A2052" i="1"/>
  <c r="D2052" i="1"/>
  <c r="E2052" i="1"/>
  <c r="A2053" i="1"/>
  <c r="D2053" i="1"/>
  <c r="E2053" i="1"/>
  <c r="A2054" i="1"/>
  <c r="D2054" i="1"/>
  <c r="A2055" i="1"/>
  <c r="D2055" i="1"/>
  <c r="A2056" i="1"/>
  <c r="D2056" i="1"/>
  <c r="A2057" i="1"/>
  <c r="D2057" i="1"/>
  <c r="A2058" i="1"/>
  <c r="D2058" i="1"/>
  <c r="A2059" i="1"/>
  <c r="D2059" i="1"/>
  <c r="A2060" i="1"/>
  <c r="D2060" i="1"/>
  <c r="A2061" i="1"/>
  <c r="D2061" i="1"/>
  <c r="A2062" i="1"/>
  <c r="D2062" i="1"/>
  <c r="A2063" i="1"/>
  <c r="D2063" i="1"/>
  <c r="A2064" i="1"/>
  <c r="D2064" i="1"/>
  <c r="A2065" i="1"/>
  <c r="D2065" i="1"/>
  <c r="A2066" i="1"/>
  <c r="D2066" i="1"/>
  <c r="A2067" i="1"/>
  <c r="D2067" i="1"/>
  <c r="A2068" i="1"/>
  <c r="D2068" i="1"/>
  <c r="A2069" i="1"/>
  <c r="D2069" i="1"/>
  <c r="A2070" i="1"/>
  <c r="D2070" i="1"/>
  <c r="A2071" i="1"/>
  <c r="D2071" i="1"/>
  <c r="A2072" i="1"/>
  <c r="D2072" i="1"/>
  <c r="A2073" i="1"/>
  <c r="D2073" i="1"/>
  <c r="A2074" i="1"/>
  <c r="D2074" i="1"/>
  <c r="A2075" i="1"/>
  <c r="D2075" i="1"/>
  <c r="A2076" i="1"/>
  <c r="D2076" i="1"/>
  <c r="A2077" i="1"/>
  <c r="D2077" i="1"/>
  <c r="A2078" i="1"/>
  <c r="D2078" i="1"/>
  <c r="E2078" i="1"/>
  <c r="A2079" i="1"/>
  <c r="D2079" i="1"/>
  <c r="A2080" i="1"/>
  <c r="D2080" i="1"/>
  <c r="A2081" i="1"/>
  <c r="D2081" i="1"/>
  <c r="A2082" i="1"/>
  <c r="D2082" i="1"/>
  <c r="A2083" i="1"/>
  <c r="D2083" i="1"/>
  <c r="A2084" i="1"/>
  <c r="D2084" i="1"/>
  <c r="A2085" i="1"/>
  <c r="D2085" i="1"/>
  <c r="A2086" i="1"/>
  <c r="D2086" i="1"/>
  <c r="A2087" i="1"/>
  <c r="D2087" i="1"/>
  <c r="A2088" i="1"/>
  <c r="D2088" i="1"/>
  <c r="A2089" i="1"/>
  <c r="D2089" i="1"/>
  <c r="A2090" i="1"/>
  <c r="D2090" i="1"/>
  <c r="A2091" i="1"/>
  <c r="D2091" i="1"/>
  <c r="A2092" i="1"/>
  <c r="D2092" i="1"/>
  <c r="A2093" i="1"/>
  <c r="D2093" i="1"/>
  <c r="A2094" i="1"/>
  <c r="D2094" i="1"/>
  <c r="A2095" i="1"/>
  <c r="D2095" i="1"/>
  <c r="A2096" i="1"/>
  <c r="D2096" i="1"/>
  <c r="A2097" i="1"/>
  <c r="D2097" i="1"/>
  <c r="A2098" i="1"/>
  <c r="D2098" i="1"/>
  <c r="A2099" i="1"/>
  <c r="D2099" i="1"/>
  <c r="A2100" i="1"/>
  <c r="D2100" i="1"/>
  <c r="A2101" i="1"/>
  <c r="D2101" i="1"/>
  <c r="A2102" i="1"/>
  <c r="D2102" i="1"/>
  <c r="A2103" i="1"/>
  <c r="D2103" i="1"/>
  <c r="A2104" i="1"/>
  <c r="D2104" i="1"/>
  <c r="A2105" i="1"/>
  <c r="D2105" i="1"/>
  <c r="A2106" i="1"/>
  <c r="D2106" i="1"/>
  <c r="A2107" i="1"/>
  <c r="D2107" i="1"/>
  <c r="A2108" i="1"/>
  <c r="D2108" i="1"/>
  <c r="A2109" i="1"/>
  <c r="D2109" i="1"/>
  <c r="A2110" i="1"/>
  <c r="D2110" i="1"/>
  <c r="A2111" i="1"/>
  <c r="D2111" i="1"/>
  <c r="A2112" i="1"/>
  <c r="D2112" i="1"/>
  <c r="A2113" i="1"/>
  <c r="D2113" i="1"/>
  <c r="A2114" i="1"/>
  <c r="D2114" i="1"/>
  <c r="A2115" i="1"/>
  <c r="D2115" i="1"/>
  <c r="A2116" i="1"/>
  <c r="D2116" i="1"/>
  <c r="A2117" i="1"/>
  <c r="D2117" i="1"/>
  <c r="A2118" i="1"/>
  <c r="D2118" i="1"/>
  <c r="A2119" i="1"/>
  <c r="D2119" i="1"/>
  <c r="A2120" i="1"/>
  <c r="D2120" i="1"/>
  <c r="A2121" i="1"/>
  <c r="D2121" i="1"/>
  <c r="A2122" i="1"/>
  <c r="D2122" i="1"/>
  <c r="A2123" i="1"/>
  <c r="D2123" i="1"/>
  <c r="A2124" i="1"/>
  <c r="D2124" i="1"/>
  <c r="A2125" i="1"/>
  <c r="D2125" i="1"/>
  <c r="A2126" i="1"/>
  <c r="D2126" i="1"/>
  <c r="A2127" i="1"/>
  <c r="D2127" i="1"/>
  <c r="A2128" i="1"/>
  <c r="D2128" i="1"/>
  <c r="A2129" i="1"/>
  <c r="D2129" i="1"/>
  <c r="A2130" i="1"/>
  <c r="D2130" i="1"/>
  <c r="A2131" i="1"/>
  <c r="D2131" i="1"/>
  <c r="A2132" i="1"/>
  <c r="D2132" i="1"/>
  <c r="A2133" i="1"/>
  <c r="D2133" i="1"/>
  <c r="A2134" i="1"/>
  <c r="D2134" i="1"/>
  <c r="A2135" i="1"/>
  <c r="D2135" i="1"/>
  <c r="A2136" i="1"/>
  <c r="D2136" i="1"/>
  <c r="A2137" i="1"/>
  <c r="D2137" i="1"/>
  <c r="A2138" i="1"/>
  <c r="D2138" i="1"/>
  <c r="A2139" i="1"/>
  <c r="D2139" i="1"/>
  <c r="A2140" i="1"/>
  <c r="D2140" i="1"/>
  <c r="A2141" i="1"/>
  <c r="D2141" i="1"/>
  <c r="A2142" i="1"/>
  <c r="D2142" i="1"/>
  <c r="A2143" i="1"/>
  <c r="D2143" i="1"/>
  <c r="A2144" i="1"/>
  <c r="D2144" i="1"/>
  <c r="A2145" i="1"/>
  <c r="D2145" i="1"/>
  <c r="A2146" i="1"/>
  <c r="D2146" i="1"/>
  <c r="A2147" i="1"/>
  <c r="D2147" i="1"/>
  <c r="A2148" i="1"/>
  <c r="D2148" i="1"/>
  <c r="A2149" i="1"/>
  <c r="D2149" i="1"/>
  <c r="A2150" i="1"/>
  <c r="D2150" i="1"/>
  <c r="A2151" i="1"/>
  <c r="D2151" i="1"/>
  <c r="A2152" i="1"/>
  <c r="D2152" i="1"/>
  <c r="A2153" i="1"/>
  <c r="D2153" i="1"/>
  <c r="A2154" i="1"/>
  <c r="D2154" i="1"/>
  <c r="A2155" i="1"/>
  <c r="D2155" i="1"/>
  <c r="A2156" i="1"/>
  <c r="D2156" i="1"/>
  <c r="A2157" i="1"/>
  <c r="D2157" i="1"/>
  <c r="A2158" i="1"/>
  <c r="D2158" i="1"/>
  <c r="A2159" i="1"/>
  <c r="D2159" i="1"/>
  <c r="A2160" i="1"/>
  <c r="D2160" i="1"/>
  <c r="A2161" i="1"/>
  <c r="D2161" i="1"/>
  <c r="A2162" i="1"/>
  <c r="D2162" i="1"/>
  <c r="A2163" i="1"/>
  <c r="D2163" i="1"/>
  <c r="A2164" i="1"/>
  <c r="D2164" i="1"/>
  <c r="A2165" i="1"/>
  <c r="D2165" i="1"/>
  <c r="A2166" i="1"/>
  <c r="D2166" i="1"/>
  <c r="A2167" i="1"/>
  <c r="D2167" i="1"/>
  <c r="A2168" i="1"/>
  <c r="D2168" i="1"/>
  <c r="A2169" i="1"/>
  <c r="D2169" i="1"/>
  <c r="A2170" i="1"/>
  <c r="D2170" i="1"/>
  <c r="A2171" i="1"/>
  <c r="D2171" i="1"/>
  <c r="A2172" i="1"/>
  <c r="D2172" i="1"/>
  <c r="A2173" i="1"/>
  <c r="D2173" i="1"/>
  <c r="A2174" i="1"/>
  <c r="D2174" i="1"/>
  <c r="A2175" i="1"/>
  <c r="D2175" i="1"/>
  <c r="A2176" i="1"/>
  <c r="D2176" i="1"/>
  <c r="A2177" i="1"/>
  <c r="D2177" i="1"/>
  <c r="A2178" i="1"/>
  <c r="D2178" i="1"/>
  <c r="A2179" i="1"/>
  <c r="D2179" i="1"/>
  <c r="A2180" i="1"/>
  <c r="D2180" i="1"/>
  <c r="A2181" i="1"/>
  <c r="D2181" i="1"/>
  <c r="A2182" i="1"/>
  <c r="D2182" i="1"/>
  <c r="A2183" i="1"/>
  <c r="D2183" i="1"/>
  <c r="A2184" i="1"/>
  <c r="D2184" i="1"/>
  <c r="A2185" i="1"/>
  <c r="D2185" i="1"/>
  <c r="A2186" i="1"/>
  <c r="D2186" i="1"/>
  <c r="A2187" i="1"/>
  <c r="D2187" i="1"/>
  <c r="A2188" i="1"/>
  <c r="D2188" i="1"/>
  <c r="A2189" i="1"/>
  <c r="D2189" i="1"/>
  <c r="A2190" i="1"/>
  <c r="D2190" i="1"/>
  <c r="A2191" i="1"/>
  <c r="D2191" i="1"/>
  <c r="A2192" i="1"/>
  <c r="D2192" i="1"/>
  <c r="A2193" i="1"/>
  <c r="D2193" i="1"/>
  <c r="A2194" i="1"/>
  <c r="D2194" i="1"/>
  <c r="A2195" i="1"/>
  <c r="D2195" i="1"/>
  <c r="A2196" i="1"/>
  <c r="D2196" i="1"/>
  <c r="A2197" i="1"/>
  <c r="D2197" i="1"/>
  <c r="A2198" i="1"/>
  <c r="D2198" i="1"/>
  <c r="A2199" i="1"/>
  <c r="D2199" i="1"/>
  <c r="A2200" i="1"/>
  <c r="D2200" i="1"/>
  <c r="A2201" i="1"/>
  <c r="D2201" i="1"/>
  <c r="A2202" i="1"/>
  <c r="D2202" i="1"/>
  <c r="A2203" i="1"/>
  <c r="D2203" i="1"/>
  <c r="A2204" i="1"/>
  <c r="D2204" i="1"/>
  <c r="A2205" i="1"/>
  <c r="D2205" i="1"/>
  <c r="A2206" i="1"/>
  <c r="D2206" i="1"/>
  <c r="A2207" i="1"/>
  <c r="D2207" i="1"/>
  <c r="A2208" i="1"/>
  <c r="D2208" i="1"/>
  <c r="A2209" i="1"/>
  <c r="D2209" i="1"/>
  <c r="A2210" i="1"/>
  <c r="D2210" i="1"/>
  <c r="A2211" i="1"/>
  <c r="D2211" i="1"/>
  <c r="A2212" i="1"/>
  <c r="D2212" i="1"/>
  <c r="A2213" i="1"/>
  <c r="D2213" i="1"/>
  <c r="A2214" i="1"/>
  <c r="D2214" i="1"/>
  <c r="A2215" i="1"/>
  <c r="D2215" i="1"/>
  <c r="A2216" i="1"/>
  <c r="D2216" i="1"/>
  <c r="A2217" i="1"/>
  <c r="D2217" i="1"/>
  <c r="A2218" i="1"/>
  <c r="D2218" i="1"/>
  <c r="A2219" i="1"/>
  <c r="D2219" i="1"/>
  <c r="A2220" i="1"/>
  <c r="D2220" i="1"/>
  <c r="A2221" i="1"/>
  <c r="D2221" i="1"/>
  <c r="A2222" i="1"/>
  <c r="D2222" i="1"/>
  <c r="A2223" i="1"/>
  <c r="D2223" i="1"/>
  <c r="A2224" i="1"/>
  <c r="D2224" i="1"/>
  <c r="A2225" i="1"/>
  <c r="D2225" i="1"/>
  <c r="A2226" i="1"/>
  <c r="D2226" i="1"/>
  <c r="A2227" i="1"/>
  <c r="D2227" i="1"/>
  <c r="A2228" i="1"/>
  <c r="D2228" i="1"/>
  <c r="A2229" i="1"/>
  <c r="D2229" i="1"/>
  <c r="A2230" i="1"/>
  <c r="D2230" i="1"/>
  <c r="E2230" i="1"/>
  <c r="A2231" i="1"/>
  <c r="D2231" i="1"/>
  <c r="A2232" i="1"/>
  <c r="D2232" i="1"/>
  <c r="A2233" i="1"/>
  <c r="D2233" i="1"/>
  <c r="A2234" i="1"/>
  <c r="D2234" i="1"/>
  <c r="A2235" i="1"/>
  <c r="D2235" i="1"/>
  <c r="A2236" i="1"/>
  <c r="D2236" i="1"/>
  <c r="E2236" i="1"/>
  <c r="A2237" i="1"/>
  <c r="D2237" i="1"/>
  <c r="A2238" i="1"/>
  <c r="D2238" i="1"/>
  <c r="A2239" i="1"/>
  <c r="D2239" i="1"/>
  <c r="A2240" i="1"/>
  <c r="D2240" i="1"/>
  <c r="A2241" i="1"/>
  <c r="D2241" i="1"/>
  <c r="A2242" i="1"/>
  <c r="D2242" i="1"/>
  <c r="A2243" i="1"/>
  <c r="D2243" i="1"/>
  <c r="A2244" i="1"/>
  <c r="D2244" i="1"/>
  <c r="A2245" i="1"/>
  <c r="D2245" i="1"/>
  <c r="A2246" i="1"/>
  <c r="D2246" i="1"/>
  <c r="A2247" i="1"/>
  <c r="D2247" i="1"/>
  <c r="A2248" i="1"/>
  <c r="D2248" i="1"/>
  <c r="E2248" i="1"/>
  <c r="A2249" i="1"/>
  <c r="D2249" i="1"/>
  <c r="A2250" i="1"/>
  <c r="D2250" i="1"/>
  <c r="A2251" i="1"/>
  <c r="D2251" i="1"/>
  <c r="E2251" i="1"/>
  <c r="A2252" i="1"/>
  <c r="D2252" i="1"/>
  <c r="E2252" i="1"/>
  <c r="A2253" i="1"/>
  <c r="D2253" i="1"/>
  <c r="E2253" i="1"/>
  <c r="A2254" i="1"/>
  <c r="D2254" i="1"/>
  <c r="E2254" i="1"/>
  <c r="A2255" i="1"/>
  <c r="D2255" i="1"/>
  <c r="E2255" i="1"/>
  <c r="A2256" i="1"/>
  <c r="D2256" i="1"/>
  <c r="E2256" i="1"/>
  <c r="A2257" i="1"/>
  <c r="D2257" i="1"/>
  <c r="E2257" i="1"/>
  <c r="A2258" i="1"/>
  <c r="D2258" i="1"/>
  <c r="E2258" i="1"/>
  <c r="A2259" i="1"/>
  <c r="D2259" i="1"/>
  <c r="E2259" i="1"/>
  <c r="A2260" i="1"/>
  <c r="D2260" i="1"/>
  <c r="E2260" i="1"/>
  <c r="A2261" i="1"/>
  <c r="D2261" i="1"/>
  <c r="E2261" i="1"/>
  <c r="A2262" i="1"/>
  <c r="D2262" i="1"/>
  <c r="E2262" i="1"/>
  <c r="A2263" i="1"/>
  <c r="D2263" i="1"/>
  <c r="E2263" i="1"/>
  <c r="A2264" i="1"/>
  <c r="D2264" i="1"/>
  <c r="E2264" i="1"/>
  <c r="A2265" i="1"/>
  <c r="D2265" i="1"/>
  <c r="E2265" i="1"/>
  <c r="A2266" i="1"/>
  <c r="D2266" i="1"/>
  <c r="E2266" i="1"/>
  <c r="A2267" i="1"/>
  <c r="D2267" i="1"/>
  <c r="E2267" i="1"/>
  <c r="A2268" i="1"/>
  <c r="D2268" i="1"/>
  <c r="E2268" i="1"/>
  <c r="A2269" i="1"/>
  <c r="D2269" i="1"/>
  <c r="E2269" i="1"/>
  <c r="A2270" i="1"/>
  <c r="D2270" i="1"/>
  <c r="E2270" i="1"/>
  <c r="A2271" i="1"/>
  <c r="D2271" i="1"/>
  <c r="E2271" i="1"/>
  <c r="A2272" i="1"/>
  <c r="D2272" i="1"/>
  <c r="E2272" i="1"/>
  <c r="A2273" i="1"/>
  <c r="D2273" i="1"/>
  <c r="E2273" i="1"/>
  <c r="A2274" i="1"/>
  <c r="D2274" i="1"/>
  <c r="E2274" i="1"/>
  <c r="A2275" i="1"/>
  <c r="D2275" i="1"/>
  <c r="E2275" i="1"/>
  <c r="A2276" i="1"/>
  <c r="D2276" i="1"/>
  <c r="E2276" i="1"/>
  <c r="A2277" i="1"/>
  <c r="D2277" i="1"/>
  <c r="E2277" i="1"/>
  <c r="A2278" i="1"/>
  <c r="D2278" i="1"/>
  <c r="E2278" i="1"/>
  <c r="A2279" i="1"/>
  <c r="D2279" i="1"/>
  <c r="E2279" i="1"/>
  <c r="A2280" i="1"/>
  <c r="D2280" i="1"/>
  <c r="E2280" i="1"/>
  <c r="A2281" i="1"/>
  <c r="D2281" i="1"/>
  <c r="E2281" i="1"/>
  <c r="A2282" i="1"/>
  <c r="D2282" i="1"/>
  <c r="E2282" i="1"/>
  <c r="A2283" i="1"/>
  <c r="D2283" i="1"/>
  <c r="E2283" i="1"/>
  <c r="A2284" i="1"/>
  <c r="D2284" i="1"/>
  <c r="E2284" i="1"/>
  <c r="A2285" i="1"/>
  <c r="D2285" i="1"/>
  <c r="E2285" i="1"/>
  <c r="A2286" i="1"/>
  <c r="D2286" i="1"/>
  <c r="E2286" i="1"/>
  <c r="A2287" i="1"/>
  <c r="D2287" i="1"/>
  <c r="E2287" i="1"/>
  <c r="A2288" i="1"/>
  <c r="D2288" i="1"/>
  <c r="E2288" i="1"/>
  <c r="A2289" i="1"/>
  <c r="D2289" i="1"/>
  <c r="E2289" i="1"/>
  <c r="A2290" i="1"/>
  <c r="D2290" i="1"/>
  <c r="E2290" i="1"/>
  <c r="A2291" i="1"/>
  <c r="D2291" i="1"/>
  <c r="E2291" i="1"/>
  <c r="A2292" i="1"/>
  <c r="D2292" i="1"/>
  <c r="E2292" i="1"/>
  <c r="A2293" i="1"/>
  <c r="D2293" i="1"/>
  <c r="E2293" i="1"/>
  <c r="A2294" i="1"/>
  <c r="D2294" i="1"/>
  <c r="E2294" i="1"/>
  <c r="A2295" i="1"/>
  <c r="D2295" i="1"/>
  <c r="E2295" i="1"/>
  <c r="A2296" i="1"/>
  <c r="D2296" i="1"/>
  <c r="E2296" i="1"/>
  <c r="A2297" i="1"/>
  <c r="D2297" i="1"/>
  <c r="E2297" i="1"/>
  <c r="A2298" i="1"/>
  <c r="D2298" i="1"/>
  <c r="E2298" i="1"/>
  <c r="A2299" i="1"/>
  <c r="D2299" i="1"/>
  <c r="E2299" i="1"/>
  <c r="A2300" i="1"/>
  <c r="D2300" i="1"/>
  <c r="E2300" i="1"/>
  <c r="A2301" i="1"/>
  <c r="D2301" i="1"/>
  <c r="E2301" i="1"/>
  <c r="A2302" i="1"/>
  <c r="D2302" i="1"/>
  <c r="E2302" i="1"/>
  <c r="A2303" i="1"/>
  <c r="D2303" i="1"/>
  <c r="E2303" i="1"/>
  <c r="A2304" i="1"/>
  <c r="D2304" i="1"/>
  <c r="E2304" i="1"/>
  <c r="A2305" i="1"/>
  <c r="D2305" i="1"/>
  <c r="E2305" i="1"/>
  <c r="A2306" i="1"/>
  <c r="D2306" i="1"/>
  <c r="E2306" i="1"/>
  <c r="A2307" i="1"/>
  <c r="D2307" i="1"/>
  <c r="E2307" i="1"/>
  <c r="A2308" i="1"/>
  <c r="D2308" i="1"/>
  <c r="E2308" i="1"/>
  <c r="A2309" i="1"/>
  <c r="D2309" i="1"/>
  <c r="E2309" i="1"/>
  <c r="A2310" i="1"/>
  <c r="D2310" i="1"/>
  <c r="E2310" i="1"/>
  <c r="A2311" i="1"/>
  <c r="D2311" i="1"/>
  <c r="E2311" i="1"/>
  <c r="A2312" i="1"/>
  <c r="D2312" i="1"/>
  <c r="E2312" i="1"/>
  <c r="A2313" i="1"/>
  <c r="D2313" i="1"/>
  <c r="E2313" i="1"/>
  <c r="A2314" i="1"/>
  <c r="D2314" i="1"/>
  <c r="E2314" i="1"/>
  <c r="A2315" i="1"/>
  <c r="D2315" i="1"/>
  <c r="E2315" i="1"/>
  <c r="A2316" i="1"/>
  <c r="D2316" i="1"/>
  <c r="E2316" i="1"/>
  <c r="A2317" i="1"/>
  <c r="D2317" i="1"/>
  <c r="E2317" i="1"/>
  <c r="A2318" i="1"/>
  <c r="D2318" i="1"/>
  <c r="E2318" i="1"/>
  <c r="A2319" i="1"/>
  <c r="D2319" i="1"/>
  <c r="E2319" i="1"/>
  <c r="A2320" i="1"/>
  <c r="D2320" i="1"/>
  <c r="E2320" i="1"/>
  <c r="A2321" i="1"/>
  <c r="D2321" i="1"/>
  <c r="E2321" i="1"/>
  <c r="A2322" i="1"/>
  <c r="D2322" i="1"/>
  <c r="E2322" i="1"/>
  <c r="A2323" i="1"/>
  <c r="D2323" i="1"/>
  <c r="E2323" i="1"/>
  <c r="A2324" i="1"/>
  <c r="D2324" i="1"/>
  <c r="E2324" i="1"/>
  <c r="A2325" i="1"/>
  <c r="D2325" i="1"/>
  <c r="E2325" i="1"/>
  <c r="A2326" i="1"/>
  <c r="D2326" i="1"/>
  <c r="E2326" i="1"/>
  <c r="A2327" i="1"/>
  <c r="D2327" i="1"/>
  <c r="E2327" i="1"/>
  <c r="A2328" i="1"/>
  <c r="D2328" i="1"/>
  <c r="E2328" i="1"/>
  <c r="A2329" i="1"/>
  <c r="D2329" i="1"/>
  <c r="E2329" i="1"/>
  <c r="A2330" i="1"/>
  <c r="D2330" i="1"/>
  <c r="E2330" i="1"/>
  <c r="A2331" i="1"/>
  <c r="D2331" i="1"/>
  <c r="E2331" i="1"/>
  <c r="A2332" i="1"/>
  <c r="D2332" i="1"/>
  <c r="E2332" i="1"/>
  <c r="A2333" i="1"/>
  <c r="D2333" i="1"/>
  <c r="E2333" i="1"/>
  <c r="A2334" i="1"/>
  <c r="D2334" i="1"/>
  <c r="E2334" i="1"/>
  <c r="A2335" i="1"/>
  <c r="D2335" i="1"/>
  <c r="E2335" i="1"/>
  <c r="A2336" i="1"/>
  <c r="D2336" i="1"/>
  <c r="E2336" i="1"/>
  <c r="A2337" i="1"/>
  <c r="D2337" i="1"/>
  <c r="E2337" i="1"/>
  <c r="A2338" i="1"/>
  <c r="D2338" i="1"/>
  <c r="E2338" i="1"/>
  <c r="A2339" i="1"/>
  <c r="D2339" i="1"/>
  <c r="E2339" i="1"/>
  <c r="A2340" i="1"/>
  <c r="D2340" i="1"/>
  <c r="E2340" i="1"/>
  <c r="A2341" i="1"/>
  <c r="D2341" i="1"/>
  <c r="E2341" i="1"/>
  <c r="A2342" i="1"/>
  <c r="D2342" i="1"/>
  <c r="E2342" i="1"/>
  <c r="A2343" i="1"/>
  <c r="D2343" i="1"/>
  <c r="E2343" i="1"/>
  <c r="A2344" i="1"/>
  <c r="D2344" i="1"/>
  <c r="E2344" i="1"/>
  <c r="A2345" i="1"/>
  <c r="D2345" i="1"/>
  <c r="E2345" i="1"/>
  <c r="A2346" i="1"/>
  <c r="D2346" i="1"/>
  <c r="E2346" i="1"/>
  <c r="A2347" i="1"/>
  <c r="D2347" i="1"/>
  <c r="E2347" i="1"/>
  <c r="A2348" i="1"/>
  <c r="D2348" i="1"/>
  <c r="E2348" i="1"/>
  <c r="A2349" i="1"/>
  <c r="D2349" i="1"/>
  <c r="E2349" i="1"/>
  <c r="A2350" i="1"/>
  <c r="D2350" i="1"/>
  <c r="E2350" i="1"/>
  <c r="A2351" i="1"/>
  <c r="D2351" i="1"/>
  <c r="E2351" i="1"/>
  <c r="A2352" i="1"/>
  <c r="D2352" i="1"/>
  <c r="E2352" i="1"/>
  <c r="A2353" i="1"/>
  <c r="D2353" i="1"/>
  <c r="E2353" i="1"/>
  <c r="A2354" i="1"/>
  <c r="D2354" i="1"/>
  <c r="E2354" i="1"/>
  <c r="A2355" i="1"/>
  <c r="D2355" i="1"/>
  <c r="E2355" i="1"/>
  <c r="A2356" i="1"/>
  <c r="D2356" i="1"/>
  <c r="E2356" i="1"/>
  <c r="A2357" i="1"/>
  <c r="D2357" i="1"/>
  <c r="E2357" i="1"/>
  <c r="A2358" i="1"/>
  <c r="D2358" i="1"/>
  <c r="E2358" i="1"/>
  <c r="A2359" i="1"/>
  <c r="D2359" i="1"/>
  <c r="E2359" i="1"/>
  <c r="A2360" i="1"/>
  <c r="D2360" i="1"/>
  <c r="E2360" i="1"/>
  <c r="A2361" i="1"/>
  <c r="D2361" i="1"/>
  <c r="E2361" i="1"/>
  <c r="A2362" i="1"/>
  <c r="D2362" i="1"/>
  <c r="E2362" i="1"/>
  <c r="A2363" i="1"/>
  <c r="D2363" i="1"/>
  <c r="E2363" i="1"/>
  <c r="A2364" i="1"/>
  <c r="D2364" i="1"/>
  <c r="E2364" i="1"/>
  <c r="A2365" i="1"/>
  <c r="D2365" i="1"/>
  <c r="E2365" i="1"/>
  <c r="A2366" i="1"/>
  <c r="D2366" i="1"/>
  <c r="E2366" i="1"/>
  <c r="A2367" i="1"/>
  <c r="D2367" i="1"/>
  <c r="E2367" i="1"/>
  <c r="A2368" i="1"/>
  <c r="D2368" i="1"/>
  <c r="E2368" i="1"/>
  <c r="A2369" i="1"/>
  <c r="D2369" i="1"/>
  <c r="E2369" i="1"/>
  <c r="A2370" i="1"/>
  <c r="D2370" i="1"/>
  <c r="E2370" i="1"/>
  <c r="A2371" i="1"/>
  <c r="D2371" i="1"/>
  <c r="E2371" i="1"/>
  <c r="A2372" i="1"/>
  <c r="D2372" i="1"/>
  <c r="E2372" i="1"/>
  <c r="A2373" i="1"/>
  <c r="D2373" i="1"/>
  <c r="E2373" i="1"/>
  <c r="A2374" i="1"/>
  <c r="D2374" i="1"/>
  <c r="E2374" i="1"/>
  <c r="A2375" i="1"/>
  <c r="D2375" i="1"/>
  <c r="E2375" i="1"/>
  <c r="A2376" i="1"/>
  <c r="D2376" i="1"/>
  <c r="E2376" i="1"/>
  <c r="A2377" i="1"/>
  <c r="D2377" i="1"/>
  <c r="E2377" i="1"/>
  <c r="A2378" i="1"/>
  <c r="D2378" i="1"/>
  <c r="E2378" i="1"/>
  <c r="A2379" i="1"/>
  <c r="D2379" i="1"/>
  <c r="E2379" i="1"/>
  <c r="A2380" i="1"/>
  <c r="D2380" i="1"/>
  <c r="E2380" i="1"/>
  <c r="A2381" i="1"/>
  <c r="D2381" i="1"/>
  <c r="E2381" i="1"/>
  <c r="A2382" i="1"/>
  <c r="D2382" i="1"/>
  <c r="E2382" i="1"/>
  <c r="A2383" i="1"/>
  <c r="D2383" i="1"/>
  <c r="E2383" i="1"/>
  <c r="A2384" i="1"/>
  <c r="D2384" i="1"/>
  <c r="E2384" i="1"/>
  <c r="A2385" i="1"/>
  <c r="D2385" i="1"/>
  <c r="E2385" i="1"/>
  <c r="A2386" i="1"/>
  <c r="D2386" i="1"/>
  <c r="E2386" i="1"/>
  <c r="A2387" i="1"/>
  <c r="D2387" i="1"/>
  <c r="E2387" i="1"/>
  <c r="A2388" i="1"/>
  <c r="D2388" i="1"/>
  <c r="E2388" i="1"/>
  <c r="A2389" i="1"/>
  <c r="D2389" i="1"/>
  <c r="E2389" i="1"/>
  <c r="A2390" i="1"/>
  <c r="D2390" i="1"/>
  <c r="E2390" i="1"/>
  <c r="A2391" i="1"/>
  <c r="D2391" i="1"/>
  <c r="E2391" i="1"/>
  <c r="A2392" i="1"/>
  <c r="D2392" i="1"/>
  <c r="E2392" i="1"/>
  <c r="A2393" i="1"/>
  <c r="D2393" i="1"/>
  <c r="E2393" i="1"/>
  <c r="A2394" i="1"/>
  <c r="D2394" i="1"/>
  <c r="E2394" i="1"/>
  <c r="A2395" i="1"/>
  <c r="D2395" i="1"/>
  <c r="E2395" i="1"/>
  <c r="A2396" i="1"/>
  <c r="D2396" i="1"/>
  <c r="E2396" i="1"/>
  <c r="A2397" i="1"/>
  <c r="D2397" i="1"/>
  <c r="E2397" i="1"/>
  <c r="A2398" i="1"/>
  <c r="D2398" i="1"/>
  <c r="E2398" i="1"/>
  <c r="A2399" i="1"/>
  <c r="D2399" i="1"/>
  <c r="E2399" i="1"/>
  <c r="A2400" i="1"/>
  <c r="D2400" i="1"/>
  <c r="E2400" i="1"/>
  <c r="A2401" i="1"/>
  <c r="D2401" i="1"/>
  <c r="E2401" i="1"/>
  <c r="A2402" i="1"/>
  <c r="D2402" i="1"/>
  <c r="E2402" i="1"/>
  <c r="A2403" i="1"/>
  <c r="D2403" i="1"/>
  <c r="E2403" i="1"/>
  <c r="A2404" i="1"/>
  <c r="D2404" i="1"/>
  <c r="E2404" i="1"/>
  <c r="A2405" i="1"/>
  <c r="D2405" i="1"/>
  <c r="E2405" i="1"/>
  <c r="A2406" i="1"/>
  <c r="D2406" i="1"/>
  <c r="E2406" i="1"/>
  <c r="A2407" i="1"/>
  <c r="D2407" i="1"/>
  <c r="E2407" i="1"/>
  <c r="A2408" i="1"/>
  <c r="D2408" i="1"/>
  <c r="E2408" i="1"/>
  <c r="A2409" i="1"/>
  <c r="D2409" i="1"/>
  <c r="E2409" i="1"/>
  <c r="A2410" i="1"/>
  <c r="D2410" i="1"/>
  <c r="E2410" i="1"/>
  <c r="A2411" i="1"/>
  <c r="D2411" i="1"/>
  <c r="E2411" i="1"/>
  <c r="A2412" i="1"/>
  <c r="D2412" i="1"/>
  <c r="E2412" i="1"/>
  <c r="A2413" i="1"/>
  <c r="D2413" i="1"/>
  <c r="E2413" i="1"/>
  <c r="A2414" i="1"/>
  <c r="D2414" i="1"/>
  <c r="E2414" i="1"/>
  <c r="A2415" i="1"/>
  <c r="D2415" i="1"/>
  <c r="E2415" i="1"/>
  <c r="A2416" i="1"/>
  <c r="D2416" i="1"/>
  <c r="E2416" i="1"/>
  <c r="A2417" i="1"/>
  <c r="D2417" i="1"/>
  <c r="E2417" i="1"/>
  <c r="A2418" i="1"/>
  <c r="D2418" i="1"/>
  <c r="E2418" i="1"/>
  <c r="A2419" i="1"/>
  <c r="D2419" i="1"/>
  <c r="E2419" i="1"/>
  <c r="A2420" i="1"/>
  <c r="D2420" i="1"/>
  <c r="E2420" i="1"/>
  <c r="A2421" i="1"/>
  <c r="D2421" i="1"/>
  <c r="E2421" i="1"/>
  <c r="A2422" i="1"/>
  <c r="D2422" i="1"/>
  <c r="E2422" i="1"/>
  <c r="A2423" i="1"/>
  <c r="D2423" i="1"/>
  <c r="E2423" i="1"/>
  <c r="A2424" i="1"/>
  <c r="D2424" i="1"/>
  <c r="E2424" i="1"/>
  <c r="A2425" i="1"/>
  <c r="D2425" i="1"/>
  <c r="E2425" i="1"/>
  <c r="A2426" i="1"/>
  <c r="D2426" i="1"/>
  <c r="A2427" i="1"/>
  <c r="D2427" i="1"/>
  <c r="E2427" i="1"/>
  <c r="A2428" i="1"/>
  <c r="D2428" i="1"/>
  <c r="E2428" i="1"/>
  <c r="A2429" i="1"/>
  <c r="D2429" i="1"/>
  <c r="E2429" i="1"/>
  <c r="A2430" i="1"/>
  <c r="D2430" i="1"/>
  <c r="A2431" i="1"/>
  <c r="D2431" i="1"/>
  <c r="E2431" i="1"/>
  <c r="A2432" i="1"/>
  <c r="D2432" i="1"/>
  <c r="E2432" i="1"/>
  <c r="A2433" i="1"/>
  <c r="D2433" i="1"/>
  <c r="E2433" i="1"/>
  <c r="A2434" i="1"/>
  <c r="D2434" i="1"/>
  <c r="E2434" i="1"/>
  <c r="A2435" i="1"/>
  <c r="D2435" i="1"/>
  <c r="E2435" i="1"/>
  <c r="A2436" i="1"/>
  <c r="D2436" i="1"/>
  <c r="E2436" i="1"/>
  <c r="A2437" i="1"/>
  <c r="D2437" i="1"/>
  <c r="E2437" i="1"/>
  <c r="A2438" i="1"/>
  <c r="D2438" i="1"/>
  <c r="E2438" i="1"/>
  <c r="A2439" i="1"/>
  <c r="D2439" i="1"/>
  <c r="E2439" i="1"/>
  <c r="A2440" i="1"/>
  <c r="D2440" i="1"/>
  <c r="E2440" i="1"/>
  <c r="A2441" i="1"/>
  <c r="D2441" i="1"/>
  <c r="E2441" i="1"/>
  <c r="A2442" i="1"/>
  <c r="D2442" i="1"/>
  <c r="E2442" i="1"/>
  <c r="A2443" i="1"/>
  <c r="D2443" i="1"/>
  <c r="E2443" i="1"/>
  <c r="A2444" i="1"/>
  <c r="D2444" i="1"/>
  <c r="E2444" i="1"/>
  <c r="A2445" i="1"/>
  <c r="D2445" i="1"/>
  <c r="E2445" i="1"/>
  <c r="A2446" i="1"/>
  <c r="D2446" i="1"/>
  <c r="E2446" i="1"/>
  <c r="A2447" i="1"/>
  <c r="D2447" i="1"/>
  <c r="E2447" i="1"/>
  <c r="A2448" i="1"/>
  <c r="D2448" i="1"/>
  <c r="E2448" i="1"/>
  <c r="A2449" i="1"/>
  <c r="D2449" i="1"/>
  <c r="E2449" i="1"/>
  <c r="A2450" i="1"/>
  <c r="D2450" i="1"/>
  <c r="E2450" i="1"/>
  <c r="A2451" i="1"/>
  <c r="D2451" i="1"/>
  <c r="E2451" i="1"/>
  <c r="A2452" i="1"/>
  <c r="D2452" i="1"/>
  <c r="E2452" i="1"/>
  <c r="A2453" i="1"/>
  <c r="D2453" i="1"/>
  <c r="E2453" i="1"/>
  <c r="A2454" i="1"/>
  <c r="D2454" i="1"/>
  <c r="E2454" i="1"/>
  <c r="A2455" i="1"/>
  <c r="D2455" i="1"/>
  <c r="E2455" i="1"/>
  <c r="A2456" i="1"/>
  <c r="D2456" i="1"/>
  <c r="E2456" i="1"/>
  <c r="A2457" i="1"/>
  <c r="D2457" i="1"/>
  <c r="E2457" i="1"/>
  <c r="A2458" i="1"/>
  <c r="D2458" i="1"/>
  <c r="E2458" i="1"/>
  <c r="A2459" i="1"/>
  <c r="D2459" i="1"/>
  <c r="E2459" i="1"/>
  <c r="A2460" i="1"/>
  <c r="D2460" i="1"/>
  <c r="E2460" i="1"/>
  <c r="A2461" i="1"/>
  <c r="D2461" i="1"/>
  <c r="E2461" i="1"/>
  <c r="A2462" i="1"/>
  <c r="D2462" i="1"/>
  <c r="E2462" i="1"/>
  <c r="A2463" i="1"/>
  <c r="D2463" i="1"/>
  <c r="E2463" i="1"/>
  <c r="A2464" i="1"/>
  <c r="D2464" i="1"/>
  <c r="E2464" i="1"/>
  <c r="A2465" i="1"/>
  <c r="D2465" i="1"/>
  <c r="E2465" i="1"/>
  <c r="A2466" i="1"/>
  <c r="D2466" i="1"/>
  <c r="E2466" i="1"/>
  <c r="A2467" i="1"/>
  <c r="D2467" i="1"/>
  <c r="E2467" i="1"/>
  <c r="A2468" i="1"/>
  <c r="D2468" i="1"/>
  <c r="E2468" i="1"/>
  <c r="A2469" i="1"/>
  <c r="D2469" i="1"/>
  <c r="E2469" i="1"/>
  <c r="A2470" i="1"/>
  <c r="D2470" i="1"/>
  <c r="E2470" i="1"/>
  <c r="A2471" i="1"/>
  <c r="D2471" i="1"/>
  <c r="E2471" i="1"/>
  <c r="A2472" i="1"/>
  <c r="D2472" i="1"/>
  <c r="E2472" i="1"/>
  <c r="A2473" i="1"/>
  <c r="D2473" i="1"/>
  <c r="E2473" i="1"/>
  <c r="A2474" i="1"/>
  <c r="D2474" i="1"/>
  <c r="E2474" i="1"/>
  <c r="A2475" i="1"/>
  <c r="D2475" i="1"/>
  <c r="E2475" i="1"/>
  <c r="A2476" i="1"/>
  <c r="D2476" i="1"/>
  <c r="E2476" i="1"/>
  <c r="A2477" i="1"/>
  <c r="D2477" i="1"/>
  <c r="E2477" i="1"/>
  <c r="A2478" i="1"/>
  <c r="D2478" i="1"/>
  <c r="E2478" i="1"/>
  <c r="A2479" i="1"/>
  <c r="D2479" i="1"/>
  <c r="E2479" i="1"/>
  <c r="A2480" i="1"/>
  <c r="D2480" i="1"/>
  <c r="E2480" i="1"/>
  <c r="A2481" i="1"/>
  <c r="D2481" i="1"/>
  <c r="E2481" i="1"/>
  <c r="A2482" i="1"/>
  <c r="D2482" i="1"/>
  <c r="E2482" i="1"/>
  <c r="A2483" i="1"/>
  <c r="D2483" i="1"/>
  <c r="E2483" i="1"/>
  <c r="A2484" i="1"/>
  <c r="D2484" i="1"/>
  <c r="E2484" i="1"/>
  <c r="A2485" i="1"/>
  <c r="D2485" i="1"/>
  <c r="E2485" i="1"/>
  <c r="A2486" i="1"/>
  <c r="D2486" i="1"/>
  <c r="E2486" i="1"/>
  <c r="A2487" i="1"/>
  <c r="D2487" i="1"/>
  <c r="E2487" i="1"/>
  <c r="A2488" i="1"/>
  <c r="D2488" i="1"/>
  <c r="E2488" i="1"/>
  <c r="A2489" i="1"/>
  <c r="D2489" i="1"/>
  <c r="E2489" i="1"/>
  <c r="A2490" i="1"/>
  <c r="D2490" i="1"/>
  <c r="E2490" i="1"/>
  <c r="A2491" i="1"/>
  <c r="D2491" i="1"/>
  <c r="E2491" i="1"/>
  <c r="A2492" i="1"/>
  <c r="D2492" i="1"/>
  <c r="E2492" i="1"/>
  <c r="A2493" i="1"/>
  <c r="D2493" i="1"/>
  <c r="E2493" i="1"/>
  <c r="A2494" i="1"/>
  <c r="D2494" i="1"/>
  <c r="E2494" i="1"/>
  <c r="A2495" i="1"/>
  <c r="D2495" i="1"/>
  <c r="E2495" i="1"/>
  <c r="A2496" i="1"/>
  <c r="D2496" i="1"/>
  <c r="E2496" i="1"/>
  <c r="A2497" i="1"/>
  <c r="D2497" i="1"/>
  <c r="E2497" i="1"/>
  <c r="A2498" i="1"/>
  <c r="D2498" i="1"/>
  <c r="E2498" i="1"/>
  <c r="A2499" i="1"/>
  <c r="D2499" i="1"/>
  <c r="E2499" i="1"/>
  <c r="A2500" i="1"/>
  <c r="D2500" i="1"/>
  <c r="E2500" i="1"/>
  <c r="A2501" i="1"/>
  <c r="D2501" i="1"/>
  <c r="E2501" i="1"/>
  <c r="A2502" i="1"/>
  <c r="D2502" i="1"/>
  <c r="E2502" i="1"/>
  <c r="A2503" i="1"/>
  <c r="D2503" i="1"/>
  <c r="E2503" i="1"/>
  <c r="A2504" i="1"/>
  <c r="D2504" i="1"/>
  <c r="E2504" i="1"/>
  <c r="A2505" i="1"/>
  <c r="D2505" i="1"/>
  <c r="E2505" i="1"/>
  <c r="A2506" i="1"/>
  <c r="D2506" i="1"/>
  <c r="E2506" i="1"/>
  <c r="A2507" i="1"/>
  <c r="D2507" i="1"/>
  <c r="E2507" i="1"/>
  <c r="A2508" i="1"/>
  <c r="D2508" i="1"/>
  <c r="E2508" i="1"/>
  <c r="A2509" i="1"/>
  <c r="D2509" i="1"/>
  <c r="E2509" i="1"/>
  <c r="A2510" i="1"/>
  <c r="D2510" i="1"/>
  <c r="E2510" i="1"/>
  <c r="A2511" i="1"/>
  <c r="D2511" i="1"/>
  <c r="E2511" i="1"/>
  <c r="A2512" i="1"/>
  <c r="D2512" i="1"/>
  <c r="E2512" i="1"/>
  <c r="A2513" i="1"/>
  <c r="D2513" i="1"/>
  <c r="E2513" i="1"/>
  <c r="A2514" i="1"/>
  <c r="D2514" i="1"/>
  <c r="E2514" i="1"/>
  <c r="A2515" i="1"/>
  <c r="D2515" i="1"/>
  <c r="E2515" i="1"/>
  <c r="A2516" i="1"/>
  <c r="D2516" i="1"/>
  <c r="E2516" i="1"/>
  <c r="A2517" i="1"/>
  <c r="D2517" i="1"/>
  <c r="E2517" i="1"/>
  <c r="A2518" i="1"/>
  <c r="D2518" i="1"/>
  <c r="E2518" i="1"/>
  <c r="A2519" i="1"/>
  <c r="D2519" i="1"/>
  <c r="E2519" i="1"/>
  <c r="A2520" i="1"/>
  <c r="D2520" i="1"/>
  <c r="E2520" i="1"/>
  <c r="A2521" i="1"/>
  <c r="D2521" i="1"/>
  <c r="E2521" i="1"/>
  <c r="A2522" i="1"/>
  <c r="D2522" i="1"/>
  <c r="E2522" i="1"/>
  <c r="A2523" i="1"/>
  <c r="D2523" i="1"/>
  <c r="E2523" i="1"/>
  <c r="A2524" i="1"/>
  <c r="D2524" i="1"/>
  <c r="E2524" i="1"/>
  <c r="A2525" i="1"/>
  <c r="D2525" i="1"/>
  <c r="E2525" i="1"/>
  <c r="A2526" i="1"/>
  <c r="D2526" i="1"/>
  <c r="E2526" i="1"/>
  <c r="A2527" i="1"/>
  <c r="D2527" i="1"/>
  <c r="E2527" i="1"/>
  <c r="A2528" i="1"/>
  <c r="D2528" i="1"/>
  <c r="E2528" i="1"/>
  <c r="A2529" i="1"/>
  <c r="D2529" i="1"/>
  <c r="E2529" i="1"/>
  <c r="A2530" i="1"/>
  <c r="D2530" i="1"/>
  <c r="E2530" i="1"/>
  <c r="A2531" i="1"/>
  <c r="D2531" i="1"/>
  <c r="E2531" i="1"/>
  <c r="A2532" i="1"/>
  <c r="D2532" i="1"/>
  <c r="E2532" i="1"/>
  <c r="A2533" i="1"/>
  <c r="D2533" i="1"/>
  <c r="E2533" i="1"/>
  <c r="A2534" i="1"/>
  <c r="D2534" i="1"/>
  <c r="E2534" i="1"/>
  <c r="A2535" i="1"/>
  <c r="D2535" i="1"/>
  <c r="E2535" i="1"/>
  <c r="A2536" i="1"/>
  <c r="D2536" i="1"/>
  <c r="E2536" i="1"/>
  <c r="A2537" i="1"/>
  <c r="D2537" i="1"/>
  <c r="E2537" i="1"/>
  <c r="A2538" i="1"/>
  <c r="D2538" i="1"/>
  <c r="E2538" i="1"/>
  <c r="A2539" i="1"/>
  <c r="D2539" i="1"/>
  <c r="E2539" i="1"/>
  <c r="A2540" i="1"/>
  <c r="D2540" i="1"/>
  <c r="A2541" i="1"/>
  <c r="D2541" i="1"/>
  <c r="E2541" i="1"/>
  <c r="A2542" i="1"/>
  <c r="D2542" i="1"/>
  <c r="E2542" i="1"/>
  <c r="A2543" i="1"/>
  <c r="D2543" i="1"/>
  <c r="E2543" i="1"/>
  <c r="A2544" i="1"/>
  <c r="D2544" i="1"/>
  <c r="E2544" i="1"/>
  <c r="A2545" i="1"/>
  <c r="D2545" i="1"/>
  <c r="E2545" i="1"/>
  <c r="A2546" i="1"/>
  <c r="D2546" i="1"/>
  <c r="E2546" i="1"/>
  <c r="A2547" i="1"/>
  <c r="D2547" i="1"/>
  <c r="E2547" i="1"/>
  <c r="A2548" i="1"/>
  <c r="D2548" i="1"/>
  <c r="E2548" i="1"/>
  <c r="A2549" i="1"/>
  <c r="D2549" i="1"/>
  <c r="E2549" i="1"/>
  <c r="A2550" i="1"/>
  <c r="D2550" i="1"/>
  <c r="E2550" i="1"/>
  <c r="A2551" i="1"/>
  <c r="D2551" i="1"/>
  <c r="E2551" i="1"/>
  <c r="A2552" i="1"/>
  <c r="D2552" i="1"/>
  <c r="E2552" i="1"/>
  <c r="A2553" i="1"/>
  <c r="D2553" i="1"/>
  <c r="E2553" i="1"/>
  <c r="A2554" i="1"/>
  <c r="D2554" i="1"/>
  <c r="E2554" i="1"/>
  <c r="A2555" i="1"/>
  <c r="D2555" i="1"/>
  <c r="E2555" i="1"/>
  <c r="A2556" i="1"/>
  <c r="D2556" i="1"/>
  <c r="E2556" i="1"/>
  <c r="A2557" i="1"/>
  <c r="D2557" i="1"/>
  <c r="E2557" i="1"/>
  <c r="A2558" i="1"/>
  <c r="D2558" i="1"/>
  <c r="E2558" i="1"/>
  <c r="A2559" i="1"/>
  <c r="D2559" i="1"/>
  <c r="E2559" i="1"/>
  <c r="A2560" i="1"/>
  <c r="D2560" i="1"/>
  <c r="E2560" i="1"/>
  <c r="A2561" i="1"/>
  <c r="D2561" i="1"/>
  <c r="E2561" i="1"/>
  <c r="A2562" i="1"/>
  <c r="D2562" i="1"/>
  <c r="E2562" i="1"/>
  <c r="A2563" i="1"/>
  <c r="D2563" i="1"/>
  <c r="E2563" i="1"/>
  <c r="A2564" i="1"/>
  <c r="D2564" i="1"/>
  <c r="E2564" i="1"/>
  <c r="A2565" i="1"/>
  <c r="D2565" i="1"/>
  <c r="E2565" i="1"/>
  <c r="A2566" i="1"/>
  <c r="D2566" i="1"/>
  <c r="E2566" i="1"/>
  <c r="A2567" i="1"/>
  <c r="D2567" i="1"/>
  <c r="E2567" i="1"/>
  <c r="A2568" i="1"/>
  <c r="D2568" i="1"/>
  <c r="E2568" i="1"/>
  <c r="A2569" i="1"/>
  <c r="D2569" i="1"/>
  <c r="E2569" i="1"/>
  <c r="A2570" i="1"/>
  <c r="D2570" i="1"/>
  <c r="E2570" i="1"/>
  <c r="A2571" i="1"/>
  <c r="D2571" i="1"/>
  <c r="E2571" i="1"/>
  <c r="A2572" i="1"/>
  <c r="D2572" i="1"/>
  <c r="E2572" i="1"/>
  <c r="A2573" i="1"/>
  <c r="D2573" i="1"/>
  <c r="E2573" i="1"/>
  <c r="A2574" i="1"/>
  <c r="D2574" i="1"/>
  <c r="E2574" i="1"/>
  <c r="A2575" i="1"/>
  <c r="D2575" i="1"/>
  <c r="E2575" i="1"/>
  <c r="A2576" i="1"/>
  <c r="D2576" i="1"/>
  <c r="E2576" i="1"/>
  <c r="A2577" i="1"/>
  <c r="D2577" i="1"/>
  <c r="E2577" i="1"/>
  <c r="A2578" i="1"/>
  <c r="D2578" i="1"/>
  <c r="E2578" i="1"/>
  <c r="A2579" i="1"/>
  <c r="D2579" i="1"/>
  <c r="E2579" i="1"/>
  <c r="A2580" i="1"/>
  <c r="D2580" i="1"/>
  <c r="E2580" i="1"/>
  <c r="A2581" i="1"/>
  <c r="D2581" i="1"/>
  <c r="E2581" i="1"/>
  <c r="A2582" i="1"/>
  <c r="D2582" i="1"/>
  <c r="E2582" i="1"/>
  <c r="A2583" i="1"/>
  <c r="D2583" i="1"/>
  <c r="E2583" i="1"/>
  <c r="A2584" i="1"/>
  <c r="D2584" i="1"/>
  <c r="E2584" i="1"/>
  <c r="A2585" i="1"/>
  <c r="D2585" i="1"/>
  <c r="E2585" i="1"/>
  <c r="A2586" i="1"/>
  <c r="D2586" i="1"/>
  <c r="E2586" i="1"/>
  <c r="A2587" i="1"/>
  <c r="D2587" i="1"/>
  <c r="E2587" i="1"/>
  <c r="A2588" i="1"/>
  <c r="D2588" i="1"/>
  <c r="E2588" i="1"/>
  <c r="A2589" i="1"/>
  <c r="D2589" i="1"/>
  <c r="E2589" i="1"/>
  <c r="A2590" i="1"/>
  <c r="D2590" i="1"/>
  <c r="E2590" i="1"/>
  <c r="A2591" i="1"/>
  <c r="D2591" i="1"/>
  <c r="E2591" i="1"/>
  <c r="A2592" i="1"/>
  <c r="D2592" i="1"/>
  <c r="E2592" i="1"/>
  <c r="A2593" i="1"/>
  <c r="D2593" i="1"/>
  <c r="E2593" i="1"/>
  <c r="A2594" i="1"/>
  <c r="D2594" i="1"/>
  <c r="E2594" i="1"/>
  <c r="A2595" i="1"/>
  <c r="D2595" i="1"/>
  <c r="E2595" i="1"/>
  <c r="A2596" i="1"/>
  <c r="D2596" i="1"/>
  <c r="E2596" i="1"/>
  <c r="A2597" i="1"/>
  <c r="D2597" i="1"/>
  <c r="A2598" i="1"/>
  <c r="D2598" i="1"/>
  <c r="E2598" i="1"/>
  <c r="A2599" i="1"/>
  <c r="D2599" i="1"/>
  <c r="E2599" i="1"/>
  <c r="A2600" i="1"/>
  <c r="D2600" i="1"/>
  <c r="E2600" i="1"/>
  <c r="A2601" i="1"/>
  <c r="D2601" i="1"/>
  <c r="E2601" i="1"/>
  <c r="A2602" i="1"/>
  <c r="D2602" i="1"/>
  <c r="E2602" i="1"/>
  <c r="A2603" i="1"/>
  <c r="D2603" i="1"/>
  <c r="E2603" i="1"/>
  <c r="A2604" i="1"/>
  <c r="D2604" i="1"/>
  <c r="E2604" i="1"/>
  <c r="A2605" i="1"/>
  <c r="D2605" i="1"/>
  <c r="E2605" i="1"/>
  <c r="A2606" i="1"/>
  <c r="D2606" i="1"/>
  <c r="E2606" i="1"/>
  <c r="A2607" i="1"/>
  <c r="D2607" i="1"/>
  <c r="E2607" i="1"/>
  <c r="A2608" i="1"/>
  <c r="D2608" i="1"/>
  <c r="E2608" i="1"/>
  <c r="A2609" i="1"/>
  <c r="D2609" i="1"/>
  <c r="E2609" i="1"/>
  <c r="A2610" i="1"/>
  <c r="D2610" i="1"/>
  <c r="E2610" i="1"/>
  <c r="A2611" i="1"/>
  <c r="D2611" i="1"/>
  <c r="E2611" i="1"/>
  <c r="A2612" i="1"/>
  <c r="D2612" i="1"/>
  <c r="E2612" i="1"/>
  <c r="A2613" i="1"/>
  <c r="D2613" i="1"/>
  <c r="E2613" i="1"/>
  <c r="A2614" i="1"/>
  <c r="D2614" i="1"/>
  <c r="E2614" i="1"/>
  <c r="A2615" i="1"/>
  <c r="D2615" i="1"/>
  <c r="E2615" i="1"/>
  <c r="A2616" i="1"/>
  <c r="D2616" i="1"/>
  <c r="E2616" i="1"/>
  <c r="A2617" i="1"/>
  <c r="D2617" i="1"/>
  <c r="E2617" i="1"/>
  <c r="A2618" i="1"/>
  <c r="D2618" i="1"/>
  <c r="E2618" i="1"/>
  <c r="A2619" i="1"/>
  <c r="D2619" i="1"/>
  <c r="E2619" i="1"/>
  <c r="A2620" i="1"/>
  <c r="D2620" i="1"/>
  <c r="E2620" i="1"/>
  <c r="A2621" i="1"/>
  <c r="D2621" i="1"/>
  <c r="E2621" i="1"/>
  <c r="A2622" i="1"/>
  <c r="D2622" i="1"/>
  <c r="E2622" i="1"/>
  <c r="A2623" i="1"/>
  <c r="D2623" i="1"/>
  <c r="E2623" i="1"/>
  <c r="A2624" i="1"/>
  <c r="D2624" i="1"/>
  <c r="E2624" i="1"/>
  <c r="A2625" i="1"/>
  <c r="D2625" i="1"/>
  <c r="E2625" i="1"/>
  <c r="A2626" i="1"/>
  <c r="D2626" i="1"/>
  <c r="E2626" i="1"/>
  <c r="A2627" i="1"/>
  <c r="D2627" i="1"/>
  <c r="E2627" i="1"/>
  <c r="A2628" i="1"/>
  <c r="D2628" i="1"/>
  <c r="E2628" i="1"/>
  <c r="A2629" i="1"/>
  <c r="D2629" i="1"/>
  <c r="E2629" i="1"/>
  <c r="A2630" i="1"/>
  <c r="D2630" i="1"/>
  <c r="E2630" i="1"/>
  <c r="A2631" i="1"/>
  <c r="D2631" i="1"/>
  <c r="E2631" i="1"/>
  <c r="A2632" i="1"/>
  <c r="D2632" i="1"/>
  <c r="E2632" i="1"/>
  <c r="A2633" i="1"/>
  <c r="D2633" i="1"/>
  <c r="E2633" i="1"/>
  <c r="A2634" i="1"/>
  <c r="D2634" i="1"/>
  <c r="E2634" i="1"/>
  <c r="A2635" i="1"/>
  <c r="D2635" i="1"/>
  <c r="E2635" i="1"/>
  <c r="A2636" i="1"/>
  <c r="D2636" i="1"/>
  <c r="E2636" i="1"/>
  <c r="A2637" i="1"/>
  <c r="D2637" i="1"/>
  <c r="E2637" i="1"/>
  <c r="A2638" i="1"/>
  <c r="D2638" i="1"/>
  <c r="E2638" i="1"/>
  <c r="A2639" i="1"/>
  <c r="D2639" i="1"/>
  <c r="E2639" i="1"/>
  <c r="A2640" i="1"/>
  <c r="D2640" i="1"/>
  <c r="E2640" i="1"/>
  <c r="A2641" i="1"/>
  <c r="D2641" i="1"/>
  <c r="E2641" i="1"/>
  <c r="A2642" i="1"/>
  <c r="D2642" i="1"/>
  <c r="E2642" i="1"/>
  <c r="A2643" i="1"/>
  <c r="D2643" i="1"/>
  <c r="E2643" i="1"/>
  <c r="A2644" i="1"/>
  <c r="D2644" i="1"/>
  <c r="A2645" i="1"/>
  <c r="D2645" i="1"/>
  <c r="E2645" i="1"/>
  <c r="A2646" i="1"/>
  <c r="D2646" i="1"/>
  <c r="E2646" i="1"/>
  <c r="A2647" i="1"/>
  <c r="D2647" i="1"/>
  <c r="E2647" i="1"/>
  <c r="A2648" i="1"/>
  <c r="D2648" i="1"/>
  <c r="E2648" i="1"/>
  <c r="A2649" i="1"/>
  <c r="D2649" i="1"/>
  <c r="A2650" i="1"/>
  <c r="D2650" i="1"/>
  <c r="E2650" i="1"/>
  <c r="A2651" i="1"/>
  <c r="D2651" i="1"/>
  <c r="E2651" i="1"/>
  <c r="A2652" i="1"/>
  <c r="D2652" i="1"/>
  <c r="E2652" i="1"/>
  <c r="A2653" i="1"/>
  <c r="D2653" i="1"/>
  <c r="A2654" i="1"/>
  <c r="D2654" i="1"/>
  <c r="E2654" i="1"/>
  <c r="A2655" i="1"/>
  <c r="D2655" i="1"/>
  <c r="E2655" i="1"/>
  <c r="A2656" i="1"/>
  <c r="D2656" i="1"/>
  <c r="E2656" i="1"/>
  <c r="A2657" i="1"/>
  <c r="D2657" i="1"/>
  <c r="A2658" i="1"/>
  <c r="D2658" i="1"/>
  <c r="E2658" i="1"/>
  <c r="A2659" i="1"/>
  <c r="D2659" i="1"/>
  <c r="E2659" i="1"/>
  <c r="A2660" i="1"/>
  <c r="D2660" i="1"/>
  <c r="E2660" i="1"/>
  <c r="A2661" i="1"/>
  <c r="D2661" i="1"/>
  <c r="E2661" i="1"/>
  <c r="A2662" i="1"/>
  <c r="D2662" i="1"/>
  <c r="E2662" i="1"/>
  <c r="A2663" i="1"/>
  <c r="D2663" i="1"/>
  <c r="E2663" i="1"/>
  <c r="A2664" i="1"/>
  <c r="D2664" i="1"/>
  <c r="E2664" i="1"/>
  <c r="A2665" i="1"/>
  <c r="D2665" i="1"/>
  <c r="E2665" i="1"/>
  <c r="A2666" i="1"/>
  <c r="D2666" i="1"/>
  <c r="E2666" i="1"/>
  <c r="A2667" i="1"/>
  <c r="D2667" i="1"/>
  <c r="E2667" i="1"/>
  <c r="A2668" i="1"/>
  <c r="D2668" i="1"/>
  <c r="E2668" i="1"/>
  <c r="A2669" i="1"/>
  <c r="D2669" i="1"/>
  <c r="E2669" i="1"/>
  <c r="A2670" i="1"/>
  <c r="D2670" i="1"/>
  <c r="E2670" i="1"/>
  <c r="A2671" i="1"/>
  <c r="D2671" i="1"/>
  <c r="E2671" i="1"/>
  <c r="A2672" i="1"/>
  <c r="D2672" i="1"/>
  <c r="A2673" i="1"/>
  <c r="D2673" i="1"/>
  <c r="E2673" i="1"/>
  <c r="A2674" i="1"/>
  <c r="D2674" i="1"/>
  <c r="E2674" i="1"/>
  <c r="A2675" i="1"/>
  <c r="D2675" i="1"/>
  <c r="E2675" i="1"/>
  <c r="A2676" i="1"/>
  <c r="D2676" i="1"/>
  <c r="E2676" i="1"/>
  <c r="A2677" i="1"/>
  <c r="D2677" i="1"/>
  <c r="E2677" i="1"/>
  <c r="A2678" i="1"/>
  <c r="D2678" i="1"/>
  <c r="E2678" i="1"/>
  <c r="A2679" i="1"/>
  <c r="D2679" i="1"/>
  <c r="E2679" i="1"/>
  <c r="A2680" i="1"/>
  <c r="D2680" i="1"/>
  <c r="E2680" i="1"/>
  <c r="A2681" i="1"/>
  <c r="D2681" i="1"/>
  <c r="A2682" i="1"/>
  <c r="D2682" i="1"/>
  <c r="E2682" i="1"/>
  <c r="A2683" i="1"/>
  <c r="D2683" i="1"/>
  <c r="E2683" i="1"/>
  <c r="A2684" i="1"/>
  <c r="D2684" i="1"/>
  <c r="E2684" i="1"/>
  <c r="A2685" i="1"/>
  <c r="D2685" i="1"/>
  <c r="E2685" i="1"/>
  <c r="A2686" i="1"/>
  <c r="D2686" i="1"/>
  <c r="E2686" i="1"/>
  <c r="A2687" i="1"/>
  <c r="D2687" i="1"/>
  <c r="E2687" i="1"/>
  <c r="A2688" i="1"/>
  <c r="D2688" i="1"/>
  <c r="E2688" i="1"/>
  <c r="A2689" i="1"/>
  <c r="D2689" i="1"/>
  <c r="E2689" i="1"/>
  <c r="A2690" i="1"/>
  <c r="D2690" i="1"/>
  <c r="E2690" i="1"/>
  <c r="A2691" i="1"/>
  <c r="D2691" i="1"/>
  <c r="E2691" i="1"/>
  <c r="A2692" i="1"/>
  <c r="D2692" i="1"/>
  <c r="E2692" i="1"/>
  <c r="A2693" i="1"/>
  <c r="D2693" i="1"/>
  <c r="E2693" i="1"/>
  <c r="A2694" i="1"/>
  <c r="D2694" i="1"/>
  <c r="E2694" i="1"/>
  <c r="A2695" i="1"/>
  <c r="D2695" i="1"/>
  <c r="E2695" i="1"/>
  <c r="A2696" i="1"/>
  <c r="D2696" i="1"/>
  <c r="A2697" i="1"/>
  <c r="D2697" i="1"/>
  <c r="E2697" i="1"/>
  <c r="A2698" i="1"/>
  <c r="D2698" i="1"/>
  <c r="E2698" i="1"/>
  <c r="A2699" i="1"/>
  <c r="D2699" i="1"/>
  <c r="E2699" i="1"/>
  <c r="A2700" i="1"/>
  <c r="D2700" i="1"/>
  <c r="A2701" i="1"/>
  <c r="D2701" i="1"/>
  <c r="E2701" i="1"/>
  <c r="A2702" i="1"/>
  <c r="D2702" i="1"/>
  <c r="E2702" i="1"/>
  <c r="A2703" i="1"/>
  <c r="D2703" i="1"/>
  <c r="E2703" i="1"/>
  <c r="A2704" i="1"/>
  <c r="D2704" i="1"/>
  <c r="E2704" i="1"/>
  <c r="A2705" i="1"/>
  <c r="D2705" i="1"/>
  <c r="E2705" i="1"/>
  <c r="A2706" i="1"/>
  <c r="D2706" i="1"/>
  <c r="E2706" i="1"/>
  <c r="A2707" i="1"/>
  <c r="D2707" i="1"/>
  <c r="E2707" i="1"/>
  <c r="A2708" i="1"/>
  <c r="D2708" i="1"/>
  <c r="E2708" i="1"/>
  <c r="A2709" i="1"/>
  <c r="D2709" i="1"/>
  <c r="E2709" i="1"/>
  <c r="A2710" i="1"/>
  <c r="D2710" i="1"/>
  <c r="E2710" i="1"/>
  <c r="A2711" i="1"/>
  <c r="D2711" i="1"/>
  <c r="E2711" i="1"/>
  <c r="A2712" i="1"/>
  <c r="D2712" i="1"/>
  <c r="E2712" i="1"/>
  <c r="A2713" i="1"/>
  <c r="D2713" i="1"/>
  <c r="E2713" i="1"/>
  <c r="A2714" i="1"/>
  <c r="D2714" i="1"/>
  <c r="E2714" i="1"/>
  <c r="A2715" i="1"/>
  <c r="D2715" i="1"/>
  <c r="E2715" i="1"/>
  <c r="A2716" i="1"/>
  <c r="D2716" i="1"/>
  <c r="E2716" i="1"/>
  <c r="A2717" i="1"/>
  <c r="D2717" i="1"/>
  <c r="E2717" i="1"/>
  <c r="A2718" i="1"/>
  <c r="D2718" i="1"/>
  <c r="E2718" i="1"/>
  <c r="A2719" i="1"/>
  <c r="D2719" i="1"/>
  <c r="E2719" i="1"/>
  <c r="A2720" i="1"/>
  <c r="D2720" i="1"/>
  <c r="E2720" i="1"/>
  <c r="A2721" i="1"/>
  <c r="D2721" i="1"/>
  <c r="E2721" i="1"/>
  <c r="A2722" i="1"/>
  <c r="D2722" i="1"/>
  <c r="E2722" i="1"/>
  <c r="A2723" i="1"/>
  <c r="D2723" i="1"/>
  <c r="E2723" i="1"/>
  <c r="A2724" i="1"/>
  <c r="D2724" i="1"/>
  <c r="E2724" i="1"/>
  <c r="A2725" i="1"/>
  <c r="D2725" i="1"/>
  <c r="E2725" i="1"/>
  <c r="A2726" i="1"/>
  <c r="D2726" i="1"/>
  <c r="E2726" i="1"/>
  <c r="A2727" i="1"/>
  <c r="D2727" i="1"/>
  <c r="E2727" i="1"/>
  <c r="A2728" i="1"/>
  <c r="D2728" i="1"/>
  <c r="E2728" i="1"/>
  <c r="A2729" i="1"/>
  <c r="D2729" i="1"/>
  <c r="E2729" i="1"/>
  <c r="A2730" i="1"/>
  <c r="D2730" i="1"/>
  <c r="E2730" i="1"/>
  <c r="A2731" i="1"/>
  <c r="D2731" i="1"/>
  <c r="E2731" i="1"/>
  <c r="A2732" i="1"/>
  <c r="D2732" i="1"/>
  <c r="E2732" i="1"/>
  <c r="A2733" i="1"/>
  <c r="D2733" i="1"/>
  <c r="E2733" i="1"/>
  <c r="A2734" i="1"/>
  <c r="D2734" i="1"/>
  <c r="E2734" i="1"/>
  <c r="A2735" i="1"/>
  <c r="D2735" i="1"/>
  <c r="E2735" i="1"/>
  <c r="A2736" i="1"/>
  <c r="D2736" i="1"/>
  <c r="E2736" i="1"/>
  <c r="A2737" i="1"/>
  <c r="D2737" i="1"/>
  <c r="E2737" i="1"/>
  <c r="A2738" i="1"/>
  <c r="D2738" i="1"/>
  <c r="E2738" i="1"/>
  <c r="A2739" i="1"/>
  <c r="D2739" i="1"/>
  <c r="E2739" i="1"/>
  <c r="A2740" i="1"/>
  <c r="D2740" i="1"/>
  <c r="E2740" i="1"/>
  <c r="A2741" i="1"/>
  <c r="D2741" i="1"/>
  <c r="E2741" i="1"/>
  <c r="A2742" i="1"/>
  <c r="D2742" i="1"/>
  <c r="E2742" i="1"/>
  <c r="A2743" i="1"/>
  <c r="D2743" i="1"/>
  <c r="E2743" i="1"/>
  <c r="A2744" i="1"/>
  <c r="D2744" i="1"/>
  <c r="E2744" i="1"/>
  <c r="A2745" i="1"/>
  <c r="D2745" i="1"/>
  <c r="E2745" i="1"/>
  <c r="A2746" i="1"/>
  <c r="D2746" i="1"/>
  <c r="E2746" i="1"/>
  <c r="A2747" i="1"/>
  <c r="D2747" i="1"/>
  <c r="E2747" i="1"/>
  <c r="A2748" i="1"/>
  <c r="D2748" i="1"/>
  <c r="E2748" i="1"/>
  <c r="A2749" i="1"/>
  <c r="D2749" i="1"/>
  <c r="E2749" i="1"/>
  <c r="A2750" i="1"/>
  <c r="D2750" i="1"/>
  <c r="E2750" i="1"/>
  <c r="A2751" i="1"/>
  <c r="D2751" i="1"/>
  <c r="E2751" i="1"/>
  <c r="A2752" i="1"/>
  <c r="D2752" i="1"/>
  <c r="E2752" i="1"/>
  <c r="A2753" i="1"/>
  <c r="D2753" i="1"/>
  <c r="E2753" i="1"/>
  <c r="A2754" i="1"/>
  <c r="D2754" i="1"/>
  <c r="E2754" i="1"/>
  <c r="A2755" i="1"/>
  <c r="D2755" i="1"/>
  <c r="E2755" i="1"/>
  <c r="A2756" i="1"/>
  <c r="D2756" i="1"/>
  <c r="E2756" i="1"/>
  <c r="A2757" i="1"/>
  <c r="D2757" i="1"/>
  <c r="E2757" i="1"/>
  <c r="A2758" i="1"/>
  <c r="D2758" i="1"/>
  <c r="A2759" i="1"/>
  <c r="D2759" i="1"/>
  <c r="E2759" i="1"/>
  <c r="A2760" i="1"/>
  <c r="D2760" i="1"/>
  <c r="E2760" i="1"/>
  <c r="A2761" i="1"/>
  <c r="D2761" i="1"/>
  <c r="E2761" i="1"/>
  <c r="A2762" i="1"/>
  <c r="D2762" i="1"/>
  <c r="E2762" i="1"/>
  <c r="A2763" i="1"/>
  <c r="D2763" i="1"/>
  <c r="E2763" i="1"/>
  <c r="A2764" i="1"/>
  <c r="D2764" i="1"/>
  <c r="E2764" i="1"/>
  <c r="A2765" i="1"/>
  <c r="D2765" i="1"/>
  <c r="E2765" i="1"/>
  <c r="A2766" i="1"/>
  <c r="D2766" i="1"/>
  <c r="E2766" i="1"/>
  <c r="A2767" i="1"/>
  <c r="D2767" i="1"/>
  <c r="E2767" i="1"/>
  <c r="A2768" i="1"/>
  <c r="D2768" i="1"/>
  <c r="E2768" i="1"/>
  <c r="A2769" i="1"/>
  <c r="D2769" i="1"/>
  <c r="A2770" i="1"/>
  <c r="D2770" i="1"/>
  <c r="E2770" i="1"/>
  <c r="A2771" i="1"/>
  <c r="D2771" i="1"/>
  <c r="E2771" i="1"/>
  <c r="A2772" i="1"/>
  <c r="D2772" i="1"/>
  <c r="A2773" i="1"/>
  <c r="D2773" i="1"/>
  <c r="E2773" i="1"/>
  <c r="A2774" i="1"/>
  <c r="D2774" i="1"/>
  <c r="E2774" i="1"/>
  <c r="A2775" i="1"/>
  <c r="D2775" i="1"/>
  <c r="E2775" i="1"/>
  <c r="A2776" i="1"/>
  <c r="D2776" i="1"/>
  <c r="E2776" i="1"/>
  <c r="A2777" i="1"/>
  <c r="D2777" i="1"/>
  <c r="E2777" i="1"/>
  <c r="A2778" i="1"/>
  <c r="D2778" i="1"/>
  <c r="E2778" i="1"/>
  <c r="A2779" i="1"/>
  <c r="D2779" i="1"/>
  <c r="E2779" i="1"/>
  <c r="A2780" i="1"/>
  <c r="D2780" i="1"/>
  <c r="E2780" i="1"/>
  <c r="A2781" i="1"/>
  <c r="D2781" i="1"/>
  <c r="E2781" i="1"/>
  <c r="A2782" i="1"/>
  <c r="D2782" i="1"/>
  <c r="E2782" i="1"/>
  <c r="A2783" i="1"/>
  <c r="D2783" i="1"/>
  <c r="E2783" i="1"/>
  <c r="A2784" i="1"/>
  <c r="D2784" i="1"/>
  <c r="A2785" i="1"/>
  <c r="D2785" i="1"/>
  <c r="E2785" i="1"/>
  <c r="A2786" i="1"/>
  <c r="D2786" i="1"/>
  <c r="E2786" i="1"/>
  <c r="A2787" i="1"/>
  <c r="D2787" i="1"/>
  <c r="E2787" i="1"/>
  <c r="A2788" i="1"/>
  <c r="D2788" i="1"/>
  <c r="E2788" i="1"/>
  <c r="A2789" i="1"/>
  <c r="D2789" i="1"/>
  <c r="E2789" i="1"/>
  <c r="A2790" i="1"/>
  <c r="D2790" i="1"/>
  <c r="E2790" i="1"/>
  <c r="A2791" i="1"/>
  <c r="D2791" i="1"/>
  <c r="E2791" i="1"/>
  <c r="A2792" i="1"/>
  <c r="D2792" i="1"/>
  <c r="E2792" i="1"/>
  <c r="A2793" i="1"/>
  <c r="D2793" i="1"/>
  <c r="E2793" i="1"/>
  <c r="A2794" i="1"/>
  <c r="D2794" i="1"/>
  <c r="E2794" i="1"/>
  <c r="A2795" i="1"/>
  <c r="D2795" i="1"/>
  <c r="A2796" i="1"/>
  <c r="D2796" i="1"/>
  <c r="E2796" i="1"/>
  <c r="A2797" i="1"/>
  <c r="D2797" i="1"/>
  <c r="E2797" i="1"/>
  <c r="A2798" i="1"/>
  <c r="D2798" i="1"/>
  <c r="E2798" i="1"/>
  <c r="A2799" i="1"/>
  <c r="D2799" i="1"/>
  <c r="E2799" i="1"/>
  <c r="A2800" i="1"/>
  <c r="D2800" i="1"/>
  <c r="E2800" i="1"/>
  <c r="A2801" i="1"/>
  <c r="D2801" i="1"/>
  <c r="E2801" i="1"/>
  <c r="A2802" i="1"/>
  <c r="D2802" i="1"/>
  <c r="E2802" i="1"/>
  <c r="A2803" i="1"/>
  <c r="D2803" i="1"/>
  <c r="E2803" i="1"/>
  <c r="A2804" i="1"/>
  <c r="D2804" i="1"/>
  <c r="A2805" i="1"/>
  <c r="D2805" i="1"/>
  <c r="E2805" i="1"/>
  <c r="A2806" i="1"/>
  <c r="D2806" i="1"/>
  <c r="E2806" i="1"/>
  <c r="A2807" i="1"/>
  <c r="D2807" i="1"/>
  <c r="E2807" i="1"/>
  <c r="A2808" i="1"/>
  <c r="D2808" i="1"/>
  <c r="E2808" i="1"/>
  <c r="A2809" i="1"/>
  <c r="D2809" i="1"/>
  <c r="A2810" i="1"/>
  <c r="D2810" i="1"/>
  <c r="E2810" i="1"/>
  <c r="A2811" i="1"/>
  <c r="D2811" i="1"/>
  <c r="E2811" i="1"/>
  <c r="A2812" i="1"/>
  <c r="D2812" i="1"/>
  <c r="E2812" i="1"/>
  <c r="A2813" i="1"/>
  <c r="D2813" i="1"/>
  <c r="A2814" i="1"/>
  <c r="D2814" i="1"/>
  <c r="E2814" i="1"/>
  <c r="A2815" i="1"/>
  <c r="D2815" i="1"/>
  <c r="E2815" i="1"/>
  <c r="A2816" i="1"/>
  <c r="D2816" i="1"/>
  <c r="E2816" i="1"/>
  <c r="A2817" i="1"/>
  <c r="D2817" i="1"/>
  <c r="E2817" i="1"/>
  <c r="A2818" i="1"/>
  <c r="D2818" i="1"/>
  <c r="E2818" i="1"/>
  <c r="A2819" i="1"/>
  <c r="D2819" i="1"/>
  <c r="E2819" i="1"/>
  <c r="A2820" i="1"/>
  <c r="D2820" i="1"/>
  <c r="E2820" i="1"/>
  <c r="A2821" i="1"/>
  <c r="D2821" i="1"/>
  <c r="A2822" i="1"/>
  <c r="D2822" i="1"/>
  <c r="E2822" i="1"/>
  <c r="A2823" i="1"/>
  <c r="D2823" i="1"/>
  <c r="E2823" i="1"/>
  <c r="A2824" i="1"/>
  <c r="D2824" i="1"/>
  <c r="E2824" i="1"/>
  <c r="A2825" i="1"/>
  <c r="D2825" i="1"/>
  <c r="E2825" i="1"/>
  <c r="A2826" i="1"/>
  <c r="D2826" i="1"/>
  <c r="E2826" i="1"/>
  <c r="A2827" i="1"/>
  <c r="D2827" i="1"/>
  <c r="A2828" i="1"/>
  <c r="D2828" i="1"/>
  <c r="E2828" i="1"/>
  <c r="A2829" i="1"/>
  <c r="D2829" i="1"/>
  <c r="A2830" i="1"/>
  <c r="D2830" i="1"/>
  <c r="A2831" i="1"/>
  <c r="D2831" i="1"/>
  <c r="A2832" i="1"/>
  <c r="D2832" i="1"/>
  <c r="A2833" i="1"/>
  <c r="D2833" i="1"/>
  <c r="A2834" i="1"/>
  <c r="D2834" i="1"/>
  <c r="A2835" i="1"/>
  <c r="D2835" i="1"/>
  <c r="A2836" i="1"/>
  <c r="D2836" i="1"/>
  <c r="A2837" i="1"/>
  <c r="D2837" i="1"/>
  <c r="A2838" i="1"/>
  <c r="D2838" i="1"/>
  <c r="A2839" i="1"/>
  <c r="D2839" i="1"/>
  <c r="A2840" i="1"/>
  <c r="D2840" i="1"/>
  <c r="A2841" i="1"/>
  <c r="D2841" i="1"/>
  <c r="A2842" i="1"/>
  <c r="D2842" i="1"/>
  <c r="E2842" i="1"/>
  <c r="A2843" i="1"/>
  <c r="D2843" i="1"/>
  <c r="E2843" i="1"/>
  <c r="A2844" i="1"/>
  <c r="D2844" i="1"/>
  <c r="A2845" i="1"/>
  <c r="D2845" i="1"/>
  <c r="A2846" i="1"/>
  <c r="D2846" i="1"/>
  <c r="E2846" i="1"/>
  <c r="A2847" i="1"/>
  <c r="D2847" i="1"/>
  <c r="E2847" i="1"/>
  <c r="A2848" i="1"/>
  <c r="D2848" i="1"/>
  <c r="E2848" i="1"/>
  <c r="A2849" i="1"/>
  <c r="D2849" i="1"/>
  <c r="E2849" i="1"/>
  <c r="A2850" i="1"/>
  <c r="D2850" i="1"/>
  <c r="E2850" i="1"/>
  <c r="A2851" i="1"/>
  <c r="D2851" i="1"/>
  <c r="E2851" i="1"/>
  <c r="A2852" i="1"/>
  <c r="D2852" i="1"/>
  <c r="E2852" i="1"/>
  <c r="A2853" i="1"/>
  <c r="D2853" i="1"/>
  <c r="E2853" i="1"/>
  <c r="A2854" i="1"/>
  <c r="D2854" i="1"/>
  <c r="E2854" i="1"/>
  <c r="A2855" i="1"/>
  <c r="D2855" i="1"/>
  <c r="E2855" i="1"/>
  <c r="A2856" i="1"/>
  <c r="D2856" i="1"/>
  <c r="E2856" i="1"/>
  <c r="A2857" i="1"/>
  <c r="D2857" i="1"/>
  <c r="E2857" i="1"/>
  <c r="A2858" i="1"/>
  <c r="D2858" i="1"/>
  <c r="E2858" i="1"/>
  <c r="A2859" i="1"/>
  <c r="D2859" i="1"/>
  <c r="E2859" i="1"/>
  <c r="A2860" i="1"/>
  <c r="D2860" i="1"/>
  <c r="E2860" i="1"/>
  <c r="A2861" i="1"/>
  <c r="D2861" i="1"/>
  <c r="E2861" i="1"/>
  <c r="A2862" i="1"/>
  <c r="D2862" i="1"/>
  <c r="E2862" i="1"/>
  <c r="A2863" i="1"/>
  <c r="D2863" i="1"/>
  <c r="E2863" i="1"/>
  <c r="A2864" i="1"/>
  <c r="D2864" i="1"/>
  <c r="E2864" i="1"/>
  <c r="A2865" i="1"/>
  <c r="D2865" i="1"/>
  <c r="E2865" i="1"/>
  <c r="A2866" i="1"/>
  <c r="D2866" i="1"/>
  <c r="E2866" i="1"/>
  <c r="A2867" i="1"/>
  <c r="D2867" i="1"/>
  <c r="E2867" i="1"/>
  <c r="A2868" i="1"/>
  <c r="D2868" i="1"/>
  <c r="E2868" i="1"/>
  <c r="A2869" i="1"/>
  <c r="D2869" i="1"/>
  <c r="E2869" i="1"/>
  <c r="A2870" i="1"/>
  <c r="D2870" i="1"/>
  <c r="E2870" i="1"/>
  <c r="A2871" i="1"/>
  <c r="D2871" i="1"/>
  <c r="E2871" i="1"/>
  <c r="A2872" i="1"/>
  <c r="D2872" i="1"/>
  <c r="E2872" i="1"/>
  <c r="A2873" i="1"/>
  <c r="D2873" i="1"/>
  <c r="E2873" i="1"/>
  <c r="A2874" i="1"/>
  <c r="D2874" i="1"/>
  <c r="E2874" i="1"/>
  <c r="A2875" i="1"/>
  <c r="D2875" i="1"/>
  <c r="E2875" i="1"/>
  <c r="A2876" i="1"/>
  <c r="D2876" i="1"/>
  <c r="E2876" i="1"/>
  <c r="A2877" i="1"/>
  <c r="D2877" i="1"/>
  <c r="E2877" i="1"/>
  <c r="A2878" i="1"/>
  <c r="D2878" i="1"/>
  <c r="E2878" i="1"/>
  <c r="A2879" i="1"/>
  <c r="D2879" i="1"/>
  <c r="E2879" i="1"/>
  <c r="A2880" i="1"/>
  <c r="D2880" i="1"/>
  <c r="E2880" i="1"/>
  <c r="A2881" i="1"/>
  <c r="D2881" i="1"/>
  <c r="E2881" i="1"/>
  <c r="A2882" i="1"/>
  <c r="D2882" i="1"/>
  <c r="E2882" i="1"/>
  <c r="A2883" i="1"/>
  <c r="D2883" i="1"/>
  <c r="E2883" i="1"/>
  <c r="A2884" i="1"/>
  <c r="D2884" i="1"/>
  <c r="E2884" i="1"/>
  <c r="A2885" i="1"/>
  <c r="D2885" i="1"/>
  <c r="E2885" i="1"/>
  <c r="A2886" i="1"/>
  <c r="D2886" i="1"/>
  <c r="E2886" i="1"/>
  <c r="A2887" i="1"/>
  <c r="D2887" i="1"/>
  <c r="E2887" i="1"/>
  <c r="A2888" i="1"/>
  <c r="D2888" i="1"/>
  <c r="E2888" i="1"/>
  <c r="A2889" i="1"/>
  <c r="D2889" i="1"/>
  <c r="E2889" i="1"/>
  <c r="A2890" i="1"/>
  <c r="D2890" i="1"/>
  <c r="E2890" i="1"/>
  <c r="A2891" i="1"/>
  <c r="D2891" i="1"/>
  <c r="E2891" i="1"/>
  <c r="A2892" i="1"/>
  <c r="D2892" i="1"/>
  <c r="E2892" i="1"/>
  <c r="A2893" i="1"/>
  <c r="D2893" i="1"/>
  <c r="E2893" i="1"/>
  <c r="A2894" i="1"/>
  <c r="D2894" i="1"/>
  <c r="E2894" i="1"/>
  <c r="A2895" i="1"/>
  <c r="D2895" i="1"/>
  <c r="E2895" i="1"/>
  <c r="A2896" i="1"/>
  <c r="D2896" i="1"/>
  <c r="E2896" i="1"/>
  <c r="A2897" i="1"/>
  <c r="D2897" i="1"/>
  <c r="E2897" i="1"/>
  <c r="A2898" i="1"/>
  <c r="D2898" i="1"/>
  <c r="E2898" i="1"/>
  <c r="A2899" i="1"/>
  <c r="D2899" i="1"/>
  <c r="E2899" i="1"/>
  <c r="A2900" i="1"/>
  <c r="D2900" i="1"/>
  <c r="E2900" i="1"/>
  <c r="A2901" i="1"/>
  <c r="D2901" i="1"/>
  <c r="E2901" i="1"/>
  <c r="A2902" i="1"/>
  <c r="D2902" i="1"/>
  <c r="E2902" i="1"/>
  <c r="A2903" i="1"/>
  <c r="D2903" i="1"/>
  <c r="E2903" i="1"/>
  <c r="A2904" i="1"/>
  <c r="D2904" i="1"/>
  <c r="E2904" i="1"/>
  <c r="A2905" i="1"/>
  <c r="D2905" i="1"/>
  <c r="E2905" i="1"/>
  <c r="A2906" i="1"/>
  <c r="D2906" i="1"/>
  <c r="E2906" i="1"/>
  <c r="A2907" i="1"/>
  <c r="D2907" i="1"/>
  <c r="E2907" i="1"/>
  <c r="A2908" i="1"/>
  <c r="D2908" i="1"/>
  <c r="E2908" i="1"/>
  <c r="A2909" i="1"/>
  <c r="D2909" i="1"/>
  <c r="E2909" i="1"/>
  <c r="A2910" i="1"/>
  <c r="D2910" i="1"/>
  <c r="E2910" i="1"/>
  <c r="A2911" i="1"/>
  <c r="D2911" i="1"/>
  <c r="E2911" i="1"/>
  <c r="A2912" i="1"/>
  <c r="D2912" i="1"/>
  <c r="E2912" i="1"/>
  <c r="A2913" i="1"/>
  <c r="D2913" i="1"/>
  <c r="E2913" i="1"/>
  <c r="A2914" i="1"/>
  <c r="D2914" i="1"/>
  <c r="E2914" i="1"/>
  <c r="A2915" i="1"/>
  <c r="D2915" i="1"/>
  <c r="E2915" i="1"/>
  <c r="A2916" i="1"/>
  <c r="D2916" i="1"/>
  <c r="E2916" i="1"/>
  <c r="A2917" i="1"/>
  <c r="D2917" i="1"/>
  <c r="E2917" i="1"/>
  <c r="A2918" i="1"/>
  <c r="D2918" i="1"/>
  <c r="E2918" i="1"/>
  <c r="A2919" i="1"/>
  <c r="D2919" i="1"/>
  <c r="E2919" i="1"/>
  <c r="A2920" i="1"/>
  <c r="D2920" i="1"/>
  <c r="E2920" i="1"/>
  <c r="A2921" i="1"/>
  <c r="D2921" i="1"/>
  <c r="E2921" i="1"/>
  <c r="A2922" i="1"/>
  <c r="D2922" i="1"/>
  <c r="E2922" i="1"/>
  <c r="A2923" i="1"/>
  <c r="D2923" i="1"/>
  <c r="E2923" i="1"/>
  <c r="A2924" i="1"/>
  <c r="D2924" i="1"/>
  <c r="E2924" i="1"/>
  <c r="A2925" i="1"/>
  <c r="D2925" i="1"/>
  <c r="E2925" i="1"/>
  <c r="A2926" i="1"/>
  <c r="D2926" i="1"/>
  <c r="E2926" i="1"/>
  <c r="A2927" i="1"/>
  <c r="D2927" i="1"/>
  <c r="E2927" i="1"/>
  <c r="A2928" i="1"/>
  <c r="D2928" i="1"/>
  <c r="E2928" i="1"/>
  <c r="A2929" i="1"/>
  <c r="D2929" i="1"/>
  <c r="E2929" i="1"/>
  <c r="A2930" i="1"/>
  <c r="D2930" i="1"/>
  <c r="E2930" i="1"/>
  <c r="A2931" i="1"/>
  <c r="D2931" i="1"/>
  <c r="E2931" i="1"/>
  <c r="A2932" i="1"/>
  <c r="D2932" i="1"/>
  <c r="E2932" i="1"/>
  <c r="A2933" i="1"/>
  <c r="D2933" i="1"/>
  <c r="E2933" i="1"/>
  <c r="A2934" i="1"/>
  <c r="D2934" i="1"/>
  <c r="E2934" i="1"/>
  <c r="A2935" i="1"/>
  <c r="D2935" i="1"/>
  <c r="A2936" i="1"/>
  <c r="D2936" i="1"/>
  <c r="E2936" i="1"/>
  <c r="A2937" i="1"/>
  <c r="D2937" i="1"/>
  <c r="E2937" i="1"/>
  <c r="A2938" i="1"/>
  <c r="D2938" i="1"/>
  <c r="E2938" i="1"/>
  <c r="A2939" i="1"/>
  <c r="D2939" i="1"/>
  <c r="E2939" i="1"/>
  <c r="A2940" i="1"/>
  <c r="D2940" i="1"/>
  <c r="A2941" i="1"/>
  <c r="D2941" i="1"/>
  <c r="E2941" i="1"/>
  <c r="A2942" i="1"/>
  <c r="D2942" i="1"/>
  <c r="E2942" i="1"/>
  <c r="A2943" i="1"/>
  <c r="D2943" i="1"/>
  <c r="E2943" i="1"/>
  <c r="A2944" i="1"/>
  <c r="D2944" i="1"/>
  <c r="E2944" i="1"/>
  <c r="A2945" i="1"/>
  <c r="D2945" i="1"/>
  <c r="E2945" i="1"/>
  <c r="A2946" i="1"/>
  <c r="D2946" i="1"/>
  <c r="E2946" i="1"/>
  <c r="A2947" i="1"/>
  <c r="D2947" i="1"/>
  <c r="E2947" i="1"/>
  <c r="A2948" i="1"/>
  <c r="D2948" i="1"/>
  <c r="E2948" i="1"/>
  <c r="A2949" i="1"/>
  <c r="D2949" i="1"/>
  <c r="E2949" i="1"/>
  <c r="A2950" i="1"/>
  <c r="D2950" i="1"/>
  <c r="A2951" i="1"/>
  <c r="D2951" i="1"/>
  <c r="E2951" i="1"/>
  <c r="A2952" i="1"/>
  <c r="D2952" i="1"/>
  <c r="E2952" i="1"/>
  <c r="A2953" i="1"/>
  <c r="D2953" i="1"/>
  <c r="E2953" i="1"/>
  <c r="A2954" i="1"/>
  <c r="D2954" i="1"/>
  <c r="E2954" i="1"/>
  <c r="A2955" i="1"/>
  <c r="D2955" i="1"/>
  <c r="E2955" i="1"/>
  <c r="A2956" i="1"/>
  <c r="D2956" i="1"/>
  <c r="E2956" i="1"/>
  <c r="A2957" i="1"/>
  <c r="D2957" i="1"/>
  <c r="E2957" i="1"/>
  <c r="A2958" i="1"/>
  <c r="D2958" i="1"/>
  <c r="E2958" i="1"/>
  <c r="A2959" i="1"/>
  <c r="D2959" i="1"/>
  <c r="E2959" i="1"/>
  <c r="A2960" i="1"/>
  <c r="D2960" i="1"/>
  <c r="E2960" i="1"/>
  <c r="A2961" i="1"/>
  <c r="D2961" i="1"/>
  <c r="E2961" i="1"/>
  <c r="A2962" i="1"/>
  <c r="D2962" i="1"/>
  <c r="E2962" i="1"/>
  <c r="A2963" i="1"/>
  <c r="D2963" i="1"/>
  <c r="E2963" i="1"/>
  <c r="A2964" i="1"/>
  <c r="D2964" i="1"/>
  <c r="E2964" i="1"/>
  <c r="A2965" i="1"/>
  <c r="D2965" i="1"/>
  <c r="E2965" i="1"/>
  <c r="A2966" i="1"/>
  <c r="D2966" i="1"/>
  <c r="E2966" i="1"/>
  <c r="A2967" i="1"/>
  <c r="D2967" i="1"/>
  <c r="E2967" i="1"/>
  <c r="A2968" i="1"/>
  <c r="D2968" i="1"/>
  <c r="E2968" i="1"/>
  <c r="A2969" i="1"/>
  <c r="D2969" i="1"/>
  <c r="E2969" i="1"/>
  <c r="A2970" i="1"/>
  <c r="D2970" i="1"/>
  <c r="E2970" i="1"/>
  <c r="A2971" i="1"/>
  <c r="D2971" i="1"/>
  <c r="E2971" i="1"/>
  <c r="A2972" i="1"/>
  <c r="D2972" i="1"/>
  <c r="E2972" i="1"/>
  <c r="A2973" i="1"/>
  <c r="D2973" i="1"/>
  <c r="E2973" i="1"/>
  <c r="A2974" i="1"/>
  <c r="D2974" i="1"/>
  <c r="E2974" i="1"/>
  <c r="A2975" i="1"/>
  <c r="D2975" i="1"/>
  <c r="E2975" i="1"/>
  <c r="A2976" i="1"/>
  <c r="D2976" i="1"/>
  <c r="E2976" i="1"/>
  <c r="A2977" i="1"/>
  <c r="D2977" i="1"/>
  <c r="E2977" i="1"/>
  <c r="A2978" i="1"/>
  <c r="D2978" i="1"/>
  <c r="E2978" i="1"/>
  <c r="A2979" i="1"/>
  <c r="D2979" i="1"/>
  <c r="E2979" i="1"/>
  <c r="A2980" i="1"/>
  <c r="D2980" i="1"/>
  <c r="E2980" i="1"/>
  <c r="A2981" i="1"/>
  <c r="D2981" i="1"/>
  <c r="E2981" i="1"/>
  <c r="A2982" i="1"/>
  <c r="D2982" i="1"/>
  <c r="E2982" i="1"/>
  <c r="A2983" i="1"/>
  <c r="D2983" i="1"/>
  <c r="E2983" i="1"/>
  <c r="A2984" i="1"/>
  <c r="D2984" i="1"/>
  <c r="E2984" i="1"/>
  <c r="A2985" i="1"/>
  <c r="D2985" i="1"/>
  <c r="E2985" i="1"/>
  <c r="A2986" i="1"/>
  <c r="D2986" i="1"/>
  <c r="E2986" i="1"/>
  <c r="A2987" i="1"/>
  <c r="D2987" i="1"/>
  <c r="E2987" i="1"/>
  <c r="A2988" i="1"/>
  <c r="D2988" i="1"/>
  <c r="E2988" i="1"/>
  <c r="A2989" i="1"/>
  <c r="D2989" i="1"/>
  <c r="E2989" i="1"/>
  <c r="A2990" i="1"/>
  <c r="D2990" i="1"/>
  <c r="E2990" i="1"/>
  <c r="A2991" i="1"/>
  <c r="D2991" i="1"/>
  <c r="E2991" i="1"/>
  <c r="A2992" i="1"/>
  <c r="D2992" i="1"/>
  <c r="E2992" i="1"/>
  <c r="A2993" i="1"/>
  <c r="D2993" i="1"/>
  <c r="E2993" i="1"/>
  <c r="A2994" i="1"/>
  <c r="D2994" i="1"/>
  <c r="E2994" i="1"/>
  <c r="A2995" i="1"/>
  <c r="D2995" i="1"/>
  <c r="E2995" i="1"/>
  <c r="A2996" i="1"/>
  <c r="D2996" i="1"/>
  <c r="E2996" i="1"/>
  <c r="A2997" i="1"/>
  <c r="D2997" i="1"/>
  <c r="E2997" i="1"/>
  <c r="A2998" i="1"/>
  <c r="D2998" i="1"/>
  <c r="E2998" i="1"/>
  <c r="A2999" i="1"/>
  <c r="D2999" i="1"/>
  <c r="A3000" i="1"/>
  <c r="D3000" i="1"/>
  <c r="E3000" i="1"/>
  <c r="A3001" i="1"/>
  <c r="D3001" i="1"/>
  <c r="E3001" i="1"/>
  <c r="A3002" i="1"/>
  <c r="D3002" i="1"/>
  <c r="E3002" i="1"/>
  <c r="A3003" i="1"/>
  <c r="D3003" i="1"/>
  <c r="E3003" i="1"/>
  <c r="A3004" i="1"/>
  <c r="D3004" i="1"/>
  <c r="E3004" i="1"/>
  <c r="A3005" i="1"/>
  <c r="D3005" i="1"/>
  <c r="E3005" i="1"/>
  <c r="A3006" i="1"/>
  <c r="D3006" i="1"/>
  <c r="E3006" i="1"/>
  <c r="A3007" i="1"/>
  <c r="D3007" i="1"/>
  <c r="E3007" i="1"/>
  <c r="A3008" i="1"/>
  <c r="D3008" i="1"/>
  <c r="E3008" i="1"/>
  <c r="A3009" i="1"/>
  <c r="D3009" i="1"/>
  <c r="E3009" i="1"/>
  <c r="A3010" i="1"/>
  <c r="D3010" i="1"/>
  <c r="E3010" i="1"/>
  <c r="A3011" i="1"/>
  <c r="D3011" i="1"/>
  <c r="E3011" i="1"/>
  <c r="A3012" i="1"/>
  <c r="D3012" i="1"/>
  <c r="E3012" i="1"/>
  <c r="A3013" i="1"/>
  <c r="D3013" i="1"/>
  <c r="E3013" i="1"/>
  <c r="A3014" i="1"/>
  <c r="D3014" i="1"/>
  <c r="A3015" i="1"/>
  <c r="D3015" i="1"/>
  <c r="E3015" i="1"/>
  <c r="A3016" i="1"/>
  <c r="D3016" i="1"/>
  <c r="A3017" i="1"/>
  <c r="D3017" i="1"/>
  <c r="A3018" i="1"/>
  <c r="D3018" i="1"/>
  <c r="A3019" i="1"/>
  <c r="D3019" i="1"/>
  <c r="A3020" i="1"/>
  <c r="D3020" i="1"/>
  <c r="A3021" i="1"/>
  <c r="D3021" i="1"/>
  <c r="A3022" i="1"/>
  <c r="D3022" i="1"/>
  <c r="A3023" i="1"/>
  <c r="D3023" i="1"/>
  <c r="E3023" i="1"/>
  <c r="A3024" i="1"/>
  <c r="D3024" i="1"/>
  <c r="A3025" i="1"/>
  <c r="D3025" i="1"/>
  <c r="A3026" i="1"/>
  <c r="D3026" i="1"/>
  <c r="A3027" i="1"/>
  <c r="D3027" i="1"/>
  <c r="A3028" i="1"/>
  <c r="D3028" i="1"/>
  <c r="A3029" i="1"/>
  <c r="D3029" i="1"/>
  <c r="A3030" i="1"/>
  <c r="D3030" i="1"/>
  <c r="A3031" i="1"/>
  <c r="D3031" i="1"/>
  <c r="A3032" i="1"/>
  <c r="D3032" i="1"/>
  <c r="A3033" i="1"/>
  <c r="D3033" i="1"/>
  <c r="A3034" i="1"/>
  <c r="D3034" i="1"/>
  <c r="A3035" i="1"/>
  <c r="D3035" i="1"/>
  <c r="A3036" i="1"/>
  <c r="D3036" i="1"/>
  <c r="A3037" i="1"/>
  <c r="D3037" i="1"/>
  <c r="A3038" i="1"/>
  <c r="D3038" i="1"/>
  <c r="A3039" i="1"/>
  <c r="D3039" i="1"/>
  <c r="A3040" i="1"/>
  <c r="D3040" i="1"/>
  <c r="E3040" i="1"/>
  <c r="A3041" i="1"/>
  <c r="D3041" i="1"/>
  <c r="E3041" i="1"/>
  <c r="A3042" i="1"/>
  <c r="D3042" i="1"/>
  <c r="A3043" i="1"/>
  <c r="D3043" i="1"/>
  <c r="E3043" i="1"/>
  <c r="A3044" i="1"/>
  <c r="D3044" i="1"/>
  <c r="E3044" i="1"/>
  <c r="A3045" i="1"/>
  <c r="D3045" i="1"/>
  <c r="A3046" i="1"/>
  <c r="D3046" i="1"/>
  <c r="A3047" i="1"/>
  <c r="D3047" i="1"/>
  <c r="E3047" i="1"/>
  <c r="A3048" i="1"/>
  <c r="D3048" i="1"/>
  <c r="E3048" i="1"/>
  <c r="A3049" i="1"/>
  <c r="D3049" i="1"/>
  <c r="E3049" i="1"/>
  <c r="A3050" i="1"/>
  <c r="D3050" i="1"/>
  <c r="A3051" i="1"/>
  <c r="D3051" i="1"/>
  <c r="E3051" i="1"/>
  <c r="A3052" i="1"/>
  <c r="D3052" i="1"/>
  <c r="E3052" i="1"/>
  <c r="A3053" i="1"/>
  <c r="D3053" i="1"/>
  <c r="E3053" i="1"/>
  <c r="A3054" i="1"/>
  <c r="D3054" i="1"/>
  <c r="A3055" i="1"/>
  <c r="D3055" i="1"/>
  <c r="E3055" i="1"/>
  <c r="A3056" i="1"/>
  <c r="D3056" i="1"/>
  <c r="E3056" i="1"/>
  <c r="A3057" i="1"/>
  <c r="D3057" i="1"/>
  <c r="E3057" i="1"/>
  <c r="A3058" i="1"/>
  <c r="D3058" i="1"/>
  <c r="E3058" i="1"/>
  <c r="A3059" i="1"/>
  <c r="D3059" i="1"/>
  <c r="E3059" i="1"/>
  <c r="A3060" i="1"/>
  <c r="D3060" i="1"/>
  <c r="E3060" i="1"/>
  <c r="A3061" i="1"/>
  <c r="D3061" i="1"/>
  <c r="A3062" i="1"/>
  <c r="D3062" i="1"/>
  <c r="E3062" i="1"/>
  <c r="A3063" i="1"/>
  <c r="D3063" i="1"/>
  <c r="A3064" i="1"/>
  <c r="D3064" i="1"/>
  <c r="A3065" i="1"/>
  <c r="D3065" i="1"/>
  <c r="E3065" i="1"/>
  <c r="A3066" i="1"/>
  <c r="D3066" i="1"/>
  <c r="A3067" i="1"/>
  <c r="D3067" i="1"/>
  <c r="E3067" i="1"/>
  <c r="A3068" i="1"/>
  <c r="D3068" i="1"/>
  <c r="E3068" i="1"/>
  <c r="A3069" i="1"/>
  <c r="D3069" i="1"/>
  <c r="E3069" i="1"/>
  <c r="A3070" i="1"/>
  <c r="D3070" i="1"/>
  <c r="E3070" i="1"/>
  <c r="A3071" i="1"/>
  <c r="D3071" i="1"/>
  <c r="E3071" i="1"/>
  <c r="A3072" i="1"/>
  <c r="D3072" i="1"/>
  <c r="E3072" i="1"/>
  <c r="A3073" i="1"/>
  <c r="D3073" i="1"/>
  <c r="E3073" i="1"/>
  <c r="A3074" i="1"/>
  <c r="D3074" i="1"/>
  <c r="E3074" i="1"/>
  <c r="A3075" i="1"/>
  <c r="D3075" i="1"/>
  <c r="E3075" i="1"/>
  <c r="A3076" i="1"/>
  <c r="D3076" i="1"/>
  <c r="E3076" i="1"/>
  <c r="A3077" i="1"/>
  <c r="D3077" i="1"/>
  <c r="E3077" i="1"/>
  <c r="A3078" i="1"/>
  <c r="D3078" i="1"/>
  <c r="E3078" i="1"/>
  <c r="A3079" i="1"/>
  <c r="D3079" i="1"/>
  <c r="E3079" i="1"/>
  <c r="A3080" i="1"/>
  <c r="D3080" i="1"/>
  <c r="E3080" i="1"/>
  <c r="A3081" i="1"/>
  <c r="D3081" i="1"/>
  <c r="E3081" i="1"/>
  <c r="A3082" i="1"/>
  <c r="D3082" i="1"/>
  <c r="E3082" i="1"/>
  <c r="A3083" i="1"/>
  <c r="D3083" i="1"/>
  <c r="E3083" i="1"/>
  <c r="A3084" i="1"/>
  <c r="D3084" i="1"/>
  <c r="E3084" i="1"/>
  <c r="A3085" i="1"/>
  <c r="D3085" i="1"/>
  <c r="E3085" i="1"/>
  <c r="A3086" i="1"/>
  <c r="D3086" i="1"/>
  <c r="A3087" i="1"/>
  <c r="D3087" i="1"/>
  <c r="A3088" i="1"/>
  <c r="D3088" i="1"/>
  <c r="A3089" i="1"/>
  <c r="D3089" i="1"/>
  <c r="E3089" i="1"/>
  <c r="A3090" i="1"/>
  <c r="D3090" i="1"/>
  <c r="E3090" i="1"/>
  <c r="A3091" i="1"/>
  <c r="D3091" i="1"/>
  <c r="E3091" i="1"/>
  <c r="A3092" i="1"/>
  <c r="D3092" i="1"/>
  <c r="E3092" i="1"/>
  <c r="A3093" i="1"/>
  <c r="D3093" i="1"/>
  <c r="E3093" i="1"/>
  <c r="A3094" i="1"/>
  <c r="D3094" i="1"/>
  <c r="E3094" i="1"/>
  <c r="A3095" i="1"/>
  <c r="D3095" i="1"/>
  <c r="A3096" i="1"/>
  <c r="D3096" i="1"/>
  <c r="E3096" i="1"/>
  <c r="A3097" i="1"/>
  <c r="D3097" i="1"/>
  <c r="E3097" i="1"/>
  <c r="A3098" i="1"/>
  <c r="D3098" i="1"/>
  <c r="E3098" i="1"/>
  <c r="A3099" i="1"/>
  <c r="D3099" i="1"/>
  <c r="E3099" i="1"/>
  <c r="A3100" i="1"/>
  <c r="D3100" i="1"/>
  <c r="E3100" i="1"/>
  <c r="A3101" i="1"/>
  <c r="D3101" i="1"/>
  <c r="E3101" i="1"/>
  <c r="A3102" i="1"/>
  <c r="D3102" i="1"/>
  <c r="E3102" i="1"/>
  <c r="A3103" i="1"/>
  <c r="D3103" i="1"/>
  <c r="E3103" i="1"/>
  <c r="A3104" i="1"/>
  <c r="D3104" i="1"/>
  <c r="E3104" i="1"/>
  <c r="A3105" i="1"/>
  <c r="D3105" i="1"/>
  <c r="E3105" i="1"/>
  <c r="A3106" i="1"/>
  <c r="D3106" i="1"/>
  <c r="E3106" i="1"/>
  <c r="A3107" i="1"/>
  <c r="D3107" i="1"/>
  <c r="E3107" i="1"/>
  <c r="A3108" i="1"/>
  <c r="D3108" i="1"/>
  <c r="E3108" i="1"/>
  <c r="A3109" i="1"/>
  <c r="D3109" i="1"/>
  <c r="E3109" i="1"/>
  <c r="A3110" i="1"/>
  <c r="D3110" i="1"/>
  <c r="E3110" i="1"/>
  <c r="A3111" i="1"/>
  <c r="D3111" i="1"/>
  <c r="E3111" i="1"/>
  <c r="A3112" i="1"/>
  <c r="D3112" i="1"/>
  <c r="E3112" i="1"/>
  <c r="A3113" i="1"/>
  <c r="D3113" i="1"/>
  <c r="E3113" i="1"/>
  <c r="A3114" i="1"/>
  <c r="D3114" i="1"/>
  <c r="E3114" i="1"/>
  <c r="A3115" i="1"/>
  <c r="D3115" i="1"/>
  <c r="E3115" i="1"/>
  <c r="A3116" i="1"/>
  <c r="D3116" i="1"/>
  <c r="E3116" i="1"/>
  <c r="A3117" i="1"/>
  <c r="D3117" i="1"/>
  <c r="E3117" i="1"/>
  <c r="A3118" i="1"/>
  <c r="D3118" i="1"/>
  <c r="E3118" i="1"/>
  <c r="A3119" i="1"/>
  <c r="D3119" i="1"/>
  <c r="E3119" i="1"/>
  <c r="A3120" i="1"/>
  <c r="D3120" i="1"/>
  <c r="E3120" i="1"/>
  <c r="A3121" i="1"/>
  <c r="D3121" i="1"/>
  <c r="E3121" i="1"/>
  <c r="A3122" i="1"/>
  <c r="D3122" i="1"/>
  <c r="E3122" i="1"/>
  <c r="A3123" i="1"/>
  <c r="D3123" i="1"/>
  <c r="E3123" i="1"/>
  <c r="A3124" i="1"/>
  <c r="D3124" i="1"/>
  <c r="E3124" i="1"/>
  <c r="A3125" i="1"/>
  <c r="D3125" i="1"/>
  <c r="E3125" i="1"/>
  <c r="A3126" i="1"/>
  <c r="D3126" i="1"/>
  <c r="E3126" i="1"/>
  <c r="A3127" i="1"/>
  <c r="D3127" i="1"/>
  <c r="E3127" i="1"/>
  <c r="A3128" i="1"/>
  <c r="D3128" i="1"/>
  <c r="E3128" i="1"/>
  <c r="A3129" i="1"/>
  <c r="D3129" i="1"/>
  <c r="E3129" i="1"/>
  <c r="A3130" i="1"/>
  <c r="D3130" i="1"/>
  <c r="E3130" i="1"/>
  <c r="A3131" i="1"/>
  <c r="D3131" i="1"/>
  <c r="E3131" i="1"/>
  <c r="A3132" i="1"/>
  <c r="D3132" i="1"/>
  <c r="E3132" i="1"/>
  <c r="A3133" i="1"/>
  <c r="D3133" i="1"/>
  <c r="E3133" i="1"/>
  <c r="A3134" i="1"/>
  <c r="D3134" i="1"/>
  <c r="A3135" i="1"/>
  <c r="D3135" i="1"/>
  <c r="E3135" i="1"/>
  <c r="A3136" i="1"/>
  <c r="D3136" i="1"/>
  <c r="E3136" i="1"/>
  <c r="A3137" i="1"/>
  <c r="D3137" i="1"/>
  <c r="E3137" i="1"/>
  <c r="A3138" i="1"/>
  <c r="D3138" i="1"/>
  <c r="E3138" i="1"/>
  <c r="A3139" i="1"/>
  <c r="D3139" i="1"/>
  <c r="E3139" i="1"/>
  <c r="A3140" i="1"/>
  <c r="D3140" i="1"/>
  <c r="E3140" i="1"/>
  <c r="A3141" i="1"/>
  <c r="D3141" i="1"/>
  <c r="E3141" i="1"/>
  <c r="A3142" i="1"/>
  <c r="D3142" i="1"/>
  <c r="E3142" i="1"/>
  <c r="A3143" i="1"/>
  <c r="D3143" i="1"/>
  <c r="E3143" i="1"/>
  <c r="A3144" i="1"/>
  <c r="D3144" i="1"/>
  <c r="E3144" i="1"/>
  <c r="A3145" i="1"/>
  <c r="D3145" i="1"/>
  <c r="E3145" i="1"/>
  <c r="A3146" i="1"/>
  <c r="D3146" i="1"/>
  <c r="E3146" i="1"/>
  <c r="A3147" i="1"/>
  <c r="D3147" i="1"/>
  <c r="E3147" i="1"/>
  <c r="A3148" i="1"/>
  <c r="D3148" i="1"/>
  <c r="E3148" i="1"/>
  <c r="A3149" i="1"/>
  <c r="D3149" i="1"/>
  <c r="E3149" i="1"/>
  <c r="A3150" i="1"/>
  <c r="D3150" i="1"/>
  <c r="E3150" i="1"/>
  <c r="A3151" i="1"/>
  <c r="D3151" i="1"/>
  <c r="E3151" i="1"/>
  <c r="A3152" i="1"/>
  <c r="D3152" i="1"/>
  <c r="E3152" i="1"/>
  <c r="A3153" i="1"/>
  <c r="D3153" i="1"/>
  <c r="E3153" i="1"/>
  <c r="A3154" i="1"/>
  <c r="D3154" i="1"/>
  <c r="E3154" i="1"/>
  <c r="A3155" i="1"/>
  <c r="D3155" i="1"/>
  <c r="E3155" i="1"/>
  <c r="A3156" i="1"/>
  <c r="D3156" i="1"/>
  <c r="E3156" i="1"/>
  <c r="A3157" i="1"/>
  <c r="D3157" i="1"/>
  <c r="E3157" i="1"/>
  <c r="A3158" i="1"/>
  <c r="D3158" i="1"/>
  <c r="A3159" i="1"/>
  <c r="D3159" i="1"/>
  <c r="E3159" i="1"/>
  <c r="A3160" i="1"/>
  <c r="D3160" i="1"/>
  <c r="E3160" i="1"/>
  <c r="A3161" i="1"/>
  <c r="D3161" i="1"/>
  <c r="E3161" i="1"/>
  <c r="A3162" i="1"/>
  <c r="D3162" i="1"/>
  <c r="E3162" i="1"/>
  <c r="A3163" i="1"/>
  <c r="D3163" i="1"/>
  <c r="E3163" i="1"/>
  <c r="A3164" i="1"/>
  <c r="D3164" i="1"/>
  <c r="E3164" i="1"/>
  <c r="A3165" i="1"/>
  <c r="D3165" i="1"/>
  <c r="E3165" i="1"/>
  <c r="A3166" i="1"/>
  <c r="D3166" i="1"/>
  <c r="E3166" i="1"/>
  <c r="A3167" i="1"/>
  <c r="D3167" i="1"/>
  <c r="E3167" i="1"/>
  <c r="A3168" i="1"/>
  <c r="D3168" i="1"/>
  <c r="E3168" i="1"/>
  <c r="A3169" i="1"/>
  <c r="D3169" i="1"/>
  <c r="E3169" i="1"/>
  <c r="A3170" i="1"/>
  <c r="D3170" i="1"/>
  <c r="E3170" i="1"/>
  <c r="A3171" i="1"/>
  <c r="D3171" i="1"/>
  <c r="E3171" i="1"/>
  <c r="A3172" i="1"/>
  <c r="D3172" i="1"/>
  <c r="E3172" i="1"/>
  <c r="A3173" i="1"/>
  <c r="D3173" i="1"/>
  <c r="E3173" i="1"/>
  <c r="A3174" i="1"/>
  <c r="D3174" i="1"/>
  <c r="E3174" i="1"/>
  <c r="A3175" i="1"/>
  <c r="D3175" i="1"/>
  <c r="E3175" i="1"/>
  <c r="A3176" i="1"/>
  <c r="D3176" i="1"/>
  <c r="E3176" i="1"/>
  <c r="A3177" i="1"/>
  <c r="D3177" i="1"/>
  <c r="E3177" i="1"/>
  <c r="A3178" i="1"/>
  <c r="D3178" i="1"/>
  <c r="E3178" i="1"/>
  <c r="A3179" i="1"/>
  <c r="D3179" i="1"/>
  <c r="E3179" i="1"/>
  <c r="A3180" i="1"/>
  <c r="D3180" i="1"/>
  <c r="E3180" i="1"/>
  <c r="A3181" i="1"/>
  <c r="D3181" i="1"/>
  <c r="E3181" i="1"/>
  <c r="A3182" i="1"/>
  <c r="D3182" i="1"/>
  <c r="A3183" i="1"/>
  <c r="D3183" i="1"/>
  <c r="E3183" i="1"/>
  <c r="A3184" i="1"/>
  <c r="D3184" i="1"/>
  <c r="E3184" i="1"/>
  <c r="A3185" i="1"/>
  <c r="D3185" i="1"/>
  <c r="E3185" i="1"/>
  <c r="A3186" i="1"/>
  <c r="D3186" i="1"/>
  <c r="E3186" i="1"/>
  <c r="A3187" i="1"/>
  <c r="D3187" i="1"/>
  <c r="E3187" i="1"/>
  <c r="A3188" i="1"/>
  <c r="D3188" i="1"/>
  <c r="E3188" i="1"/>
  <c r="A3189" i="1"/>
  <c r="D3189" i="1"/>
  <c r="E3189" i="1"/>
  <c r="A3190" i="1"/>
  <c r="D3190" i="1"/>
  <c r="E3190" i="1"/>
  <c r="A3191" i="1"/>
  <c r="D3191" i="1"/>
  <c r="E3191" i="1"/>
  <c r="A3192" i="1"/>
  <c r="D3192" i="1"/>
  <c r="E3192" i="1"/>
  <c r="A3193" i="1"/>
  <c r="D3193" i="1"/>
  <c r="E3193" i="1"/>
  <c r="A3194" i="1"/>
  <c r="D3194" i="1"/>
  <c r="E3194" i="1"/>
  <c r="A3195" i="1"/>
  <c r="D3195" i="1"/>
  <c r="E3195" i="1"/>
  <c r="A3196" i="1"/>
  <c r="D3196" i="1"/>
  <c r="E3196" i="1"/>
  <c r="A3197" i="1"/>
  <c r="D3197" i="1"/>
  <c r="E3197" i="1"/>
  <c r="A3198" i="1"/>
  <c r="D3198" i="1"/>
  <c r="E3198" i="1"/>
  <c r="A3199" i="1"/>
  <c r="D3199" i="1"/>
  <c r="E3199" i="1"/>
  <c r="A3200" i="1"/>
  <c r="D3200" i="1"/>
  <c r="E3200" i="1"/>
  <c r="A3201" i="1"/>
  <c r="D3201" i="1"/>
  <c r="A3202" i="1"/>
  <c r="D3202" i="1"/>
  <c r="E3202" i="1"/>
  <c r="A3203" i="1"/>
  <c r="D3203" i="1"/>
  <c r="E3203" i="1"/>
  <c r="A3204" i="1"/>
  <c r="D3204" i="1"/>
  <c r="A3205" i="1"/>
  <c r="D3205" i="1"/>
  <c r="E3205" i="1"/>
  <c r="A3206" i="1"/>
  <c r="D3206" i="1"/>
  <c r="E3206" i="1"/>
  <c r="A3207" i="1"/>
  <c r="D3207" i="1"/>
  <c r="E3207" i="1"/>
  <c r="A3208" i="1"/>
  <c r="D3208" i="1"/>
  <c r="E3208" i="1"/>
  <c r="A3209" i="1"/>
  <c r="D3209" i="1"/>
  <c r="E3209" i="1"/>
  <c r="A3210" i="1"/>
  <c r="D3210" i="1"/>
  <c r="E3210" i="1"/>
  <c r="A3211" i="1"/>
  <c r="D3211" i="1"/>
  <c r="A3212" i="1"/>
  <c r="D3212" i="1"/>
  <c r="A3213" i="1"/>
  <c r="D3213" i="1"/>
  <c r="E3213" i="1"/>
  <c r="A3214" i="1"/>
  <c r="D3214" i="1"/>
  <c r="A3215" i="1"/>
  <c r="D3215" i="1"/>
  <c r="A3216" i="1"/>
  <c r="D3216" i="1"/>
  <c r="A3217" i="1"/>
  <c r="D3217" i="1"/>
  <c r="E3217" i="1"/>
  <c r="A3218" i="1"/>
  <c r="D3218" i="1"/>
  <c r="A3219" i="1"/>
  <c r="D3219" i="1"/>
  <c r="A3220" i="1"/>
  <c r="D3220" i="1"/>
  <c r="E3220" i="1"/>
  <c r="A3221" i="1"/>
  <c r="D3221" i="1"/>
  <c r="E3221" i="1"/>
  <c r="A3222" i="1"/>
  <c r="D3222" i="1"/>
  <c r="A3223" i="1"/>
  <c r="D3223" i="1"/>
  <c r="E3223" i="1"/>
  <c r="A3224" i="1"/>
  <c r="D3224" i="1"/>
  <c r="A3225" i="1"/>
  <c r="D3225" i="1"/>
  <c r="E3225" i="1"/>
  <c r="A3226" i="1"/>
  <c r="D3226" i="1"/>
  <c r="E3226" i="1"/>
  <c r="A3227" i="1"/>
  <c r="D3227" i="1"/>
  <c r="E3227" i="1"/>
  <c r="A3228" i="1"/>
  <c r="D3228" i="1"/>
  <c r="E3228" i="1"/>
  <c r="A3229" i="1"/>
  <c r="D3229" i="1"/>
  <c r="E3229" i="1"/>
  <c r="A3230" i="1"/>
  <c r="D3230" i="1"/>
  <c r="A3231" i="1"/>
  <c r="D3231" i="1"/>
  <c r="E3231" i="1"/>
  <c r="A3232" i="1"/>
  <c r="D3232" i="1"/>
  <c r="A3233" i="1"/>
  <c r="D3233" i="1"/>
  <c r="A3234" i="1"/>
  <c r="D3234" i="1"/>
  <c r="A3235" i="1"/>
  <c r="D3235" i="1"/>
  <c r="E3235" i="1"/>
  <c r="A3236" i="1"/>
  <c r="D3236" i="1"/>
  <c r="E3236" i="1"/>
  <c r="A3237" i="1"/>
  <c r="D3237" i="1"/>
  <c r="E3237" i="1"/>
  <c r="A3238" i="1"/>
  <c r="D3238" i="1"/>
  <c r="E3238" i="1"/>
  <c r="A3239" i="1"/>
  <c r="D3239" i="1"/>
  <c r="E3239" i="1"/>
  <c r="A3240" i="1"/>
  <c r="D3240" i="1"/>
  <c r="E3240" i="1"/>
  <c r="A3241" i="1"/>
  <c r="D3241" i="1"/>
  <c r="E3241" i="1"/>
  <c r="A3242" i="1"/>
  <c r="D3242" i="1"/>
  <c r="E3242" i="1"/>
  <c r="A3243" i="1"/>
  <c r="D3243" i="1"/>
  <c r="E3243" i="1"/>
  <c r="A3244" i="1"/>
  <c r="D3244" i="1"/>
  <c r="E3244" i="1"/>
  <c r="A3245" i="1"/>
  <c r="D3245" i="1"/>
  <c r="E3245" i="1"/>
  <c r="A3246" i="1"/>
  <c r="D3246" i="1"/>
  <c r="E3246" i="1"/>
  <c r="A3247" i="1"/>
  <c r="D3247" i="1"/>
  <c r="E3247" i="1"/>
  <c r="A3248" i="1"/>
  <c r="D3248" i="1"/>
  <c r="E3248" i="1"/>
  <c r="A3249" i="1"/>
  <c r="D3249" i="1"/>
  <c r="E3249" i="1"/>
  <c r="A3250" i="1"/>
  <c r="D3250" i="1"/>
  <c r="E3250" i="1"/>
  <c r="A3251" i="1"/>
  <c r="D3251" i="1"/>
  <c r="E3251" i="1"/>
  <c r="A3252" i="1"/>
  <c r="D3252" i="1"/>
  <c r="E3252" i="1"/>
  <c r="A3253" i="1"/>
  <c r="D3253" i="1"/>
  <c r="E3253" i="1"/>
  <c r="A3254" i="1"/>
  <c r="D3254" i="1"/>
  <c r="E3254" i="1"/>
  <c r="A3255" i="1"/>
  <c r="D3255" i="1"/>
  <c r="A3256" i="1"/>
  <c r="D3256" i="1"/>
  <c r="A3257" i="1"/>
  <c r="D3257" i="1"/>
  <c r="A3258" i="1"/>
  <c r="D3258" i="1"/>
  <c r="E3258" i="1"/>
  <c r="A3259" i="1"/>
  <c r="D3259" i="1"/>
  <c r="E3259" i="1"/>
  <c r="A3260" i="1"/>
  <c r="D3260" i="1"/>
  <c r="E3260" i="1"/>
  <c r="A3261" i="1"/>
  <c r="D3261" i="1"/>
  <c r="A3262" i="1"/>
  <c r="D3262" i="1"/>
  <c r="E3262" i="1"/>
  <c r="A3263" i="1"/>
  <c r="D3263" i="1"/>
  <c r="E3263" i="1"/>
  <c r="A3264" i="1"/>
  <c r="D3264" i="1"/>
  <c r="E3264" i="1"/>
  <c r="A3265" i="1"/>
  <c r="D3265" i="1"/>
  <c r="E3265" i="1"/>
  <c r="A3266" i="1"/>
  <c r="D3266" i="1"/>
  <c r="E3266" i="1"/>
  <c r="A3267" i="1"/>
  <c r="D3267" i="1"/>
  <c r="E3267" i="1"/>
  <c r="A3268" i="1"/>
  <c r="D3268" i="1"/>
  <c r="E3268" i="1"/>
  <c r="A3269" i="1"/>
  <c r="D3269" i="1"/>
  <c r="E3269" i="1"/>
  <c r="A3270" i="1"/>
  <c r="D3270" i="1"/>
  <c r="E3270" i="1"/>
  <c r="A3271" i="1"/>
  <c r="D3271" i="1"/>
  <c r="E3271" i="1"/>
  <c r="A3272" i="1"/>
  <c r="D3272" i="1"/>
  <c r="E3272" i="1"/>
  <c r="A3273" i="1"/>
  <c r="D3273" i="1"/>
  <c r="E3273" i="1"/>
  <c r="A3274" i="1"/>
  <c r="D3274" i="1"/>
  <c r="E3274" i="1"/>
  <c r="A3275" i="1"/>
  <c r="D3275" i="1"/>
  <c r="E3275" i="1"/>
  <c r="A3276" i="1"/>
  <c r="D3276" i="1"/>
  <c r="E3276" i="1"/>
  <c r="A3277" i="1"/>
  <c r="D3277" i="1"/>
  <c r="E3277" i="1"/>
  <c r="A3278" i="1"/>
  <c r="D3278" i="1"/>
  <c r="E3278" i="1"/>
  <c r="A3279" i="1"/>
  <c r="D3279" i="1"/>
  <c r="E3279" i="1"/>
  <c r="A3280" i="1"/>
  <c r="D3280" i="1"/>
  <c r="E3280" i="1"/>
  <c r="A3281" i="1"/>
  <c r="D3281" i="1"/>
  <c r="E3281" i="1"/>
  <c r="A3282" i="1"/>
  <c r="D3282" i="1"/>
  <c r="E3282" i="1"/>
  <c r="A3283" i="1"/>
  <c r="D3283" i="1"/>
  <c r="A3284" i="1"/>
  <c r="D3284" i="1"/>
  <c r="E3284" i="1"/>
  <c r="A3285" i="1"/>
  <c r="D3285" i="1"/>
  <c r="A3286" i="1"/>
  <c r="D3286" i="1"/>
  <c r="A3287" i="1"/>
  <c r="D3287" i="1"/>
  <c r="E3287" i="1"/>
  <c r="A3288" i="1"/>
  <c r="D3288" i="1"/>
  <c r="E3288" i="1"/>
  <c r="A3289" i="1"/>
  <c r="D3289" i="1"/>
  <c r="E3289" i="1"/>
  <c r="A3290" i="1"/>
  <c r="D3290" i="1"/>
  <c r="E3290" i="1"/>
  <c r="A3291" i="1"/>
  <c r="D3291" i="1"/>
  <c r="E3291" i="1"/>
  <c r="A3292" i="1"/>
  <c r="D3292" i="1"/>
  <c r="E3292" i="1"/>
  <c r="A3293" i="1"/>
  <c r="D3293" i="1"/>
  <c r="A3294" i="1"/>
  <c r="D3294" i="1"/>
  <c r="A3295" i="1"/>
  <c r="D3295" i="1"/>
  <c r="A3296" i="1"/>
  <c r="D3296" i="1"/>
  <c r="A3297" i="1"/>
  <c r="D3297" i="1"/>
  <c r="A3298" i="1"/>
  <c r="D3298" i="1"/>
  <c r="E3298" i="1"/>
  <c r="A3299" i="1"/>
  <c r="D3299" i="1"/>
  <c r="A3300" i="1"/>
  <c r="D3300" i="1"/>
  <c r="E3300" i="1"/>
  <c r="A3301" i="1"/>
  <c r="D3301" i="1"/>
  <c r="E3301" i="1"/>
  <c r="A3302" i="1"/>
  <c r="D3302" i="1"/>
  <c r="E3302" i="1"/>
  <c r="A3303" i="1"/>
  <c r="D3303" i="1"/>
  <c r="E3303" i="1"/>
  <c r="A3304" i="1"/>
  <c r="D3304" i="1"/>
  <c r="E3304" i="1"/>
  <c r="A3305" i="1"/>
  <c r="D3305" i="1"/>
  <c r="E3305" i="1"/>
  <c r="A3306" i="1"/>
  <c r="D3306" i="1"/>
  <c r="E3306" i="1"/>
  <c r="A3307" i="1"/>
  <c r="D3307" i="1"/>
  <c r="E3307" i="1"/>
  <c r="A3308" i="1"/>
  <c r="D3308" i="1"/>
  <c r="E3308" i="1"/>
  <c r="A3309" i="1"/>
  <c r="D3309" i="1"/>
  <c r="E3309" i="1"/>
  <c r="A3310" i="1"/>
  <c r="D3310" i="1"/>
  <c r="E3310" i="1"/>
  <c r="A3311" i="1"/>
  <c r="D3311" i="1"/>
  <c r="E3311" i="1"/>
  <c r="A3312" i="1"/>
  <c r="D3312" i="1"/>
  <c r="E3312" i="1"/>
  <c r="A3313" i="1"/>
  <c r="D3313" i="1"/>
  <c r="A3314" i="1"/>
  <c r="D3314" i="1"/>
  <c r="E3314" i="1"/>
  <c r="A3315" i="1"/>
  <c r="D3315" i="1"/>
  <c r="A3316" i="1"/>
  <c r="D3316" i="1"/>
  <c r="A3317" i="1"/>
  <c r="D3317" i="1"/>
  <c r="E3317" i="1"/>
  <c r="A3318" i="1"/>
  <c r="D3318" i="1"/>
  <c r="E3318" i="1"/>
  <c r="A3319" i="1"/>
  <c r="D3319" i="1"/>
  <c r="E3319" i="1"/>
  <c r="A3320" i="1"/>
  <c r="D3320" i="1"/>
  <c r="E3320" i="1"/>
  <c r="A3321" i="1"/>
  <c r="D3321" i="1"/>
  <c r="E3321" i="1"/>
  <c r="A3322" i="1"/>
  <c r="D3322" i="1"/>
  <c r="E3322" i="1"/>
  <c r="A3323" i="1"/>
  <c r="D3323" i="1"/>
  <c r="E3323" i="1"/>
  <c r="A3324" i="1"/>
  <c r="D3324" i="1"/>
  <c r="E3324" i="1"/>
  <c r="A3325" i="1"/>
  <c r="D3325" i="1"/>
  <c r="E3325" i="1"/>
  <c r="A3326" i="1"/>
  <c r="D3326" i="1"/>
  <c r="E3326" i="1"/>
  <c r="A3327" i="1"/>
  <c r="D3327" i="1"/>
  <c r="E3327" i="1"/>
  <c r="A3328" i="1"/>
  <c r="D3328" i="1"/>
  <c r="E3328" i="1"/>
  <c r="A3329" i="1"/>
  <c r="D3329" i="1"/>
  <c r="E3329" i="1"/>
  <c r="A3330" i="1"/>
  <c r="D3330" i="1"/>
  <c r="E3330" i="1"/>
  <c r="A3331" i="1"/>
  <c r="D3331" i="1"/>
  <c r="E3331" i="1"/>
  <c r="A3332" i="1"/>
  <c r="D3332" i="1"/>
  <c r="E3332" i="1"/>
  <c r="A3333" i="1"/>
  <c r="D3333" i="1"/>
  <c r="E3333" i="1"/>
  <c r="A3334" i="1"/>
  <c r="D3334" i="1"/>
  <c r="E3334" i="1"/>
  <c r="A3335" i="1"/>
  <c r="D3335" i="1"/>
  <c r="E3335" i="1"/>
  <c r="A3336" i="1"/>
  <c r="D3336" i="1"/>
  <c r="E3336" i="1"/>
  <c r="A3337" i="1"/>
  <c r="D3337" i="1"/>
  <c r="E3337" i="1"/>
  <c r="A3338" i="1"/>
  <c r="D3338" i="1"/>
  <c r="E3338" i="1"/>
  <c r="A3339" i="1"/>
  <c r="D3339" i="1"/>
  <c r="E3339" i="1"/>
  <c r="A3340" i="1"/>
  <c r="D3340" i="1"/>
  <c r="E3340" i="1"/>
  <c r="A3341" i="1"/>
  <c r="D3341" i="1"/>
  <c r="E3341" i="1"/>
  <c r="A3342" i="1"/>
  <c r="D3342" i="1"/>
  <c r="E3342" i="1"/>
  <c r="A3343" i="1"/>
  <c r="D3343" i="1"/>
  <c r="E3343" i="1"/>
  <c r="A3344" i="1"/>
  <c r="D3344" i="1"/>
  <c r="E3344" i="1"/>
  <c r="A3345" i="1"/>
  <c r="D3345" i="1"/>
  <c r="E3345" i="1"/>
  <c r="A3346" i="1"/>
  <c r="D3346" i="1"/>
  <c r="A3347" i="1"/>
  <c r="D3347" i="1"/>
  <c r="E3347" i="1"/>
  <c r="A3348" i="1"/>
  <c r="D3348" i="1"/>
  <c r="E3348" i="1"/>
  <c r="A3349" i="1"/>
  <c r="D3349" i="1"/>
  <c r="E3349" i="1"/>
  <c r="A3350" i="1"/>
  <c r="D3350" i="1"/>
  <c r="E3350" i="1"/>
  <c r="A3351" i="1"/>
  <c r="D3351" i="1"/>
  <c r="E3351" i="1"/>
  <c r="A3352" i="1"/>
  <c r="D3352" i="1"/>
  <c r="E3352" i="1"/>
  <c r="A3353" i="1"/>
  <c r="D3353" i="1"/>
  <c r="E3353" i="1"/>
  <c r="A3354" i="1"/>
  <c r="D3354" i="1"/>
  <c r="E3354" i="1"/>
  <c r="A3355" i="1"/>
  <c r="D3355" i="1"/>
  <c r="E3355" i="1"/>
  <c r="A3356" i="1"/>
  <c r="D3356" i="1"/>
  <c r="E3356" i="1"/>
  <c r="A3357" i="1"/>
  <c r="D3357" i="1"/>
  <c r="E3357" i="1"/>
  <c r="A3358" i="1"/>
  <c r="D3358" i="1"/>
  <c r="E3358" i="1"/>
  <c r="A3359" i="1"/>
  <c r="D3359" i="1"/>
  <c r="E3359" i="1"/>
  <c r="A3360" i="1"/>
  <c r="D3360" i="1"/>
  <c r="E3360" i="1"/>
  <c r="A3361" i="1"/>
  <c r="D3361" i="1"/>
  <c r="E3361" i="1"/>
  <c r="A3362" i="1"/>
  <c r="D3362" i="1"/>
  <c r="E3362" i="1"/>
  <c r="A3363" i="1"/>
  <c r="D3363" i="1"/>
  <c r="E3363" i="1"/>
  <c r="A3364" i="1"/>
  <c r="D3364" i="1"/>
  <c r="A3365" i="1"/>
  <c r="D3365" i="1"/>
  <c r="E3365" i="1"/>
  <c r="A3366" i="1"/>
  <c r="D3366" i="1"/>
  <c r="E3366" i="1"/>
  <c r="A3367" i="1"/>
  <c r="D3367" i="1"/>
  <c r="E3367" i="1"/>
  <c r="A3368" i="1"/>
  <c r="D3368" i="1"/>
  <c r="E3368" i="1"/>
  <c r="A3369" i="1"/>
  <c r="D3369" i="1"/>
  <c r="E3369" i="1"/>
  <c r="A3370" i="1"/>
  <c r="D3370" i="1"/>
  <c r="E3370" i="1"/>
  <c r="A3371" i="1"/>
  <c r="D3371" i="1"/>
  <c r="E3371" i="1"/>
  <c r="A3372" i="1"/>
  <c r="D3372" i="1"/>
  <c r="A3373" i="1"/>
  <c r="D3373" i="1"/>
  <c r="A3374" i="1"/>
  <c r="D3374" i="1"/>
  <c r="E3374" i="1"/>
  <c r="A3375" i="1"/>
  <c r="D3375" i="1"/>
  <c r="E3375" i="1"/>
  <c r="A3376" i="1"/>
  <c r="D3376" i="1"/>
  <c r="E3376" i="1"/>
  <c r="A3377" i="1"/>
  <c r="D3377" i="1"/>
  <c r="E3377" i="1"/>
  <c r="A3378" i="1"/>
  <c r="D3378" i="1"/>
  <c r="E3378" i="1"/>
  <c r="A3379" i="1"/>
  <c r="D3379" i="1"/>
  <c r="E3379" i="1"/>
  <c r="A3380" i="1"/>
  <c r="D3380" i="1"/>
  <c r="E3380" i="1"/>
  <c r="A3381" i="1"/>
  <c r="D3381" i="1"/>
  <c r="E3381" i="1"/>
  <c r="A3382" i="1"/>
  <c r="D3382" i="1"/>
  <c r="E3382" i="1"/>
  <c r="A3383" i="1"/>
  <c r="D3383" i="1"/>
  <c r="A3384" i="1"/>
  <c r="D3384" i="1"/>
  <c r="E3384" i="1"/>
  <c r="A3385" i="1"/>
  <c r="D3385" i="1"/>
  <c r="E3385" i="1"/>
  <c r="A3386" i="1"/>
  <c r="D3386" i="1"/>
  <c r="E3386" i="1"/>
  <c r="A3387" i="1"/>
  <c r="D3387" i="1"/>
  <c r="E3387" i="1"/>
  <c r="A3388" i="1"/>
  <c r="D3388" i="1"/>
  <c r="E3388" i="1"/>
  <c r="A3389" i="1"/>
  <c r="D3389" i="1"/>
  <c r="E3389" i="1"/>
  <c r="A3390" i="1"/>
  <c r="D3390" i="1"/>
  <c r="A3391" i="1"/>
  <c r="D3391" i="1"/>
  <c r="E3391" i="1"/>
  <c r="A3392" i="1"/>
  <c r="D3392" i="1"/>
  <c r="A3393" i="1"/>
  <c r="D3393" i="1"/>
  <c r="E3393" i="1"/>
  <c r="A3394" i="1"/>
  <c r="D3394" i="1"/>
  <c r="E3394" i="1"/>
  <c r="A3395" i="1"/>
  <c r="D3395" i="1"/>
  <c r="A3396" i="1"/>
  <c r="D3396" i="1"/>
  <c r="A3397" i="1"/>
  <c r="D3397" i="1"/>
  <c r="A3398" i="1"/>
  <c r="D3398" i="1"/>
  <c r="E3398" i="1"/>
  <c r="A3399" i="1"/>
  <c r="D3399" i="1"/>
  <c r="E3399" i="1"/>
  <c r="A3400" i="1"/>
  <c r="D3400" i="1"/>
  <c r="E3400" i="1"/>
  <c r="A3401" i="1"/>
  <c r="D3401" i="1"/>
  <c r="E3401" i="1"/>
  <c r="A3402" i="1"/>
  <c r="D3402" i="1"/>
  <c r="E3402" i="1"/>
  <c r="A3403" i="1"/>
  <c r="D3403" i="1"/>
  <c r="E3403" i="1"/>
  <c r="A3404" i="1"/>
  <c r="D3404" i="1"/>
  <c r="A3405" i="1"/>
  <c r="D3405" i="1"/>
  <c r="E3405" i="1"/>
  <c r="A3406" i="1"/>
  <c r="D3406" i="1"/>
  <c r="A3407" i="1"/>
  <c r="D3407" i="1"/>
  <c r="A3408" i="1"/>
  <c r="D3408" i="1"/>
  <c r="A3409" i="1"/>
  <c r="D3409" i="1"/>
  <c r="E3409" i="1"/>
  <c r="A3410" i="1"/>
  <c r="D3410" i="1"/>
  <c r="A3411" i="1"/>
  <c r="D3411" i="1"/>
  <c r="A3412" i="1"/>
  <c r="D3412" i="1"/>
  <c r="A3413" i="1"/>
  <c r="D3413" i="1"/>
  <c r="E3413" i="1"/>
  <c r="A3414" i="1"/>
  <c r="D3414" i="1"/>
  <c r="E3414" i="1"/>
  <c r="A3415" i="1"/>
  <c r="D3415" i="1"/>
  <c r="E3415" i="1"/>
  <c r="A3416" i="1"/>
  <c r="D3416" i="1"/>
  <c r="E3416" i="1"/>
  <c r="A3417" i="1"/>
  <c r="D3417" i="1"/>
  <c r="E3417" i="1"/>
  <c r="A3418" i="1"/>
  <c r="D3418" i="1"/>
  <c r="E3418" i="1"/>
  <c r="A3419" i="1"/>
  <c r="D3419" i="1"/>
  <c r="E3419" i="1"/>
  <c r="A3420" i="1"/>
  <c r="D3420" i="1"/>
  <c r="E3420" i="1"/>
  <c r="A3421" i="1"/>
  <c r="D3421" i="1"/>
  <c r="E3421" i="1"/>
  <c r="A3422" i="1"/>
  <c r="D3422" i="1"/>
  <c r="E3422" i="1"/>
  <c r="A3423" i="1"/>
  <c r="D3423" i="1"/>
  <c r="E3423" i="1"/>
  <c r="A3424" i="1"/>
  <c r="D3424" i="1"/>
  <c r="E3424" i="1"/>
  <c r="A3425" i="1"/>
  <c r="D3425" i="1"/>
  <c r="A3426" i="1"/>
  <c r="D3426" i="1"/>
  <c r="E3426" i="1"/>
  <c r="A3427" i="1"/>
  <c r="D3427" i="1"/>
  <c r="E3427" i="1"/>
  <c r="A3428" i="1"/>
  <c r="D3428" i="1"/>
  <c r="E3428" i="1"/>
  <c r="A3429" i="1"/>
  <c r="D3429" i="1"/>
  <c r="E3429" i="1"/>
  <c r="A3430" i="1"/>
  <c r="D3430" i="1"/>
  <c r="E3430" i="1"/>
  <c r="A3431" i="1"/>
  <c r="D3431" i="1"/>
  <c r="E3431" i="1"/>
  <c r="A3432" i="1"/>
  <c r="D3432" i="1"/>
  <c r="E3432" i="1"/>
  <c r="A3433" i="1"/>
  <c r="D3433" i="1"/>
  <c r="E3433" i="1"/>
  <c r="A3434" i="1"/>
  <c r="D3434" i="1"/>
  <c r="E3434" i="1"/>
  <c r="A3435" i="1"/>
  <c r="D3435" i="1"/>
  <c r="E3435" i="1"/>
  <c r="A3436" i="1"/>
  <c r="D3436" i="1"/>
  <c r="E3436" i="1"/>
  <c r="A3437" i="1"/>
  <c r="D3437" i="1"/>
  <c r="E3437" i="1"/>
  <c r="A3438" i="1"/>
  <c r="D3438" i="1"/>
  <c r="E3438" i="1"/>
  <c r="A3439" i="1"/>
  <c r="D3439" i="1"/>
  <c r="E3439" i="1"/>
  <c r="A3440" i="1"/>
  <c r="D3440" i="1"/>
  <c r="A3441" i="1"/>
  <c r="D3441" i="1"/>
  <c r="A3442" i="1"/>
  <c r="D3442" i="1"/>
  <c r="E3442" i="1"/>
  <c r="A3443" i="1"/>
  <c r="D3443" i="1"/>
  <c r="E3443" i="1"/>
  <c r="A3444" i="1"/>
  <c r="D3444" i="1"/>
  <c r="A3445" i="1"/>
  <c r="D3445" i="1"/>
  <c r="E3445" i="1"/>
  <c r="A3446" i="1"/>
  <c r="D3446" i="1"/>
  <c r="E3446" i="1"/>
  <c r="A3447" i="1"/>
  <c r="D3447" i="1"/>
  <c r="A3448" i="1"/>
  <c r="D3448" i="1"/>
  <c r="A3449" i="1"/>
  <c r="D3449" i="1"/>
  <c r="A3450" i="1"/>
  <c r="D3450" i="1"/>
  <c r="E3450" i="1"/>
  <c r="A3451" i="1"/>
  <c r="D3451" i="1"/>
  <c r="E3451" i="1"/>
  <c r="A3452" i="1"/>
  <c r="D3452" i="1"/>
  <c r="E3452" i="1"/>
  <c r="A3453" i="1"/>
  <c r="D3453" i="1"/>
  <c r="E3453" i="1"/>
  <c r="A3454" i="1"/>
  <c r="D3454" i="1"/>
  <c r="E3454" i="1"/>
  <c r="A3455" i="1"/>
  <c r="D3455" i="1"/>
  <c r="E3455" i="1"/>
  <c r="A3456" i="1"/>
  <c r="D3456" i="1"/>
  <c r="A3457" i="1"/>
  <c r="D3457" i="1"/>
  <c r="A3458" i="1"/>
  <c r="D3458" i="1"/>
  <c r="E3458" i="1"/>
  <c r="A3459" i="1"/>
  <c r="D3459" i="1"/>
  <c r="E3459" i="1"/>
  <c r="A3460" i="1"/>
  <c r="D3460" i="1"/>
  <c r="E3460" i="1"/>
  <c r="A3461" i="1"/>
  <c r="D3461" i="1"/>
  <c r="E3461" i="1"/>
  <c r="A3462" i="1"/>
  <c r="D3462" i="1"/>
  <c r="E3462" i="1"/>
  <c r="A3463" i="1"/>
  <c r="D3463" i="1"/>
  <c r="E3463" i="1"/>
  <c r="A3464" i="1"/>
  <c r="D3464" i="1"/>
  <c r="E3464" i="1"/>
  <c r="A3465" i="1"/>
  <c r="D3465" i="1"/>
  <c r="A3466" i="1"/>
  <c r="D3466" i="1"/>
  <c r="A3467" i="1"/>
  <c r="D3467" i="1"/>
  <c r="A3468" i="1"/>
  <c r="D3468" i="1"/>
  <c r="A3469" i="1"/>
  <c r="D3469" i="1"/>
  <c r="A3470" i="1"/>
  <c r="D3470" i="1"/>
  <c r="E3470" i="1"/>
  <c r="A3471" i="1"/>
  <c r="D3471" i="1"/>
  <c r="E3471" i="1"/>
  <c r="A3472" i="1"/>
  <c r="D3472" i="1"/>
  <c r="E3472" i="1"/>
  <c r="A3473" i="1"/>
  <c r="D3473" i="1"/>
  <c r="E3473" i="1"/>
  <c r="A3474" i="1"/>
  <c r="D3474" i="1"/>
  <c r="E3474" i="1"/>
  <c r="A3475" i="1"/>
  <c r="D3475" i="1"/>
  <c r="E3475" i="1"/>
  <c r="A3476" i="1"/>
  <c r="D3476" i="1"/>
  <c r="E3476" i="1"/>
  <c r="A3477" i="1"/>
  <c r="D3477" i="1"/>
  <c r="E3477" i="1"/>
  <c r="A3478" i="1"/>
  <c r="D3478" i="1"/>
  <c r="E3478" i="1"/>
  <c r="A3479" i="1"/>
  <c r="D3479" i="1"/>
  <c r="E3479" i="1"/>
  <c r="A3480" i="1"/>
  <c r="D3480" i="1"/>
  <c r="E3480" i="1"/>
  <c r="A3481" i="1"/>
  <c r="D3481" i="1"/>
  <c r="A3482" i="1"/>
  <c r="D3482" i="1"/>
  <c r="A3483" i="1"/>
  <c r="D3483" i="1"/>
  <c r="A3484" i="1"/>
  <c r="D3484" i="1"/>
  <c r="E3484" i="1"/>
  <c r="A3485" i="1"/>
  <c r="D3485" i="1"/>
  <c r="E3485" i="1"/>
  <c r="A3486" i="1"/>
  <c r="D3486" i="1"/>
  <c r="E3486" i="1"/>
  <c r="A3487" i="1"/>
  <c r="D3487" i="1"/>
  <c r="E3487" i="1"/>
  <c r="A3488" i="1"/>
  <c r="D3488" i="1"/>
  <c r="E3488" i="1"/>
  <c r="A3489" i="1"/>
  <c r="D3489" i="1"/>
  <c r="E3489" i="1"/>
  <c r="A3490" i="1"/>
  <c r="D3490" i="1"/>
  <c r="E3490" i="1"/>
  <c r="A3491" i="1"/>
  <c r="D3491" i="1"/>
  <c r="E3491" i="1"/>
  <c r="A3492" i="1"/>
  <c r="D3492" i="1"/>
  <c r="E3492" i="1"/>
  <c r="A3493" i="1"/>
  <c r="D3493" i="1"/>
  <c r="E3493" i="1"/>
  <c r="A3494" i="1"/>
  <c r="D3494" i="1"/>
  <c r="E3494" i="1"/>
  <c r="A3495" i="1"/>
  <c r="D3495" i="1"/>
  <c r="E3495" i="1"/>
  <c r="A3496" i="1"/>
  <c r="D3496" i="1"/>
  <c r="E3496" i="1"/>
  <c r="A3497" i="1"/>
  <c r="D3497" i="1"/>
  <c r="E3497" i="1"/>
  <c r="A3498" i="1"/>
  <c r="D3498" i="1"/>
  <c r="E3498" i="1"/>
  <c r="A3499" i="1"/>
  <c r="D3499" i="1"/>
  <c r="E3499" i="1"/>
  <c r="A3500" i="1"/>
  <c r="D3500" i="1"/>
  <c r="E3500" i="1"/>
  <c r="A3501" i="1"/>
  <c r="D3501" i="1"/>
  <c r="E3501" i="1"/>
  <c r="A3502" i="1"/>
  <c r="D3502" i="1"/>
  <c r="E3502" i="1"/>
  <c r="A3503" i="1"/>
  <c r="D3503" i="1"/>
  <c r="E3503" i="1"/>
  <c r="A3504" i="1"/>
  <c r="D3504" i="1"/>
  <c r="E3504" i="1"/>
  <c r="A3505" i="1"/>
  <c r="D3505" i="1"/>
  <c r="E3505" i="1"/>
  <c r="A3506" i="1"/>
  <c r="D3506" i="1"/>
  <c r="E3506" i="1"/>
  <c r="A3507" i="1"/>
  <c r="D3507" i="1"/>
  <c r="E3507" i="1"/>
  <c r="A3508" i="1"/>
  <c r="D3508" i="1"/>
  <c r="E3508" i="1"/>
  <c r="A3509" i="1"/>
  <c r="D3509" i="1"/>
  <c r="E3509" i="1"/>
  <c r="A3510" i="1"/>
  <c r="D3510" i="1"/>
  <c r="A3511" i="1"/>
  <c r="D3511" i="1"/>
  <c r="E3511" i="1"/>
  <c r="A3512" i="1"/>
  <c r="D3512" i="1"/>
  <c r="E3512" i="1"/>
  <c r="A3513" i="1"/>
  <c r="D3513" i="1"/>
  <c r="E3513" i="1"/>
  <c r="A3514" i="1"/>
  <c r="D3514" i="1"/>
  <c r="E3514" i="1"/>
  <c r="A3515" i="1"/>
  <c r="D3515" i="1"/>
  <c r="E3515" i="1"/>
  <c r="A3516" i="1"/>
  <c r="D3516" i="1"/>
  <c r="E3516" i="1"/>
  <c r="A3517" i="1"/>
  <c r="D3517" i="1"/>
  <c r="E3517" i="1"/>
  <c r="A3518" i="1"/>
  <c r="D3518" i="1"/>
  <c r="E3518" i="1"/>
  <c r="A3519" i="1"/>
  <c r="D3519" i="1"/>
  <c r="E3519" i="1"/>
  <c r="A3520" i="1"/>
  <c r="D3520" i="1"/>
  <c r="E3520" i="1"/>
  <c r="A3521" i="1"/>
  <c r="D3521" i="1"/>
  <c r="A3522" i="1"/>
  <c r="D3522" i="1"/>
  <c r="E3522" i="1"/>
  <c r="A3523" i="1"/>
  <c r="D3523" i="1"/>
  <c r="E3523" i="1"/>
  <c r="A3524" i="1"/>
  <c r="D3524" i="1"/>
  <c r="E3524" i="1"/>
  <c r="A3525" i="1"/>
  <c r="D3525" i="1"/>
  <c r="A3526" i="1"/>
  <c r="D3526" i="1"/>
  <c r="A3527" i="1"/>
  <c r="D3527" i="1"/>
  <c r="E3527" i="1"/>
  <c r="A3528" i="1"/>
  <c r="D3528" i="1"/>
  <c r="E3528" i="1"/>
  <c r="A3529" i="1"/>
  <c r="D3529" i="1"/>
  <c r="E3529" i="1"/>
  <c r="A3530" i="1"/>
  <c r="D3530" i="1"/>
  <c r="E3530" i="1"/>
  <c r="A3531" i="1"/>
  <c r="D3531" i="1"/>
  <c r="E3531" i="1"/>
  <c r="A3532" i="1"/>
  <c r="D3532" i="1"/>
  <c r="E3532" i="1"/>
  <c r="A3533" i="1"/>
  <c r="D3533" i="1"/>
  <c r="E3533" i="1"/>
  <c r="A3534" i="1"/>
  <c r="D3534" i="1"/>
  <c r="E3534" i="1"/>
  <c r="A3535" i="1"/>
  <c r="D3535" i="1"/>
  <c r="E3535" i="1"/>
  <c r="A3536" i="1"/>
  <c r="D3536" i="1"/>
  <c r="E3536" i="1"/>
  <c r="A3537" i="1"/>
  <c r="D3537" i="1"/>
  <c r="A3538" i="1"/>
  <c r="D3538" i="1"/>
  <c r="E3538" i="1"/>
  <c r="A3539" i="1"/>
  <c r="D3539" i="1"/>
  <c r="E3539" i="1"/>
  <c r="A3540" i="1"/>
  <c r="D3540" i="1"/>
  <c r="E3540" i="1"/>
  <c r="A3541" i="1"/>
  <c r="D3541" i="1"/>
  <c r="E3541" i="1"/>
  <c r="A3542" i="1"/>
  <c r="D3542" i="1"/>
  <c r="E3542" i="1"/>
  <c r="A3543" i="1"/>
  <c r="D3543" i="1"/>
  <c r="E3543" i="1"/>
  <c r="A3544" i="1"/>
  <c r="D3544" i="1"/>
  <c r="E3544" i="1"/>
  <c r="A3545" i="1"/>
  <c r="D3545" i="1"/>
  <c r="E3545" i="1"/>
  <c r="A3546" i="1"/>
  <c r="D3546" i="1"/>
  <c r="E3546" i="1"/>
  <c r="A3547" i="1"/>
  <c r="D3547" i="1"/>
  <c r="E3547" i="1"/>
  <c r="A3548" i="1"/>
  <c r="D3548" i="1"/>
  <c r="A3549" i="1"/>
  <c r="D3549" i="1"/>
  <c r="E3549" i="1"/>
  <c r="A3550" i="1"/>
  <c r="D3550" i="1"/>
  <c r="E3550" i="1"/>
  <c r="A3551" i="1"/>
  <c r="D3551" i="1"/>
  <c r="E3551" i="1"/>
  <c r="A3552" i="1"/>
  <c r="D3552" i="1"/>
  <c r="E3552" i="1"/>
  <c r="A3553" i="1"/>
  <c r="D3553" i="1"/>
  <c r="E3553" i="1"/>
  <c r="A3554" i="1"/>
  <c r="D3554" i="1"/>
  <c r="E3554" i="1"/>
  <c r="A3555" i="1"/>
  <c r="D3555" i="1"/>
  <c r="E3555" i="1"/>
  <c r="A3556" i="1"/>
  <c r="D3556" i="1"/>
  <c r="E3556" i="1"/>
  <c r="A3557" i="1"/>
  <c r="D3557" i="1"/>
  <c r="E3557" i="1"/>
  <c r="A3558" i="1"/>
  <c r="D3558" i="1"/>
  <c r="E3558" i="1"/>
  <c r="A3559" i="1"/>
  <c r="D3559" i="1"/>
  <c r="A3560" i="1"/>
  <c r="D3560" i="1"/>
  <c r="A3561" i="1"/>
  <c r="D3561" i="1"/>
  <c r="E3561" i="1"/>
  <c r="A3562" i="1"/>
  <c r="D3562" i="1"/>
  <c r="E3562" i="1"/>
  <c r="A3563" i="1"/>
  <c r="D3563" i="1"/>
  <c r="E3563" i="1"/>
  <c r="A3564" i="1"/>
  <c r="D3564" i="1"/>
  <c r="E3564" i="1"/>
  <c r="A3565" i="1"/>
  <c r="D3565" i="1"/>
  <c r="E3565" i="1"/>
  <c r="A3566" i="1"/>
  <c r="D3566" i="1"/>
  <c r="E3566" i="1"/>
  <c r="A3567" i="1"/>
  <c r="D3567" i="1"/>
  <c r="E3567" i="1"/>
  <c r="A3568" i="1"/>
  <c r="D3568" i="1"/>
  <c r="E3568" i="1"/>
  <c r="A3569" i="1"/>
  <c r="D3569" i="1"/>
  <c r="A3570" i="1"/>
  <c r="D3570" i="1"/>
  <c r="E3570" i="1"/>
  <c r="A3571" i="1"/>
  <c r="D3571" i="1"/>
  <c r="E3571" i="1"/>
  <c r="A3572" i="1"/>
  <c r="D3572" i="1"/>
  <c r="E3572" i="1"/>
  <c r="A3573" i="1"/>
  <c r="D3573" i="1"/>
  <c r="E3573" i="1"/>
  <c r="A3574" i="1"/>
  <c r="D3574" i="1"/>
  <c r="E3574" i="1"/>
  <c r="A3575" i="1"/>
  <c r="D3575" i="1"/>
  <c r="E3575" i="1"/>
  <c r="A3576" i="1"/>
  <c r="D3576" i="1"/>
  <c r="A3577" i="1"/>
  <c r="D3577" i="1"/>
  <c r="A3578" i="1"/>
  <c r="D3578" i="1"/>
  <c r="E3578" i="1"/>
  <c r="A3579" i="1"/>
  <c r="D3579" i="1"/>
  <c r="A3580" i="1"/>
  <c r="D3580" i="1"/>
  <c r="E3580" i="1"/>
  <c r="A3581" i="1"/>
  <c r="D3581" i="1"/>
  <c r="E3581" i="1"/>
  <c r="A3582" i="1"/>
  <c r="D3582" i="1"/>
  <c r="A3583" i="1"/>
  <c r="D3583" i="1"/>
  <c r="E3583" i="1"/>
  <c r="A3584" i="1"/>
  <c r="D3584" i="1"/>
  <c r="E3584" i="1"/>
  <c r="A3585" i="1"/>
  <c r="D3585" i="1"/>
  <c r="E3585" i="1"/>
  <c r="A3586" i="1"/>
  <c r="D3586" i="1"/>
  <c r="E3586" i="1"/>
  <c r="A3587" i="1"/>
  <c r="D3587" i="1"/>
  <c r="E3587" i="1"/>
  <c r="A3588" i="1"/>
  <c r="D3588" i="1"/>
  <c r="E3588" i="1"/>
  <c r="A3589" i="1"/>
  <c r="D3589" i="1"/>
  <c r="E3589" i="1"/>
  <c r="A3590" i="1"/>
  <c r="D3590" i="1"/>
  <c r="E3590" i="1"/>
  <c r="A3591" i="1"/>
  <c r="D3591" i="1"/>
  <c r="E3591" i="1"/>
  <c r="A3592" i="1"/>
  <c r="D3592" i="1"/>
  <c r="E3592" i="1"/>
  <c r="A3593" i="1"/>
  <c r="D3593" i="1"/>
  <c r="E3593" i="1"/>
  <c r="A3594" i="1"/>
  <c r="D3594" i="1"/>
  <c r="A3595" i="1"/>
  <c r="D3595" i="1"/>
  <c r="E3595" i="1"/>
  <c r="A3596" i="1"/>
  <c r="D3596" i="1"/>
  <c r="E3596" i="1"/>
  <c r="A3597" i="1"/>
  <c r="D3597" i="1"/>
  <c r="E3597" i="1"/>
  <c r="A3598" i="1"/>
  <c r="D3598" i="1"/>
  <c r="A3599" i="1"/>
  <c r="D3599" i="1"/>
  <c r="E3599" i="1"/>
  <c r="A3600" i="1"/>
  <c r="D3600" i="1"/>
  <c r="E3600" i="1"/>
  <c r="A3601" i="1"/>
  <c r="D3601" i="1"/>
  <c r="A3602" i="1"/>
  <c r="D3602" i="1"/>
  <c r="E3602" i="1"/>
  <c r="A3603" i="1"/>
  <c r="D3603" i="1"/>
  <c r="A3604" i="1"/>
  <c r="D3604" i="1"/>
  <c r="A3605" i="1"/>
  <c r="D3605" i="1"/>
  <c r="E3605" i="1"/>
  <c r="A3606" i="1"/>
  <c r="D3606" i="1"/>
  <c r="E3606" i="1"/>
  <c r="A3607" i="1"/>
  <c r="D3607" i="1"/>
  <c r="A3608" i="1"/>
  <c r="D3608" i="1"/>
  <c r="E3608" i="1"/>
  <c r="A3609" i="1"/>
  <c r="D3609" i="1"/>
  <c r="E3609" i="1"/>
  <c r="A3610" i="1"/>
  <c r="D3610" i="1"/>
  <c r="E3610" i="1"/>
  <c r="A3611" i="1"/>
  <c r="D3611" i="1"/>
  <c r="E3611" i="1"/>
  <c r="A3612" i="1"/>
  <c r="D3612" i="1"/>
  <c r="A3613" i="1"/>
  <c r="D3613" i="1"/>
  <c r="E3613" i="1"/>
  <c r="A3614" i="1"/>
  <c r="D3614" i="1"/>
  <c r="E3614" i="1"/>
  <c r="A3615" i="1"/>
  <c r="D3615" i="1"/>
  <c r="E3615" i="1"/>
  <c r="A3616" i="1"/>
  <c r="D3616" i="1"/>
  <c r="E3616" i="1"/>
  <c r="A3617" i="1"/>
  <c r="D3617" i="1"/>
  <c r="A3618" i="1"/>
  <c r="D3618" i="1"/>
  <c r="E3618" i="1"/>
  <c r="A3619" i="1"/>
  <c r="D3619" i="1"/>
  <c r="E3619" i="1"/>
  <c r="A3620" i="1"/>
  <c r="D3620" i="1"/>
  <c r="A3621" i="1"/>
  <c r="D3621" i="1"/>
  <c r="A3622" i="1"/>
  <c r="D3622" i="1"/>
  <c r="E3622" i="1"/>
  <c r="A3623" i="1"/>
  <c r="D3623" i="1"/>
  <c r="E3623" i="1"/>
  <c r="A3624" i="1"/>
  <c r="D3624" i="1"/>
  <c r="E3624" i="1"/>
  <c r="A3625" i="1"/>
  <c r="D3625" i="1"/>
  <c r="E3625" i="1"/>
  <c r="A3626" i="1"/>
  <c r="D3626" i="1"/>
  <c r="E3626" i="1"/>
  <c r="A3627" i="1"/>
  <c r="D3627" i="1"/>
  <c r="E3627" i="1"/>
  <c r="A3628" i="1"/>
  <c r="D3628" i="1"/>
  <c r="E3628" i="1"/>
  <c r="A3629" i="1"/>
  <c r="D3629" i="1"/>
  <c r="E3629" i="1"/>
  <c r="A3630" i="1"/>
  <c r="D3630" i="1"/>
  <c r="A3631" i="1"/>
  <c r="D3631" i="1"/>
  <c r="E3631" i="1"/>
  <c r="A3632" i="1"/>
  <c r="D3632" i="1"/>
  <c r="A3633" i="1"/>
  <c r="D3633" i="1"/>
  <c r="E3633" i="1"/>
  <c r="A3634" i="1"/>
  <c r="D3634" i="1"/>
  <c r="E3634" i="1"/>
  <c r="A3635" i="1"/>
  <c r="D3635" i="1"/>
  <c r="E3635" i="1"/>
  <c r="A3636" i="1"/>
  <c r="D3636" i="1"/>
  <c r="E3636" i="1"/>
  <c r="A3637" i="1"/>
  <c r="D3637" i="1"/>
  <c r="E3637" i="1"/>
  <c r="A3638" i="1"/>
  <c r="D3638" i="1"/>
  <c r="E3638" i="1"/>
  <c r="A3639" i="1"/>
  <c r="D3639" i="1"/>
  <c r="A3640" i="1"/>
  <c r="D3640" i="1"/>
  <c r="A3641" i="1"/>
  <c r="D3641" i="1"/>
  <c r="E3641" i="1"/>
  <c r="A3642" i="1"/>
  <c r="D3642" i="1"/>
  <c r="A3643" i="1"/>
  <c r="D3643" i="1"/>
  <c r="A3644" i="1"/>
  <c r="D3644" i="1"/>
  <c r="A3645" i="1"/>
  <c r="D3645" i="1"/>
  <c r="A3646" i="1"/>
  <c r="D3646" i="1"/>
  <c r="E3646" i="1"/>
  <c r="A3647" i="1"/>
  <c r="D3647" i="1"/>
  <c r="E3647" i="1"/>
  <c r="A3648" i="1"/>
  <c r="D3648" i="1"/>
  <c r="E3648" i="1"/>
  <c r="A3649" i="1"/>
  <c r="D3649" i="1"/>
  <c r="E3649" i="1"/>
  <c r="A3650" i="1"/>
  <c r="D3650" i="1"/>
  <c r="E3650" i="1"/>
  <c r="A3651" i="1"/>
  <c r="D3651" i="1"/>
  <c r="E3651" i="1"/>
  <c r="A3652" i="1"/>
  <c r="D3652" i="1"/>
  <c r="E3652" i="1"/>
  <c r="A3653" i="1"/>
  <c r="D3653" i="1"/>
  <c r="E3653" i="1"/>
  <c r="A3654" i="1"/>
  <c r="D3654" i="1"/>
  <c r="E3654" i="1"/>
  <c r="A3655" i="1"/>
  <c r="D3655" i="1"/>
  <c r="E3655" i="1"/>
  <c r="A3656" i="1"/>
  <c r="D3656" i="1"/>
  <c r="E3656" i="1"/>
  <c r="A3657" i="1"/>
  <c r="D3657" i="1"/>
  <c r="E3657" i="1"/>
  <c r="A3658" i="1"/>
  <c r="D3658" i="1"/>
  <c r="E3658" i="1"/>
  <c r="A3659" i="1"/>
  <c r="D3659" i="1"/>
  <c r="E3659" i="1"/>
  <c r="A3660" i="1"/>
  <c r="D3660" i="1"/>
  <c r="E3660" i="1"/>
  <c r="A3661" i="1"/>
  <c r="D3661" i="1"/>
  <c r="E3661" i="1"/>
  <c r="A3662" i="1"/>
  <c r="D3662" i="1"/>
  <c r="E3662" i="1"/>
  <c r="A3663" i="1"/>
  <c r="D3663" i="1"/>
  <c r="E3663" i="1"/>
  <c r="A3664" i="1"/>
  <c r="D3664" i="1"/>
  <c r="E3664" i="1"/>
  <c r="A3665" i="1"/>
  <c r="D3665" i="1"/>
  <c r="E3665" i="1"/>
  <c r="A3666" i="1"/>
  <c r="D3666" i="1"/>
  <c r="E3666" i="1"/>
  <c r="A3667" i="1"/>
  <c r="D3667" i="1"/>
  <c r="A3668" i="1"/>
  <c r="D3668" i="1"/>
  <c r="E3668" i="1"/>
  <c r="A3669" i="1"/>
  <c r="D3669" i="1"/>
  <c r="E3669" i="1"/>
  <c r="A3670" i="1"/>
  <c r="D3670" i="1"/>
  <c r="E3670" i="1"/>
  <c r="A3671" i="1"/>
  <c r="D3671" i="1"/>
  <c r="E3671" i="1"/>
  <c r="A3672" i="1"/>
  <c r="D3672" i="1"/>
  <c r="E3672" i="1"/>
  <c r="A3673" i="1"/>
  <c r="D3673" i="1"/>
  <c r="E3673" i="1"/>
  <c r="A3674" i="1"/>
  <c r="D3674" i="1"/>
  <c r="E3674" i="1"/>
  <c r="A3675" i="1"/>
  <c r="D3675" i="1"/>
  <c r="E3675" i="1"/>
  <c r="A3676" i="1"/>
  <c r="D3676" i="1"/>
  <c r="E3676" i="1"/>
  <c r="A3677" i="1"/>
  <c r="D3677" i="1"/>
  <c r="A3678" i="1"/>
  <c r="D3678" i="1"/>
  <c r="E3678" i="1"/>
  <c r="A3679" i="1"/>
  <c r="D3679" i="1"/>
  <c r="E3679" i="1"/>
  <c r="A3680" i="1"/>
  <c r="D3680" i="1"/>
  <c r="E3680" i="1"/>
  <c r="A3681" i="1"/>
  <c r="D3681" i="1"/>
  <c r="E3681" i="1"/>
  <c r="A3682" i="1"/>
  <c r="D3682" i="1"/>
  <c r="E3682" i="1"/>
  <c r="A3683" i="1"/>
  <c r="D3683" i="1"/>
  <c r="E3683" i="1"/>
  <c r="A3684" i="1"/>
  <c r="D3684" i="1"/>
  <c r="E3684" i="1"/>
  <c r="A3685" i="1"/>
  <c r="D3685" i="1"/>
  <c r="E3685" i="1"/>
  <c r="A3686" i="1"/>
  <c r="D3686" i="1"/>
  <c r="E3686" i="1"/>
  <c r="A3687" i="1"/>
  <c r="D3687" i="1"/>
  <c r="E3687" i="1"/>
  <c r="A3688" i="1"/>
  <c r="D3688" i="1"/>
  <c r="E3688" i="1"/>
  <c r="A3689" i="1"/>
  <c r="D3689" i="1"/>
  <c r="E3689" i="1"/>
  <c r="A3690" i="1"/>
  <c r="D3690" i="1"/>
  <c r="A3691" i="1"/>
  <c r="D3691" i="1"/>
  <c r="E3691" i="1"/>
  <c r="A3692" i="1"/>
  <c r="D3692" i="1"/>
  <c r="E3692" i="1"/>
  <c r="A3693" i="1"/>
  <c r="D3693" i="1"/>
  <c r="E3693" i="1"/>
  <c r="A3694" i="1"/>
  <c r="D3694" i="1"/>
  <c r="E3694" i="1"/>
  <c r="A3695" i="1"/>
  <c r="D3695" i="1"/>
  <c r="E3695" i="1"/>
  <c r="A3696" i="1"/>
  <c r="D3696" i="1"/>
  <c r="E3696" i="1"/>
  <c r="A3697" i="1"/>
  <c r="D3697" i="1"/>
  <c r="E3697" i="1"/>
  <c r="A3698" i="1"/>
  <c r="D3698" i="1"/>
  <c r="E3698" i="1"/>
  <c r="A3699" i="1"/>
  <c r="D3699" i="1"/>
  <c r="E3699" i="1"/>
  <c r="A3700" i="1"/>
  <c r="D3700" i="1"/>
  <c r="E3700" i="1"/>
  <c r="A3701" i="1"/>
  <c r="D3701" i="1"/>
  <c r="E3701" i="1"/>
  <c r="A3702" i="1"/>
  <c r="D3702" i="1"/>
  <c r="E3702" i="1"/>
  <c r="A3703" i="1"/>
  <c r="D3703" i="1"/>
  <c r="A3704" i="1"/>
  <c r="D3704" i="1"/>
  <c r="E3704" i="1"/>
  <c r="A3705" i="1"/>
  <c r="D3705" i="1"/>
  <c r="E3705" i="1"/>
  <c r="A3706" i="1"/>
  <c r="D3706" i="1"/>
  <c r="E3706" i="1"/>
  <c r="A3707" i="1"/>
  <c r="D3707" i="1"/>
  <c r="E3707" i="1"/>
  <c r="A3708" i="1"/>
  <c r="D3708" i="1"/>
  <c r="E3708" i="1"/>
  <c r="A3709" i="1"/>
  <c r="D3709" i="1"/>
  <c r="E3709" i="1"/>
  <c r="A3710" i="1"/>
  <c r="D3710" i="1"/>
  <c r="E3710" i="1"/>
  <c r="A3711" i="1"/>
  <c r="D3711" i="1"/>
  <c r="A3712" i="1"/>
  <c r="D3712" i="1"/>
  <c r="E3712" i="1"/>
  <c r="A3713" i="1"/>
  <c r="D3713" i="1"/>
  <c r="E3713" i="1"/>
  <c r="A3714" i="1"/>
  <c r="D3714" i="1"/>
  <c r="E3714" i="1"/>
  <c r="A3715" i="1"/>
  <c r="D3715" i="1"/>
  <c r="E3715" i="1"/>
  <c r="A3716" i="1"/>
  <c r="D3716" i="1"/>
  <c r="E3716" i="1"/>
  <c r="A3717" i="1"/>
  <c r="D3717" i="1"/>
  <c r="E3717" i="1"/>
  <c r="A3718" i="1"/>
  <c r="D3718" i="1"/>
  <c r="E3718" i="1"/>
  <c r="A3719" i="1"/>
  <c r="D3719" i="1"/>
  <c r="E3719" i="1"/>
  <c r="A3720" i="1"/>
  <c r="D3720" i="1"/>
  <c r="E3720" i="1"/>
  <c r="A3721" i="1"/>
  <c r="D3721" i="1"/>
  <c r="E3721" i="1"/>
  <c r="A3722" i="1"/>
  <c r="D3722" i="1"/>
  <c r="A3723" i="1"/>
  <c r="D3723" i="1"/>
  <c r="A3724" i="1"/>
  <c r="D3724" i="1"/>
  <c r="A3725" i="1"/>
  <c r="D3725" i="1"/>
  <c r="E3725" i="1"/>
  <c r="A3726" i="1"/>
  <c r="D3726" i="1"/>
  <c r="E3726" i="1"/>
  <c r="A3727" i="1"/>
  <c r="D3727" i="1"/>
  <c r="E3727" i="1"/>
  <c r="A3728" i="1"/>
  <c r="D3728" i="1"/>
  <c r="E3728" i="1"/>
  <c r="A3729" i="1"/>
  <c r="D3729" i="1"/>
  <c r="E3729" i="1"/>
  <c r="A3730" i="1"/>
  <c r="D3730" i="1"/>
  <c r="E3730" i="1"/>
  <c r="A3731" i="1"/>
  <c r="D3731" i="1"/>
  <c r="A3732" i="1"/>
  <c r="D3732" i="1"/>
  <c r="E3732" i="1"/>
  <c r="A3733" i="1"/>
  <c r="D3733" i="1"/>
  <c r="E3733" i="1"/>
  <c r="A3734" i="1"/>
  <c r="D3734" i="1"/>
  <c r="A3735" i="1"/>
  <c r="D3735" i="1"/>
  <c r="E3735" i="1"/>
  <c r="A3736" i="1"/>
  <c r="D3736" i="1"/>
  <c r="E3736" i="1"/>
  <c r="A3737" i="1"/>
  <c r="D3737" i="1"/>
  <c r="E3737" i="1"/>
  <c r="A3738" i="1"/>
  <c r="D3738" i="1"/>
  <c r="E3738" i="1"/>
  <c r="A3739" i="1"/>
  <c r="D3739" i="1"/>
  <c r="E3739" i="1"/>
  <c r="A3740" i="1"/>
  <c r="D3740" i="1"/>
  <c r="E3740" i="1"/>
  <c r="A3741" i="1"/>
  <c r="D3741" i="1"/>
  <c r="E3741" i="1"/>
  <c r="A3742" i="1"/>
  <c r="D3742" i="1"/>
  <c r="E3742" i="1"/>
  <c r="A3743" i="1"/>
  <c r="D3743" i="1"/>
  <c r="E3743" i="1"/>
  <c r="A3744" i="1"/>
  <c r="D3744" i="1"/>
  <c r="E3744" i="1"/>
  <c r="A3745" i="1"/>
  <c r="D3745" i="1"/>
  <c r="E3745" i="1"/>
  <c r="A3746" i="1"/>
  <c r="D3746" i="1"/>
  <c r="E3746" i="1"/>
  <c r="A3747" i="1"/>
  <c r="D3747" i="1"/>
  <c r="E3747" i="1"/>
  <c r="A3748" i="1"/>
  <c r="D3748" i="1"/>
  <c r="A3749" i="1"/>
  <c r="D3749" i="1"/>
  <c r="E3749" i="1"/>
  <c r="A3750" i="1"/>
  <c r="D3750" i="1"/>
  <c r="E3750" i="1"/>
  <c r="A3751" i="1"/>
  <c r="D3751" i="1"/>
  <c r="E3751" i="1"/>
  <c r="A3752" i="1"/>
  <c r="D3752" i="1"/>
  <c r="E3752" i="1"/>
  <c r="A3753" i="1"/>
  <c r="D3753" i="1"/>
  <c r="E3753" i="1"/>
  <c r="A3754" i="1"/>
  <c r="D3754" i="1"/>
  <c r="A3755" i="1"/>
  <c r="D3755" i="1"/>
  <c r="E3755" i="1"/>
  <c r="A3756" i="1"/>
  <c r="D3756" i="1"/>
  <c r="E3756" i="1"/>
  <c r="A3757" i="1"/>
  <c r="D3757" i="1"/>
  <c r="E3757" i="1"/>
  <c r="A3758" i="1"/>
  <c r="D3758" i="1"/>
  <c r="E3758" i="1"/>
  <c r="A3759" i="1"/>
  <c r="D3759" i="1"/>
  <c r="E3759" i="1"/>
  <c r="A3760" i="1"/>
  <c r="D3760" i="1"/>
  <c r="E3760" i="1"/>
  <c r="A3761" i="1"/>
  <c r="D3761" i="1"/>
  <c r="E3761" i="1"/>
  <c r="A3762" i="1"/>
  <c r="D3762" i="1"/>
  <c r="E3762" i="1"/>
  <c r="A3763" i="1"/>
  <c r="D3763" i="1"/>
  <c r="E3763" i="1"/>
  <c r="A3764" i="1"/>
  <c r="D3764" i="1"/>
  <c r="E3764" i="1"/>
  <c r="A3765" i="1"/>
  <c r="D3765" i="1"/>
  <c r="E3765" i="1"/>
  <c r="A3766" i="1"/>
  <c r="D3766" i="1"/>
  <c r="E3766" i="1"/>
  <c r="A3767" i="1"/>
  <c r="D3767" i="1"/>
  <c r="E3767" i="1"/>
  <c r="A3768" i="1"/>
  <c r="D3768" i="1"/>
  <c r="E3768" i="1"/>
  <c r="A3769" i="1"/>
  <c r="D3769" i="1"/>
  <c r="E3769" i="1"/>
  <c r="A3770" i="1"/>
  <c r="D3770" i="1"/>
  <c r="E3770" i="1"/>
  <c r="A3771" i="1"/>
  <c r="D3771" i="1"/>
  <c r="E3771" i="1"/>
  <c r="A3772" i="1"/>
  <c r="D3772" i="1"/>
  <c r="E3772" i="1"/>
  <c r="A3773" i="1"/>
  <c r="D3773" i="1"/>
  <c r="E3773" i="1"/>
  <c r="A3774" i="1"/>
  <c r="D3774" i="1"/>
  <c r="A3775" i="1"/>
  <c r="D3775" i="1"/>
  <c r="E3775" i="1"/>
  <c r="A3776" i="1"/>
  <c r="D3776" i="1"/>
  <c r="E3776" i="1"/>
  <c r="A3777" i="1"/>
  <c r="D3777" i="1"/>
  <c r="E3777" i="1"/>
  <c r="A3778" i="1"/>
  <c r="D3778" i="1"/>
  <c r="E3778" i="1"/>
  <c r="A3779" i="1"/>
  <c r="D3779" i="1"/>
  <c r="E3779" i="1"/>
  <c r="A3780" i="1"/>
  <c r="D3780" i="1"/>
  <c r="E3780" i="1"/>
  <c r="A3781" i="1"/>
  <c r="D3781" i="1"/>
  <c r="E3781" i="1"/>
  <c r="A3782" i="1"/>
  <c r="D3782" i="1"/>
  <c r="E3782" i="1"/>
  <c r="A3783" i="1"/>
  <c r="D3783" i="1"/>
  <c r="E3783" i="1"/>
  <c r="A3784" i="1"/>
  <c r="D3784" i="1"/>
  <c r="E3784" i="1"/>
  <c r="A3785" i="1"/>
  <c r="D3785" i="1"/>
  <c r="E3785" i="1"/>
  <c r="A3786" i="1"/>
  <c r="D3786" i="1"/>
  <c r="E3786" i="1"/>
  <c r="A3787" i="1"/>
  <c r="D3787" i="1"/>
  <c r="E3787" i="1"/>
  <c r="A3788" i="1"/>
  <c r="D3788" i="1"/>
  <c r="E3788" i="1"/>
  <c r="A3789" i="1"/>
  <c r="D3789" i="1"/>
  <c r="E3789" i="1"/>
  <c r="A3790" i="1"/>
  <c r="D3790" i="1"/>
  <c r="A3791" i="1"/>
  <c r="D3791" i="1"/>
  <c r="A3792" i="1"/>
  <c r="D3792" i="1"/>
  <c r="A3793" i="1"/>
  <c r="D3793" i="1"/>
  <c r="A3794" i="1"/>
  <c r="D3794" i="1"/>
  <c r="A3795" i="1"/>
  <c r="D3795" i="1"/>
  <c r="E3795" i="1"/>
  <c r="A3796" i="1"/>
  <c r="D3796" i="1"/>
  <c r="A3797" i="1"/>
  <c r="D3797" i="1"/>
  <c r="E3797" i="1"/>
  <c r="A3798" i="1"/>
  <c r="D3798" i="1"/>
  <c r="E3798" i="1"/>
  <c r="A3799" i="1"/>
  <c r="D3799" i="1"/>
  <c r="E3799" i="1"/>
  <c r="A3800" i="1"/>
  <c r="D3800" i="1"/>
  <c r="E3800" i="1"/>
  <c r="A3801" i="1"/>
  <c r="D3801" i="1"/>
  <c r="A3802" i="1"/>
  <c r="D3802" i="1"/>
  <c r="A3803" i="1"/>
  <c r="D3803" i="1"/>
  <c r="E3803" i="1"/>
  <c r="A3804" i="1"/>
  <c r="D3804" i="1"/>
  <c r="E3804" i="1"/>
  <c r="A3805" i="1"/>
  <c r="D3805" i="1"/>
  <c r="A3806" i="1"/>
  <c r="D3806" i="1"/>
  <c r="A3807" i="1"/>
  <c r="D3807" i="1"/>
  <c r="E3807" i="1"/>
  <c r="A3808" i="1"/>
  <c r="D3808" i="1"/>
  <c r="E3808" i="1"/>
  <c r="A3809" i="1"/>
  <c r="D3809" i="1"/>
  <c r="A3810" i="1"/>
  <c r="D3810" i="1"/>
  <c r="E3810" i="1"/>
  <c r="A3811" i="1"/>
  <c r="D3811" i="1"/>
  <c r="E3811" i="1"/>
  <c r="A3812" i="1"/>
  <c r="D3812" i="1"/>
  <c r="E3812" i="1"/>
  <c r="A3813" i="1"/>
  <c r="D3813" i="1"/>
  <c r="E3813" i="1"/>
  <c r="A3814" i="1"/>
  <c r="D3814" i="1"/>
  <c r="E3814" i="1"/>
  <c r="A3815" i="1"/>
  <c r="D3815" i="1"/>
  <c r="E3815" i="1"/>
  <c r="A3816" i="1"/>
  <c r="D3816" i="1"/>
  <c r="E3816" i="1"/>
  <c r="A3817" i="1"/>
  <c r="D3817" i="1"/>
  <c r="E3817" i="1"/>
  <c r="A3818" i="1"/>
  <c r="D3818" i="1"/>
  <c r="E3818" i="1"/>
  <c r="A3819" i="1"/>
  <c r="D3819" i="1"/>
  <c r="A3820" i="1"/>
  <c r="D3820" i="1"/>
  <c r="E3820" i="1"/>
  <c r="A3821" i="1"/>
  <c r="D3821" i="1"/>
  <c r="A3822" i="1"/>
  <c r="D3822" i="1"/>
  <c r="E3822" i="1"/>
  <c r="A3823" i="1"/>
  <c r="D3823" i="1"/>
  <c r="E3823" i="1"/>
  <c r="A3824" i="1"/>
  <c r="D3824" i="1"/>
  <c r="E3824" i="1"/>
  <c r="A3825" i="1"/>
  <c r="D3825" i="1"/>
  <c r="E3825" i="1"/>
  <c r="A3826" i="1"/>
  <c r="D3826" i="1"/>
  <c r="E3826" i="1"/>
  <c r="A3827" i="1"/>
  <c r="D3827" i="1"/>
  <c r="E3827" i="1"/>
  <c r="A3828" i="1"/>
  <c r="D3828" i="1"/>
  <c r="E3828" i="1"/>
  <c r="A3829" i="1"/>
  <c r="D3829" i="1"/>
  <c r="E3829" i="1"/>
  <c r="A3830" i="1"/>
  <c r="D3830" i="1"/>
  <c r="E3830" i="1"/>
  <c r="A3831" i="1"/>
  <c r="D3831" i="1"/>
  <c r="E3831" i="1"/>
  <c r="A3832" i="1"/>
  <c r="D3832" i="1"/>
  <c r="E3832" i="1"/>
  <c r="A3833" i="1"/>
  <c r="D3833" i="1"/>
  <c r="E3833" i="1"/>
  <c r="A3834" i="1"/>
  <c r="D3834" i="1"/>
  <c r="A3835" i="1"/>
  <c r="D3835" i="1"/>
  <c r="E3835" i="1"/>
  <c r="A3836" i="1"/>
  <c r="D3836" i="1"/>
  <c r="E3836" i="1"/>
  <c r="A3837" i="1"/>
  <c r="D3837" i="1"/>
  <c r="E3837" i="1"/>
  <c r="A3838" i="1"/>
  <c r="D3838" i="1"/>
  <c r="E3838" i="1"/>
  <c r="A3839" i="1"/>
  <c r="D3839" i="1"/>
  <c r="E3839" i="1"/>
  <c r="A3840" i="1"/>
  <c r="D3840" i="1"/>
  <c r="A3841" i="1"/>
  <c r="D3841" i="1"/>
  <c r="E3841" i="1"/>
  <c r="A3842" i="1"/>
  <c r="D3842" i="1"/>
  <c r="A3843" i="1"/>
  <c r="D3843" i="1"/>
  <c r="E3843" i="1"/>
  <c r="A3844" i="1"/>
  <c r="D3844" i="1"/>
  <c r="E3844" i="1"/>
  <c r="A3845" i="1"/>
  <c r="D3845" i="1"/>
  <c r="E3845" i="1"/>
  <c r="A3846" i="1"/>
  <c r="D3846" i="1"/>
  <c r="A3847" i="1"/>
  <c r="D3847" i="1"/>
  <c r="E3847" i="1"/>
  <c r="A3848" i="1"/>
  <c r="D3848" i="1"/>
  <c r="E3848" i="1"/>
  <c r="A3849" i="1"/>
  <c r="D3849" i="1"/>
  <c r="E3849" i="1"/>
  <c r="A3850" i="1"/>
  <c r="D3850" i="1"/>
  <c r="E3850" i="1"/>
  <c r="A3851" i="1"/>
  <c r="D3851" i="1"/>
  <c r="E3851" i="1"/>
  <c r="A3852" i="1"/>
  <c r="D3852" i="1"/>
  <c r="E3852" i="1"/>
  <c r="A3853" i="1"/>
  <c r="D3853" i="1"/>
  <c r="A3854" i="1"/>
  <c r="D3854" i="1"/>
  <c r="E3854" i="1"/>
  <c r="A3855" i="1"/>
  <c r="D3855" i="1"/>
  <c r="E3855" i="1"/>
  <c r="A3856" i="1"/>
  <c r="D3856" i="1"/>
  <c r="E3856" i="1"/>
  <c r="A3857" i="1"/>
  <c r="D3857" i="1"/>
  <c r="E3857" i="1"/>
  <c r="A3858" i="1"/>
  <c r="D3858" i="1"/>
  <c r="E3858" i="1"/>
  <c r="A3859" i="1"/>
  <c r="D3859" i="1"/>
  <c r="A3860" i="1"/>
  <c r="D3860" i="1"/>
  <c r="E3860" i="1"/>
  <c r="A3861" i="1"/>
  <c r="D3861" i="1"/>
  <c r="E3861" i="1"/>
  <c r="A3862" i="1"/>
  <c r="D3862" i="1"/>
  <c r="E3862" i="1"/>
  <c r="A3863" i="1"/>
  <c r="D3863" i="1"/>
  <c r="E3863" i="1"/>
  <c r="A3864" i="1"/>
  <c r="D3864" i="1"/>
  <c r="E3864" i="1"/>
  <c r="A3865" i="1"/>
  <c r="D3865" i="1"/>
  <c r="E3865" i="1"/>
  <c r="A3866" i="1"/>
  <c r="D3866" i="1"/>
  <c r="E3866" i="1"/>
  <c r="A3867" i="1"/>
  <c r="D3867" i="1"/>
  <c r="E3867" i="1"/>
  <c r="A3868" i="1"/>
  <c r="D3868" i="1"/>
  <c r="E3868" i="1"/>
  <c r="A3869" i="1"/>
  <c r="D3869" i="1"/>
  <c r="E3869" i="1"/>
  <c r="A3870" i="1"/>
  <c r="D3870" i="1"/>
  <c r="E3870" i="1"/>
  <c r="A3871" i="1"/>
  <c r="D3871" i="1"/>
  <c r="E3871" i="1"/>
  <c r="A3872" i="1"/>
  <c r="D3872" i="1"/>
  <c r="E3872" i="1"/>
  <c r="A3873" i="1"/>
  <c r="D3873" i="1"/>
  <c r="E3873" i="1"/>
  <c r="A3874" i="1"/>
  <c r="D3874" i="1"/>
  <c r="E3874" i="1"/>
  <c r="A3875" i="1"/>
  <c r="D3875" i="1"/>
  <c r="E3875" i="1"/>
  <c r="A3876" i="1"/>
  <c r="D3876" i="1"/>
  <c r="E3876" i="1"/>
  <c r="A3877" i="1"/>
  <c r="D3877" i="1"/>
  <c r="E3877" i="1"/>
  <c r="A3878" i="1"/>
  <c r="D3878" i="1"/>
  <c r="E3878" i="1"/>
  <c r="A3879" i="1"/>
  <c r="D3879" i="1"/>
  <c r="E3879" i="1"/>
  <c r="A3880" i="1"/>
  <c r="D3880" i="1"/>
  <c r="E3880" i="1"/>
  <c r="A3881" i="1"/>
  <c r="D3881" i="1"/>
  <c r="E3881" i="1"/>
  <c r="A3882" i="1"/>
  <c r="D3882" i="1"/>
  <c r="E3882" i="1"/>
  <c r="A3883" i="1"/>
  <c r="D3883" i="1"/>
  <c r="A3884" i="1"/>
  <c r="D3884" i="1"/>
  <c r="A3885" i="1"/>
  <c r="D3885" i="1"/>
  <c r="E3885" i="1"/>
  <c r="A3886" i="1"/>
  <c r="D3886" i="1"/>
  <c r="E3886" i="1"/>
  <c r="A3887" i="1"/>
  <c r="D3887" i="1"/>
  <c r="E3887" i="1"/>
  <c r="A3888" i="1"/>
  <c r="D3888" i="1"/>
  <c r="E3888" i="1"/>
  <c r="A3889" i="1"/>
  <c r="D3889" i="1"/>
  <c r="E3889" i="1"/>
  <c r="A3890" i="1"/>
  <c r="D3890" i="1"/>
  <c r="E3890" i="1"/>
  <c r="A3891" i="1"/>
  <c r="D3891" i="1"/>
  <c r="E3891" i="1"/>
  <c r="A3892" i="1"/>
  <c r="D3892" i="1"/>
  <c r="E3892" i="1"/>
  <c r="A3893" i="1"/>
  <c r="D3893" i="1"/>
  <c r="E3893" i="1"/>
  <c r="A3894" i="1"/>
  <c r="D3894" i="1"/>
  <c r="E3894" i="1"/>
  <c r="A3895" i="1"/>
  <c r="D3895" i="1"/>
  <c r="E3895" i="1"/>
  <c r="A3896" i="1"/>
  <c r="D3896" i="1"/>
  <c r="E3896" i="1"/>
  <c r="A3897" i="1"/>
  <c r="D3897" i="1"/>
  <c r="E3897" i="1"/>
  <c r="A3898" i="1"/>
  <c r="D3898" i="1"/>
  <c r="E3898" i="1"/>
  <c r="A3899" i="1"/>
  <c r="D3899" i="1"/>
  <c r="E3899" i="1"/>
  <c r="A3900" i="1"/>
  <c r="D3900" i="1"/>
  <c r="E3900" i="1"/>
  <c r="A3901" i="1"/>
  <c r="D3901" i="1"/>
  <c r="A3902" i="1"/>
  <c r="D3902" i="1"/>
  <c r="A3903" i="1"/>
  <c r="D3903" i="1"/>
  <c r="E3903" i="1"/>
  <c r="A3904" i="1"/>
  <c r="D3904" i="1"/>
  <c r="E3904" i="1"/>
  <c r="A3905" i="1"/>
  <c r="D3905" i="1"/>
  <c r="E3905" i="1"/>
  <c r="A3906" i="1"/>
  <c r="D3906" i="1"/>
  <c r="A3907" i="1"/>
  <c r="D3907" i="1"/>
  <c r="E3907" i="1"/>
  <c r="A3908" i="1"/>
  <c r="D3908" i="1"/>
  <c r="A3909" i="1"/>
  <c r="D3909" i="1"/>
  <c r="E3909" i="1"/>
  <c r="A3910" i="1"/>
  <c r="D3910" i="1"/>
  <c r="E3910" i="1"/>
  <c r="A3911" i="1"/>
  <c r="D3911" i="1"/>
  <c r="E3911" i="1"/>
  <c r="A3912" i="1"/>
  <c r="D3912" i="1"/>
  <c r="E3912" i="1"/>
  <c r="A3913" i="1"/>
  <c r="D3913" i="1"/>
  <c r="E3913" i="1"/>
  <c r="A3914" i="1"/>
  <c r="D3914" i="1"/>
  <c r="A3915" i="1"/>
  <c r="D3915" i="1"/>
  <c r="E3915" i="1"/>
  <c r="A3916" i="1"/>
  <c r="D3916" i="1"/>
  <c r="E3916" i="1"/>
  <c r="A3917" i="1"/>
  <c r="D3917" i="1"/>
  <c r="E3917" i="1"/>
  <c r="A3918" i="1"/>
  <c r="D3918" i="1"/>
  <c r="E3918" i="1"/>
  <c r="A3919" i="1"/>
  <c r="D3919" i="1"/>
  <c r="E3919" i="1"/>
  <c r="A3920" i="1"/>
  <c r="D3920" i="1"/>
  <c r="E3920" i="1"/>
  <c r="A3921" i="1"/>
  <c r="D3921" i="1"/>
  <c r="A3922" i="1"/>
  <c r="D3922" i="1"/>
  <c r="E3922" i="1"/>
  <c r="A3923" i="1"/>
  <c r="D3923" i="1"/>
  <c r="E3923" i="1"/>
  <c r="A3924" i="1"/>
  <c r="D3924" i="1"/>
  <c r="E3924" i="1"/>
  <c r="A3925" i="1"/>
  <c r="D3925" i="1"/>
  <c r="E3925" i="1"/>
  <c r="A3926" i="1"/>
  <c r="D3926" i="1"/>
  <c r="E3926" i="1"/>
  <c r="A3927" i="1"/>
  <c r="D3927" i="1"/>
  <c r="E3927" i="1"/>
  <c r="A3928" i="1"/>
  <c r="D3928" i="1"/>
  <c r="E3928" i="1"/>
  <c r="A3929" i="1"/>
  <c r="D3929" i="1"/>
  <c r="E3929" i="1"/>
  <c r="A3930" i="1"/>
  <c r="D3930" i="1"/>
  <c r="E3930" i="1"/>
  <c r="A3931" i="1"/>
  <c r="D3931" i="1"/>
  <c r="E3931" i="1"/>
  <c r="A3932" i="1"/>
  <c r="D3932" i="1"/>
  <c r="E3932" i="1"/>
  <c r="A3933" i="1"/>
  <c r="D3933" i="1"/>
  <c r="A3934" i="1"/>
  <c r="D3934" i="1"/>
  <c r="E3934" i="1"/>
  <c r="A3935" i="1"/>
  <c r="D3935" i="1"/>
  <c r="E3935" i="1"/>
  <c r="A3936" i="1"/>
  <c r="D3936" i="1"/>
  <c r="E3936" i="1"/>
  <c r="A3937" i="1"/>
  <c r="D3937" i="1"/>
  <c r="E3937" i="1"/>
  <c r="A3938" i="1"/>
  <c r="D3938" i="1"/>
  <c r="E3938" i="1"/>
  <c r="A3939" i="1"/>
  <c r="D3939" i="1"/>
  <c r="E3939" i="1"/>
  <c r="A3940" i="1"/>
  <c r="D3940" i="1"/>
  <c r="E3940" i="1"/>
  <c r="A3941" i="1"/>
  <c r="D3941" i="1"/>
  <c r="E3941" i="1"/>
  <c r="A3942" i="1"/>
  <c r="D3942" i="1"/>
  <c r="E3942" i="1"/>
  <c r="A3943" i="1"/>
  <c r="D3943" i="1"/>
  <c r="E3943" i="1"/>
  <c r="A3944" i="1"/>
  <c r="D3944" i="1"/>
  <c r="E3944" i="1"/>
  <c r="A3945" i="1"/>
  <c r="D3945" i="1"/>
  <c r="E3945" i="1"/>
  <c r="A3946" i="1"/>
  <c r="D3946" i="1"/>
  <c r="A3947" i="1"/>
  <c r="D3947" i="1"/>
  <c r="E3947" i="1"/>
  <c r="A3948" i="1"/>
  <c r="D3948" i="1"/>
  <c r="E3948" i="1"/>
  <c r="A3949" i="1"/>
  <c r="D3949" i="1"/>
  <c r="E3949" i="1"/>
  <c r="A3950" i="1"/>
  <c r="D3950" i="1"/>
  <c r="E3950" i="1"/>
  <c r="A3951" i="1"/>
  <c r="D3951" i="1"/>
  <c r="E3951" i="1"/>
  <c r="A3952" i="1"/>
  <c r="D3952" i="1"/>
  <c r="E3952" i="1"/>
  <c r="A3953" i="1"/>
  <c r="D3953" i="1"/>
  <c r="A3954" i="1"/>
  <c r="D3954" i="1"/>
  <c r="A3955" i="1"/>
  <c r="D3955" i="1"/>
  <c r="E3955" i="1"/>
  <c r="A3956" i="1"/>
  <c r="D3956" i="1"/>
  <c r="E3956" i="1"/>
  <c r="A3957" i="1"/>
  <c r="D3957" i="1"/>
  <c r="E3957" i="1"/>
  <c r="A3958" i="1"/>
  <c r="D3958" i="1"/>
  <c r="E3958" i="1"/>
  <c r="A3959" i="1"/>
  <c r="D3959" i="1"/>
  <c r="E3959" i="1"/>
  <c r="A3960" i="1"/>
  <c r="D3960" i="1"/>
  <c r="E3960" i="1"/>
  <c r="A3961" i="1"/>
  <c r="D3961" i="1"/>
  <c r="E3961" i="1"/>
  <c r="A3962" i="1"/>
  <c r="D3962" i="1"/>
  <c r="E3962" i="1"/>
  <c r="A3963" i="1"/>
  <c r="D3963" i="1"/>
  <c r="E3963" i="1"/>
  <c r="A3964" i="1"/>
  <c r="D3964" i="1"/>
  <c r="E3964" i="1"/>
  <c r="A3965" i="1"/>
  <c r="D3965" i="1"/>
  <c r="E3965" i="1"/>
  <c r="A3966" i="1"/>
  <c r="D3966" i="1"/>
  <c r="E3966" i="1"/>
  <c r="A3967" i="1"/>
  <c r="D3967" i="1"/>
  <c r="E3967" i="1"/>
  <c r="A3968" i="1"/>
  <c r="D3968" i="1"/>
  <c r="E3968" i="1"/>
  <c r="A3969" i="1"/>
  <c r="D3969" i="1"/>
  <c r="E3969" i="1"/>
  <c r="A3970" i="1"/>
  <c r="D3970" i="1"/>
  <c r="A3971" i="1"/>
  <c r="D3971" i="1"/>
  <c r="E3971" i="1"/>
  <c r="A3972" i="1"/>
  <c r="D3972" i="1"/>
  <c r="E3972" i="1"/>
  <c r="A3973" i="1"/>
  <c r="D3973" i="1"/>
  <c r="E3973" i="1"/>
  <c r="A3974" i="1"/>
  <c r="D3974" i="1"/>
  <c r="E3974" i="1"/>
  <c r="A3975" i="1"/>
  <c r="D3975" i="1"/>
  <c r="E3975" i="1"/>
  <c r="A3976" i="1"/>
  <c r="D3976" i="1"/>
  <c r="E3976" i="1"/>
  <c r="A3977" i="1"/>
  <c r="D3977" i="1"/>
  <c r="E3977" i="1"/>
  <c r="A3978" i="1"/>
  <c r="D3978" i="1"/>
  <c r="E3978" i="1"/>
  <c r="A3979" i="1"/>
  <c r="D3979" i="1"/>
  <c r="E3979" i="1"/>
  <c r="A3980" i="1"/>
  <c r="D3980" i="1"/>
  <c r="A3981" i="1"/>
  <c r="D3981" i="1"/>
  <c r="A3982" i="1"/>
  <c r="D3982" i="1"/>
  <c r="A3983" i="1"/>
  <c r="D3983" i="1"/>
  <c r="A3984" i="1"/>
  <c r="D3984" i="1"/>
  <c r="A3985" i="1"/>
  <c r="D3985" i="1"/>
  <c r="A3986" i="1"/>
  <c r="D3986" i="1"/>
  <c r="E3986" i="1"/>
  <c r="A3987" i="1"/>
  <c r="D3987" i="1"/>
  <c r="A3988" i="1"/>
  <c r="D3988" i="1"/>
  <c r="A3989" i="1"/>
  <c r="D3989" i="1"/>
  <c r="A3990" i="1"/>
  <c r="D3990" i="1"/>
  <c r="A3991" i="1"/>
  <c r="D3991" i="1"/>
  <c r="A3992" i="1"/>
  <c r="D3992" i="1"/>
  <c r="A3993" i="1"/>
  <c r="D3993" i="1"/>
  <c r="E3993" i="1"/>
  <c r="A3994" i="1"/>
  <c r="D3994" i="1"/>
  <c r="E3994" i="1"/>
  <c r="A3995" i="1"/>
  <c r="D3995" i="1"/>
  <c r="A3996" i="1"/>
  <c r="D3996" i="1"/>
  <c r="E3996" i="1"/>
  <c r="A3997" i="1"/>
  <c r="D3997" i="1"/>
  <c r="E3997" i="1"/>
  <c r="A3998" i="1"/>
  <c r="D3998" i="1"/>
  <c r="A3999" i="1"/>
  <c r="D3999" i="1"/>
  <c r="A4000" i="1"/>
  <c r="D4000" i="1"/>
  <c r="E4000" i="1"/>
  <c r="A4001" i="1"/>
  <c r="D4001" i="1"/>
  <c r="E4001" i="1"/>
  <c r="A4002" i="1"/>
  <c r="D4002" i="1"/>
  <c r="E4002" i="1"/>
  <c r="A4003" i="1"/>
  <c r="D4003" i="1"/>
  <c r="A4004" i="1"/>
  <c r="D4004" i="1"/>
  <c r="E4004" i="1"/>
  <c r="A4005" i="1"/>
  <c r="D4005" i="1"/>
  <c r="E4005" i="1"/>
  <c r="A4006" i="1"/>
  <c r="D4006" i="1"/>
  <c r="E4006" i="1"/>
  <c r="A4007" i="1"/>
  <c r="D4007" i="1"/>
  <c r="E4007" i="1"/>
  <c r="A4008" i="1"/>
  <c r="D4008" i="1"/>
  <c r="E4008" i="1"/>
  <c r="A4009" i="1"/>
  <c r="D4009" i="1"/>
  <c r="E4009" i="1"/>
  <c r="A4010" i="1"/>
  <c r="D4010" i="1"/>
  <c r="E4010" i="1"/>
  <c r="A4011" i="1"/>
  <c r="D4011" i="1"/>
  <c r="E4011" i="1"/>
  <c r="A4012" i="1"/>
  <c r="D4012" i="1"/>
  <c r="E4012" i="1"/>
  <c r="A4013" i="1"/>
  <c r="D4013" i="1"/>
  <c r="A4014" i="1"/>
  <c r="D4014" i="1"/>
  <c r="E4014" i="1"/>
  <c r="A4015" i="1"/>
  <c r="D4015" i="1"/>
  <c r="A4016" i="1"/>
  <c r="D4016" i="1"/>
  <c r="A4017" i="1"/>
  <c r="D4017" i="1"/>
  <c r="A4018" i="1"/>
  <c r="D4018" i="1"/>
  <c r="A4019" i="1"/>
  <c r="D4019" i="1"/>
  <c r="E4019" i="1"/>
  <c r="A4020" i="1"/>
  <c r="D4020" i="1"/>
  <c r="E4020" i="1"/>
  <c r="A4021" i="1"/>
  <c r="D4021" i="1"/>
  <c r="E4021" i="1"/>
  <c r="A4022" i="1"/>
  <c r="D4022" i="1"/>
  <c r="E4022" i="1"/>
  <c r="A4023" i="1"/>
  <c r="D4023" i="1"/>
  <c r="E4023" i="1"/>
  <c r="A4024" i="1"/>
  <c r="D4024" i="1"/>
  <c r="E4024" i="1"/>
  <c r="A4025" i="1"/>
  <c r="D4025" i="1"/>
  <c r="E4025" i="1"/>
  <c r="A4026" i="1"/>
  <c r="D4026" i="1"/>
  <c r="E4026" i="1"/>
  <c r="A4027" i="1"/>
  <c r="D4027" i="1"/>
  <c r="E4027" i="1"/>
  <c r="A4028" i="1"/>
  <c r="D4028" i="1"/>
  <c r="E4028" i="1"/>
  <c r="A4029" i="1"/>
  <c r="D4029" i="1"/>
  <c r="E4029" i="1"/>
  <c r="A4030" i="1"/>
  <c r="D4030" i="1"/>
  <c r="E4030" i="1"/>
  <c r="A4031" i="1"/>
  <c r="D4031" i="1"/>
  <c r="E4031" i="1"/>
  <c r="A4032" i="1"/>
  <c r="D4032" i="1"/>
  <c r="E4032" i="1"/>
  <c r="A4033" i="1"/>
  <c r="D4033" i="1"/>
  <c r="A4034" i="1"/>
  <c r="D4034" i="1"/>
  <c r="E4034" i="1"/>
  <c r="A4035" i="1"/>
  <c r="D4035" i="1"/>
  <c r="E4035" i="1"/>
  <c r="A4036" i="1"/>
  <c r="D4036" i="1"/>
  <c r="E4036" i="1"/>
  <c r="A4037" i="1"/>
  <c r="D4037" i="1"/>
  <c r="E4037" i="1"/>
  <c r="A4038" i="1"/>
  <c r="D4038" i="1"/>
  <c r="E4038" i="1"/>
  <c r="A4039" i="1"/>
  <c r="D4039" i="1"/>
  <c r="E4039" i="1"/>
  <c r="A4040" i="1"/>
  <c r="D4040" i="1"/>
  <c r="E4040" i="1"/>
  <c r="A4041" i="1"/>
  <c r="D4041" i="1"/>
  <c r="E4041" i="1"/>
  <c r="A4042" i="1"/>
  <c r="D4042" i="1"/>
  <c r="E4042" i="1"/>
  <c r="A4043" i="1"/>
  <c r="D4043" i="1"/>
  <c r="E4043" i="1"/>
  <c r="A4044" i="1"/>
  <c r="D4044" i="1"/>
  <c r="E4044" i="1"/>
  <c r="A4045" i="1"/>
  <c r="D4045" i="1"/>
  <c r="E4045" i="1"/>
  <c r="A4046" i="1"/>
  <c r="D4046" i="1"/>
  <c r="E4046" i="1"/>
  <c r="A4047" i="1"/>
  <c r="D4047" i="1"/>
  <c r="E4047" i="1"/>
  <c r="A4048" i="1"/>
  <c r="D4048" i="1"/>
  <c r="E4048" i="1"/>
  <c r="A4049" i="1"/>
  <c r="D4049" i="1"/>
  <c r="E4049" i="1"/>
  <c r="A4050" i="1"/>
  <c r="D4050" i="1"/>
  <c r="E4050" i="1"/>
  <c r="A4051" i="1"/>
  <c r="D4051" i="1"/>
  <c r="E4051" i="1"/>
  <c r="A4052" i="1"/>
  <c r="D4052" i="1"/>
  <c r="E4052" i="1"/>
  <c r="A4053" i="1"/>
  <c r="D4053" i="1"/>
  <c r="A4054" i="1"/>
  <c r="D4054" i="1"/>
  <c r="E4054" i="1"/>
  <c r="A4055" i="1"/>
  <c r="D4055" i="1"/>
  <c r="E4055" i="1"/>
  <c r="A4056" i="1"/>
  <c r="D4056" i="1"/>
  <c r="E4056" i="1"/>
  <c r="A4057" i="1"/>
  <c r="D4057" i="1"/>
  <c r="E4057" i="1"/>
  <c r="A4058" i="1"/>
  <c r="D4058" i="1"/>
  <c r="E4058" i="1"/>
  <c r="A4059" i="1"/>
  <c r="D4059" i="1"/>
  <c r="E4059" i="1"/>
  <c r="A4060" i="1"/>
  <c r="D4060" i="1"/>
  <c r="E4060" i="1"/>
  <c r="A4061" i="1"/>
  <c r="D4061" i="1"/>
  <c r="E4061" i="1"/>
  <c r="A4062" i="1"/>
  <c r="D4062" i="1"/>
  <c r="E4062" i="1"/>
  <c r="A4063" i="1"/>
  <c r="D4063" i="1"/>
  <c r="E4063" i="1"/>
  <c r="A4064" i="1"/>
  <c r="D4064" i="1"/>
  <c r="E4064" i="1"/>
  <c r="A4065" i="1"/>
  <c r="D4065" i="1"/>
  <c r="E4065" i="1"/>
  <c r="A4066" i="1"/>
  <c r="D4066" i="1"/>
  <c r="E4066" i="1"/>
  <c r="A4067" i="1"/>
  <c r="D4067" i="1"/>
  <c r="E4067" i="1"/>
  <c r="A4068" i="1"/>
  <c r="D4068" i="1"/>
  <c r="E4068" i="1"/>
  <c r="A4069" i="1"/>
  <c r="D4069" i="1"/>
  <c r="E4069" i="1"/>
  <c r="A4070" i="1"/>
  <c r="D4070" i="1"/>
  <c r="E4070" i="1"/>
  <c r="A4071" i="1"/>
  <c r="D4071" i="1"/>
  <c r="E4071" i="1"/>
  <c r="A4072" i="1"/>
  <c r="D4072" i="1"/>
  <c r="E4072" i="1"/>
  <c r="A4073" i="1"/>
  <c r="D4073" i="1"/>
  <c r="E4073" i="1"/>
  <c r="A4074" i="1"/>
  <c r="D4074" i="1"/>
  <c r="E4074" i="1"/>
  <c r="A4075" i="1"/>
  <c r="D4075" i="1"/>
  <c r="A4076" i="1"/>
  <c r="D4076" i="1"/>
  <c r="E4076" i="1"/>
  <c r="A4077" i="1"/>
  <c r="D4077" i="1"/>
  <c r="E4077" i="1"/>
  <c r="A4078" i="1"/>
  <c r="D4078" i="1"/>
  <c r="A4079" i="1"/>
  <c r="D4079" i="1"/>
  <c r="E4079" i="1"/>
  <c r="A4080" i="1"/>
  <c r="D4080" i="1"/>
  <c r="E4080" i="1"/>
  <c r="A4081" i="1"/>
  <c r="D4081" i="1"/>
  <c r="E4081" i="1"/>
  <c r="A4082" i="1"/>
  <c r="D4082" i="1"/>
  <c r="E4082" i="1"/>
  <c r="A4083" i="1"/>
  <c r="D4083" i="1"/>
  <c r="E4083" i="1"/>
  <c r="A4084" i="1"/>
  <c r="D4084" i="1"/>
  <c r="A4085" i="1"/>
  <c r="D4085" i="1"/>
  <c r="E4085" i="1"/>
  <c r="A4086" i="1"/>
  <c r="D4086" i="1"/>
  <c r="E4086" i="1"/>
  <c r="A4087" i="1"/>
  <c r="D4087" i="1"/>
  <c r="E4087" i="1"/>
  <c r="A4088" i="1"/>
  <c r="D4088" i="1"/>
  <c r="E4088" i="1"/>
  <c r="A4089" i="1"/>
  <c r="D4089" i="1"/>
  <c r="E4089" i="1"/>
  <c r="A4090" i="1"/>
  <c r="D4090" i="1"/>
  <c r="E4090" i="1"/>
  <c r="A4091" i="1"/>
  <c r="D4091" i="1"/>
  <c r="E4091" i="1"/>
  <c r="A4092" i="1"/>
  <c r="D4092" i="1"/>
  <c r="E4092" i="1"/>
  <c r="A4093" i="1"/>
  <c r="D4093" i="1"/>
  <c r="E4093" i="1"/>
  <c r="A4094" i="1"/>
  <c r="D4094" i="1"/>
  <c r="E4094" i="1"/>
  <c r="A4095" i="1"/>
  <c r="D4095" i="1"/>
  <c r="E4095" i="1"/>
  <c r="A4096" i="1"/>
  <c r="D4096" i="1"/>
  <c r="E4096" i="1"/>
  <c r="A4097" i="1"/>
  <c r="D4097" i="1"/>
  <c r="E4097" i="1"/>
  <c r="A4098" i="1"/>
  <c r="D4098" i="1"/>
  <c r="E4098" i="1"/>
  <c r="A4099" i="1"/>
  <c r="D4099" i="1"/>
  <c r="A4100" i="1"/>
  <c r="D4100" i="1"/>
  <c r="E4100" i="1"/>
  <c r="A4101" i="1"/>
  <c r="D4101" i="1"/>
  <c r="E4101" i="1"/>
  <c r="A4102" i="1"/>
  <c r="D4102" i="1"/>
  <c r="E4102" i="1"/>
  <c r="A4103" i="1"/>
  <c r="D4103" i="1"/>
  <c r="E4103" i="1"/>
  <c r="A4104" i="1"/>
  <c r="D4104" i="1"/>
  <c r="E4104" i="1"/>
  <c r="A4105" i="1"/>
  <c r="D4105" i="1"/>
  <c r="E4105" i="1"/>
  <c r="A4106" i="1"/>
  <c r="D4106" i="1"/>
  <c r="E4106" i="1"/>
  <c r="A4107" i="1"/>
  <c r="D4107" i="1"/>
  <c r="E4107" i="1"/>
  <c r="A4108" i="1"/>
  <c r="D4108" i="1"/>
  <c r="E4108" i="1"/>
  <c r="A4109" i="1"/>
  <c r="D4109" i="1"/>
  <c r="E4109" i="1"/>
  <c r="A4110" i="1"/>
  <c r="D4110" i="1"/>
  <c r="E4110" i="1"/>
  <c r="A4111" i="1"/>
  <c r="D4111" i="1"/>
  <c r="E4111" i="1"/>
  <c r="A4112" i="1"/>
  <c r="D4112" i="1"/>
  <c r="E4112" i="1"/>
  <c r="A4113" i="1"/>
  <c r="D4113" i="1"/>
  <c r="E4113" i="1"/>
  <c r="A4114" i="1"/>
  <c r="D4114" i="1"/>
  <c r="E4114" i="1"/>
  <c r="A4115" i="1"/>
  <c r="D4115" i="1"/>
  <c r="E4115" i="1"/>
  <c r="A4116" i="1"/>
  <c r="D4116" i="1"/>
  <c r="E4116" i="1"/>
  <c r="A4117" i="1"/>
  <c r="D4117" i="1"/>
  <c r="E4117" i="1"/>
  <c r="A4118" i="1"/>
  <c r="D4118" i="1"/>
  <c r="E4118" i="1"/>
  <c r="A4119" i="1"/>
  <c r="D4119" i="1"/>
  <c r="E4119" i="1"/>
  <c r="A4120" i="1"/>
  <c r="D4120" i="1"/>
  <c r="E4120" i="1"/>
  <c r="A4121" i="1"/>
  <c r="D4121" i="1"/>
  <c r="E4121" i="1"/>
  <c r="A4122" i="1"/>
  <c r="D4122" i="1"/>
  <c r="E4122" i="1"/>
  <c r="A4123" i="1"/>
  <c r="D4123" i="1"/>
  <c r="E4123" i="1"/>
  <c r="A4124" i="1"/>
  <c r="D4124" i="1"/>
  <c r="E4124" i="1"/>
  <c r="A4125" i="1"/>
  <c r="D4125" i="1"/>
  <c r="E4125" i="1"/>
  <c r="A4126" i="1"/>
  <c r="D4126" i="1"/>
  <c r="E4126" i="1"/>
  <c r="A4127" i="1"/>
  <c r="D4127" i="1"/>
  <c r="E4127" i="1"/>
  <c r="A4128" i="1"/>
  <c r="D4128" i="1"/>
  <c r="E4128" i="1"/>
  <c r="A4129" i="1"/>
  <c r="D4129" i="1"/>
  <c r="E4129" i="1"/>
  <c r="A4130" i="1"/>
  <c r="D4130" i="1"/>
  <c r="E4130" i="1"/>
  <c r="A4131" i="1"/>
  <c r="D4131" i="1"/>
  <c r="A4132" i="1"/>
  <c r="D4132" i="1"/>
  <c r="E4132" i="1"/>
  <c r="A4133" i="1"/>
  <c r="D4133" i="1"/>
  <c r="E4133" i="1"/>
  <c r="A4134" i="1"/>
  <c r="D4134" i="1"/>
  <c r="E4134" i="1"/>
  <c r="A4135" i="1"/>
  <c r="D4135" i="1"/>
  <c r="E4135" i="1"/>
  <c r="A4136" i="1"/>
  <c r="D4136" i="1"/>
  <c r="E4136" i="1"/>
  <c r="A4137" i="1"/>
  <c r="D4137" i="1"/>
  <c r="E4137" i="1"/>
  <c r="A4138" i="1"/>
  <c r="D4138" i="1"/>
  <c r="E4138" i="1"/>
  <c r="A4139" i="1"/>
  <c r="D4139" i="1"/>
  <c r="E4139" i="1"/>
  <c r="A4140" i="1"/>
  <c r="D4140" i="1"/>
  <c r="E4140" i="1"/>
  <c r="A4141" i="1"/>
  <c r="D4141" i="1"/>
  <c r="E4141" i="1"/>
  <c r="A4142" i="1"/>
  <c r="D4142" i="1"/>
  <c r="E4142" i="1"/>
  <c r="A4143" i="1"/>
  <c r="D4143" i="1"/>
  <c r="E4143" i="1"/>
  <c r="A4144" i="1"/>
  <c r="D4144" i="1"/>
  <c r="E4144" i="1"/>
  <c r="A4145" i="1"/>
  <c r="D4145" i="1"/>
  <c r="E4145" i="1"/>
  <c r="A4146" i="1"/>
  <c r="D4146" i="1"/>
  <c r="A4147" i="1"/>
  <c r="D4147" i="1"/>
  <c r="E4147" i="1"/>
  <c r="A4148" i="1"/>
  <c r="D4148" i="1"/>
  <c r="A4149" i="1"/>
  <c r="D4149" i="1"/>
  <c r="A4150" i="1"/>
  <c r="D4150" i="1"/>
  <c r="A4151" i="1"/>
  <c r="D4151" i="1"/>
  <c r="A4152" i="1"/>
  <c r="D4152" i="1"/>
  <c r="A4153" i="1"/>
  <c r="D4153" i="1"/>
  <c r="A4154" i="1"/>
  <c r="D4154" i="1"/>
  <c r="A4155" i="1"/>
  <c r="D4155" i="1"/>
  <c r="A4156" i="1"/>
  <c r="D4156" i="1"/>
  <c r="A4157" i="1"/>
  <c r="D4157" i="1"/>
  <c r="A4158" i="1"/>
  <c r="D4158" i="1"/>
  <c r="A4159" i="1"/>
  <c r="D4159" i="1"/>
  <c r="A4160" i="1"/>
  <c r="D4160" i="1"/>
  <c r="A4161" i="1"/>
  <c r="D4161" i="1"/>
  <c r="A4162" i="1"/>
  <c r="D4162" i="1"/>
  <c r="A4163" i="1"/>
  <c r="D4163" i="1"/>
  <c r="A4164" i="1"/>
  <c r="D4164" i="1"/>
  <c r="A4165" i="1"/>
  <c r="D4165" i="1"/>
  <c r="E4165" i="1"/>
  <c r="A4166" i="1"/>
  <c r="D4166" i="1"/>
  <c r="E4166" i="1"/>
  <c r="A4167" i="1"/>
  <c r="D4167" i="1"/>
  <c r="E4167" i="1"/>
  <c r="A4168" i="1"/>
  <c r="D4168" i="1"/>
  <c r="E4168" i="1"/>
  <c r="A4169" i="1"/>
  <c r="D4169" i="1"/>
  <c r="E4169" i="1"/>
  <c r="A4170" i="1"/>
  <c r="D4170" i="1"/>
  <c r="E4170" i="1"/>
  <c r="A4171" i="1"/>
  <c r="D4171" i="1"/>
  <c r="E4171" i="1"/>
  <c r="A4172" i="1"/>
  <c r="D4172" i="1"/>
  <c r="E4172" i="1"/>
  <c r="A4173" i="1"/>
  <c r="D4173" i="1"/>
  <c r="E4173" i="1"/>
  <c r="A4174" i="1"/>
  <c r="D4174" i="1"/>
  <c r="E4174" i="1"/>
  <c r="A4175" i="1"/>
  <c r="D4175" i="1"/>
  <c r="E4175" i="1"/>
  <c r="A4176" i="1"/>
  <c r="D4176" i="1"/>
  <c r="E4176" i="1"/>
  <c r="A4177" i="1"/>
  <c r="D4177" i="1"/>
  <c r="E4177" i="1"/>
  <c r="A4178" i="1"/>
  <c r="D4178" i="1"/>
  <c r="E4178" i="1"/>
  <c r="A4179" i="1"/>
  <c r="D4179" i="1"/>
  <c r="E4179" i="1"/>
  <c r="A4180" i="1"/>
  <c r="D4180" i="1"/>
  <c r="E4180" i="1"/>
  <c r="A4181" i="1"/>
  <c r="D4181" i="1"/>
  <c r="E4181" i="1"/>
  <c r="A4182" i="1"/>
  <c r="D4182" i="1"/>
  <c r="E4182" i="1"/>
  <c r="A4183" i="1"/>
  <c r="D4183" i="1"/>
  <c r="E4183" i="1"/>
  <c r="A4184" i="1"/>
  <c r="D4184" i="1"/>
  <c r="E4184" i="1"/>
  <c r="A4185" i="1"/>
  <c r="D4185" i="1"/>
  <c r="E4185" i="1"/>
  <c r="A4186" i="1"/>
  <c r="D4186" i="1"/>
  <c r="E4186" i="1"/>
  <c r="A4187" i="1"/>
  <c r="D4187" i="1"/>
  <c r="A4188" i="1"/>
  <c r="D4188" i="1"/>
  <c r="E4188" i="1"/>
  <c r="A4189" i="1"/>
  <c r="D4189" i="1"/>
  <c r="E4189" i="1"/>
  <c r="A4190" i="1"/>
  <c r="D4190" i="1"/>
  <c r="A4191" i="1"/>
  <c r="D4191" i="1"/>
  <c r="E4191" i="1"/>
  <c r="A4192" i="1"/>
  <c r="D4192" i="1"/>
  <c r="E4192" i="1"/>
  <c r="A4193" i="1"/>
  <c r="D4193" i="1"/>
  <c r="E4193" i="1"/>
  <c r="A4194" i="1"/>
  <c r="D4194" i="1"/>
  <c r="E4194" i="1"/>
  <c r="A4195" i="1"/>
  <c r="D4195" i="1"/>
  <c r="E4195" i="1"/>
  <c r="A4196" i="1"/>
  <c r="D4196" i="1"/>
  <c r="E4196" i="1"/>
  <c r="A4197" i="1"/>
  <c r="D4197" i="1"/>
  <c r="E4197" i="1"/>
  <c r="A4198" i="1"/>
  <c r="D4198" i="1"/>
  <c r="E4198" i="1"/>
  <c r="A4199" i="1"/>
  <c r="D4199" i="1"/>
  <c r="E4199" i="1"/>
  <c r="A4200" i="1"/>
  <c r="D4200" i="1"/>
  <c r="E4200" i="1"/>
  <c r="A4201" i="1"/>
  <c r="D4201" i="1"/>
  <c r="E4201" i="1"/>
  <c r="A4202" i="1"/>
  <c r="D4202" i="1"/>
  <c r="E4202" i="1"/>
  <c r="A4203" i="1"/>
  <c r="D4203" i="1"/>
  <c r="E4203" i="1"/>
  <c r="A4204" i="1"/>
  <c r="D4204" i="1"/>
  <c r="E4204" i="1"/>
  <c r="A4205" i="1"/>
  <c r="D4205" i="1"/>
  <c r="E4205" i="1"/>
  <c r="A4206" i="1"/>
  <c r="D4206" i="1"/>
  <c r="E4206" i="1"/>
  <c r="A4207" i="1"/>
  <c r="D4207" i="1"/>
  <c r="E4207" i="1"/>
  <c r="A4208" i="1"/>
  <c r="D4208" i="1"/>
  <c r="E4208" i="1"/>
  <c r="A4209" i="1"/>
  <c r="D4209" i="1"/>
  <c r="E4209" i="1"/>
  <c r="A4210" i="1"/>
  <c r="D4210" i="1"/>
  <c r="E4210" i="1"/>
  <c r="A4211" i="1"/>
  <c r="D4211" i="1"/>
  <c r="E4211" i="1"/>
  <c r="A4212" i="1"/>
  <c r="D4212" i="1"/>
  <c r="A4213" i="1"/>
  <c r="D4213" i="1"/>
  <c r="E4213" i="1"/>
  <c r="A4214" i="1"/>
  <c r="D4214" i="1"/>
  <c r="E4214" i="1"/>
  <c r="A4215" i="1"/>
  <c r="D4215" i="1"/>
  <c r="E4215" i="1"/>
  <c r="A4216" i="1"/>
  <c r="D4216" i="1"/>
  <c r="A4217" i="1"/>
  <c r="D4217" i="1"/>
  <c r="E4217" i="1"/>
  <c r="A4218" i="1"/>
  <c r="D4218" i="1"/>
  <c r="E4218" i="1"/>
  <c r="A4219" i="1"/>
  <c r="D4219" i="1"/>
  <c r="E4219" i="1"/>
  <c r="A4220" i="1"/>
  <c r="D4220" i="1"/>
  <c r="E4220" i="1"/>
  <c r="A4221" i="1"/>
  <c r="D4221" i="1"/>
  <c r="E4221" i="1"/>
  <c r="A4222" i="1"/>
  <c r="D4222" i="1"/>
  <c r="A4223" i="1"/>
  <c r="D4223" i="1"/>
  <c r="E4223" i="1"/>
  <c r="A4224" i="1"/>
  <c r="D4224" i="1"/>
  <c r="E4224" i="1"/>
  <c r="A4225" i="1"/>
  <c r="D4225" i="1"/>
  <c r="E4225" i="1"/>
  <c r="A4226" i="1"/>
  <c r="D4226" i="1"/>
  <c r="E4226" i="1"/>
  <c r="A4227" i="1"/>
  <c r="D4227" i="1"/>
  <c r="E4227" i="1"/>
  <c r="A4228" i="1"/>
  <c r="D4228" i="1"/>
  <c r="E4228" i="1"/>
  <c r="A4229" i="1"/>
  <c r="D4229" i="1"/>
  <c r="E4229" i="1"/>
  <c r="A4230" i="1"/>
  <c r="D4230" i="1"/>
  <c r="E4230" i="1"/>
  <c r="A4231" i="1"/>
  <c r="D4231" i="1"/>
  <c r="E4231" i="1"/>
  <c r="A4232" i="1"/>
  <c r="D4232" i="1"/>
  <c r="E4232" i="1"/>
  <c r="A4233" i="1"/>
  <c r="D4233" i="1"/>
  <c r="E4233" i="1"/>
  <c r="A4234" i="1"/>
  <c r="D4234" i="1"/>
  <c r="E4234" i="1"/>
  <c r="A4235" i="1"/>
  <c r="D4235" i="1"/>
  <c r="E4235" i="1"/>
  <c r="A4236" i="1"/>
  <c r="D4236" i="1"/>
  <c r="E4236" i="1"/>
  <c r="A4237" i="1"/>
  <c r="D4237" i="1"/>
  <c r="E4237" i="1"/>
  <c r="A4238" i="1"/>
  <c r="D4238" i="1"/>
  <c r="E4238" i="1"/>
  <c r="A4239" i="1"/>
  <c r="D4239" i="1"/>
  <c r="E4239" i="1"/>
  <c r="A4240" i="1"/>
  <c r="D4240" i="1"/>
  <c r="E4240" i="1"/>
  <c r="A4241" i="1"/>
  <c r="D4241" i="1"/>
  <c r="E4241" i="1"/>
  <c r="A4242" i="1"/>
  <c r="D4242" i="1"/>
  <c r="E4242" i="1"/>
  <c r="A4243" i="1"/>
  <c r="D4243" i="1"/>
  <c r="E4243" i="1"/>
  <c r="A4244" i="1"/>
  <c r="D4244" i="1"/>
  <c r="A4245" i="1"/>
  <c r="D4245" i="1"/>
  <c r="E4245" i="1"/>
  <c r="A4246" i="1"/>
  <c r="D4246" i="1"/>
  <c r="E4246" i="1"/>
  <c r="A4247" i="1"/>
  <c r="D4247" i="1"/>
  <c r="E4247" i="1"/>
  <c r="A4248" i="1"/>
  <c r="D4248" i="1"/>
  <c r="E4248" i="1"/>
  <c r="A4249" i="1"/>
  <c r="D4249" i="1"/>
  <c r="E4249" i="1"/>
  <c r="A4250" i="1"/>
  <c r="D4250" i="1"/>
  <c r="E4250" i="1"/>
  <c r="A4251" i="1"/>
  <c r="D4251" i="1"/>
  <c r="E4251" i="1"/>
  <c r="A4252" i="1"/>
  <c r="D4252" i="1"/>
  <c r="A4253" i="1"/>
  <c r="D4253" i="1"/>
  <c r="E4253" i="1"/>
  <c r="A4254" i="1"/>
  <c r="D4254" i="1"/>
  <c r="E4254" i="1"/>
  <c r="A4255" i="1"/>
  <c r="D4255" i="1"/>
  <c r="E4255" i="1"/>
  <c r="A4256" i="1"/>
  <c r="D4256" i="1"/>
  <c r="E4256" i="1"/>
  <c r="A4257" i="1"/>
  <c r="D4257" i="1"/>
  <c r="E4257" i="1"/>
  <c r="A4258" i="1"/>
  <c r="D4258" i="1"/>
  <c r="A4259" i="1"/>
  <c r="D4259" i="1"/>
  <c r="E4259" i="1"/>
  <c r="A4260" i="1"/>
  <c r="D4260" i="1"/>
  <c r="E4260" i="1"/>
  <c r="A4261" i="1"/>
  <c r="D4261" i="1"/>
  <c r="E4261" i="1"/>
  <c r="A4262" i="1"/>
  <c r="D4262" i="1"/>
  <c r="E4262" i="1"/>
  <c r="A4263" i="1"/>
  <c r="D4263" i="1"/>
  <c r="E4263" i="1"/>
  <c r="A4264" i="1"/>
  <c r="D4264" i="1"/>
  <c r="E4264" i="1"/>
  <c r="A4265" i="1"/>
  <c r="D4265" i="1"/>
  <c r="E4265" i="1"/>
  <c r="A4266" i="1"/>
  <c r="D4266" i="1"/>
  <c r="E4266" i="1"/>
  <c r="A4267" i="1"/>
  <c r="D4267" i="1"/>
  <c r="E4267" i="1"/>
  <c r="A4268" i="1"/>
  <c r="D4268" i="1"/>
  <c r="E4268" i="1"/>
  <c r="A4269" i="1"/>
  <c r="D4269" i="1"/>
  <c r="E4269" i="1"/>
  <c r="A4270" i="1"/>
  <c r="D4270" i="1"/>
  <c r="E4270" i="1"/>
  <c r="A4271" i="1"/>
  <c r="D4271" i="1"/>
  <c r="E4271" i="1"/>
  <c r="A4272" i="1"/>
  <c r="D4272" i="1"/>
  <c r="E4272" i="1"/>
  <c r="A4273" i="1"/>
  <c r="D4273" i="1"/>
  <c r="E4273" i="1"/>
  <c r="A4274" i="1"/>
  <c r="D4274" i="1"/>
  <c r="E4274" i="1"/>
  <c r="A4275" i="1"/>
  <c r="D4275" i="1"/>
  <c r="E4275" i="1"/>
  <c r="A4276" i="1"/>
  <c r="D4276" i="1"/>
  <c r="E4276" i="1"/>
  <c r="A4277" i="1"/>
  <c r="D4277" i="1"/>
  <c r="E4277" i="1"/>
  <c r="A4278" i="1"/>
  <c r="D4278" i="1"/>
  <c r="A4279" i="1"/>
  <c r="D4279" i="1"/>
  <c r="E4279" i="1"/>
  <c r="A4280" i="1"/>
  <c r="D4280" i="1"/>
  <c r="E4280" i="1"/>
  <c r="A4281" i="1"/>
  <c r="D4281" i="1"/>
  <c r="E4281" i="1"/>
  <c r="A4282" i="1"/>
  <c r="D4282" i="1"/>
  <c r="E4282" i="1"/>
  <c r="A4283" i="1"/>
  <c r="D4283" i="1"/>
  <c r="E4283" i="1"/>
  <c r="A4284" i="1"/>
  <c r="D4284" i="1"/>
  <c r="E4284" i="1"/>
  <c r="A4285" i="1"/>
  <c r="D4285" i="1"/>
  <c r="E4285" i="1"/>
  <c r="A4286" i="1"/>
  <c r="D4286" i="1"/>
  <c r="E4286" i="1"/>
  <c r="A4287" i="1"/>
  <c r="D4287" i="1"/>
  <c r="E4287" i="1"/>
  <c r="A4288" i="1"/>
  <c r="D4288" i="1"/>
  <c r="E4288" i="1"/>
  <c r="A4289" i="1"/>
  <c r="D4289" i="1"/>
  <c r="E4289" i="1"/>
  <c r="A4290" i="1"/>
  <c r="D4290" i="1"/>
  <c r="E4290" i="1"/>
  <c r="A4291" i="1"/>
  <c r="D4291" i="1"/>
  <c r="E4291" i="1"/>
  <c r="A4292" i="1"/>
  <c r="D4292" i="1"/>
  <c r="E4292" i="1"/>
  <c r="A4293" i="1"/>
  <c r="D4293" i="1"/>
  <c r="A4294" i="1"/>
  <c r="D4294" i="1"/>
  <c r="A4295" i="1"/>
  <c r="D4295" i="1"/>
  <c r="E4295" i="1"/>
  <c r="A4296" i="1"/>
  <c r="D4296" i="1"/>
  <c r="A4297" i="1"/>
  <c r="D4297" i="1"/>
  <c r="A4298" i="1"/>
  <c r="D4298" i="1"/>
  <c r="E4298" i="1"/>
  <c r="A4299" i="1"/>
  <c r="D4299" i="1"/>
  <c r="E4299" i="1"/>
  <c r="A4300" i="1"/>
  <c r="D4300" i="1"/>
  <c r="E4300" i="1"/>
  <c r="A4301" i="1"/>
  <c r="D4301" i="1"/>
  <c r="E4301" i="1"/>
  <c r="A4302" i="1"/>
  <c r="D4302" i="1"/>
  <c r="E4302" i="1"/>
  <c r="A4303" i="1"/>
  <c r="D4303" i="1"/>
  <c r="E4303" i="1"/>
  <c r="A4304" i="1"/>
  <c r="D4304" i="1"/>
  <c r="E4304" i="1"/>
  <c r="A4305" i="1"/>
  <c r="D4305" i="1"/>
  <c r="E4305" i="1"/>
  <c r="A4306" i="1"/>
  <c r="D4306" i="1"/>
  <c r="A4307" i="1"/>
  <c r="D4307" i="1"/>
  <c r="E4307" i="1"/>
  <c r="A4308" i="1"/>
  <c r="D4308" i="1"/>
  <c r="A4309" i="1"/>
  <c r="D4309" i="1"/>
  <c r="A4310" i="1"/>
  <c r="D4310" i="1"/>
  <c r="E4310" i="1"/>
  <c r="A4311" i="1"/>
  <c r="D4311" i="1"/>
  <c r="E4311" i="1"/>
  <c r="A4312" i="1"/>
  <c r="D4312" i="1"/>
  <c r="E4312" i="1"/>
  <c r="A4313" i="1"/>
  <c r="D4313" i="1"/>
  <c r="E4313" i="1"/>
  <c r="A4314" i="1"/>
  <c r="D4314" i="1"/>
  <c r="A4315" i="1"/>
  <c r="D4315" i="1"/>
  <c r="E4315" i="1"/>
  <c r="A4316" i="1"/>
  <c r="D4316" i="1"/>
  <c r="E4316" i="1"/>
  <c r="A4317" i="1"/>
  <c r="D4317" i="1"/>
  <c r="A4318" i="1"/>
  <c r="D4318" i="1"/>
  <c r="A4319" i="1"/>
  <c r="D4319" i="1"/>
  <c r="E4319" i="1"/>
  <c r="A4320" i="1"/>
  <c r="D4320" i="1"/>
  <c r="A4321" i="1"/>
  <c r="D4321" i="1"/>
  <c r="A4322" i="1"/>
  <c r="D4322" i="1"/>
  <c r="A4323" i="1"/>
  <c r="D4323" i="1"/>
  <c r="A4324" i="1"/>
  <c r="D4324" i="1"/>
  <c r="A4325" i="1"/>
  <c r="D4325" i="1"/>
  <c r="E4325" i="1"/>
  <c r="A4326" i="1"/>
  <c r="D4326" i="1"/>
  <c r="A4327" i="1"/>
  <c r="D4327" i="1"/>
  <c r="A4328" i="1"/>
  <c r="D4328" i="1"/>
  <c r="A4329" i="1"/>
  <c r="D4329" i="1"/>
  <c r="A4330" i="1"/>
  <c r="D4330" i="1"/>
  <c r="E4330" i="1"/>
  <c r="A4331" i="1"/>
  <c r="D4331" i="1"/>
  <c r="E4331" i="1"/>
  <c r="A4332" i="1"/>
  <c r="D4332" i="1"/>
  <c r="E4332" i="1"/>
  <c r="A4333" i="1"/>
  <c r="D4333" i="1"/>
  <c r="E4333" i="1"/>
  <c r="A4334" i="1"/>
  <c r="D4334" i="1"/>
  <c r="A4335" i="1"/>
  <c r="D4335" i="1"/>
  <c r="E4335" i="1"/>
  <c r="A4336" i="1"/>
  <c r="D4336" i="1"/>
  <c r="A4337" i="1"/>
  <c r="D4337" i="1"/>
  <c r="A4338" i="1"/>
  <c r="D4338" i="1"/>
  <c r="A4339" i="1"/>
  <c r="D4339" i="1"/>
  <c r="A4340" i="1"/>
  <c r="D4340" i="1"/>
  <c r="A4341" i="1"/>
  <c r="D4341" i="1"/>
  <c r="A4342" i="1"/>
  <c r="D4342" i="1"/>
  <c r="E4342" i="1"/>
  <c r="A4343" i="1"/>
  <c r="D4343" i="1"/>
  <c r="E4343" i="1"/>
  <c r="A4344" i="1"/>
  <c r="D4344" i="1"/>
  <c r="E4344" i="1"/>
  <c r="A4345" i="1"/>
  <c r="D4345" i="1"/>
  <c r="E4345" i="1"/>
  <c r="A4346" i="1"/>
  <c r="D4346" i="1"/>
  <c r="E4346" i="1"/>
  <c r="A4347" i="1"/>
  <c r="D4347" i="1"/>
  <c r="A4348" i="1"/>
  <c r="D4348" i="1"/>
  <c r="E4348" i="1"/>
  <c r="A4349" i="1"/>
  <c r="D4349" i="1"/>
  <c r="A4350" i="1"/>
  <c r="D4350" i="1"/>
  <c r="E4350" i="1"/>
  <c r="A4351" i="1"/>
  <c r="D4351" i="1"/>
  <c r="E4351" i="1"/>
  <c r="A4352" i="1"/>
  <c r="D4352" i="1"/>
  <c r="A4353" i="1"/>
  <c r="D4353" i="1"/>
  <c r="A4354" i="1"/>
  <c r="D4354" i="1"/>
  <c r="A4355" i="1"/>
  <c r="D4355" i="1"/>
  <c r="A4356" i="1"/>
  <c r="D4356" i="1"/>
  <c r="E4356" i="1"/>
  <c r="A4357" i="1"/>
  <c r="D4357" i="1"/>
  <c r="A4358" i="1"/>
  <c r="D4358" i="1"/>
  <c r="A4359" i="1"/>
  <c r="D4359" i="1"/>
  <c r="A4360" i="1"/>
  <c r="D4360" i="1"/>
  <c r="A4361" i="1"/>
  <c r="D4361" i="1"/>
  <c r="A4362" i="1"/>
  <c r="D4362" i="1"/>
  <c r="A4363" i="1"/>
  <c r="D4363" i="1"/>
  <c r="E4363" i="1"/>
  <c r="A4364" i="1"/>
  <c r="D4364" i="1"/>
  <c r="A4365" i="1"/>
  <c r="D4365" i="1"/>
  <c r="A4366" i="1"/>
  <c r="D4366" i="1"/>
  <c r="A4367" i="1"/>
  <c r="D4367" i="1"/>
  <c r="A4368" i="1"/>
  <c r="D4368" i="1"/>
  <c r="E4368" i="1"/>
  <c r="A4369" i="1"/>
  <c r="D4369" i="1"/>
  <c r="A4370" i="1"/>
  <c r="D4370" i="1"/>
  <c r="A4371" i="1"/>
  <c r="D4371" i="1"/>
  <c r="E4371" i="1"/>
  <c r="A4372" i="1"/>
  <c r="D4372" i="1"/>
  <c r="A4373" i="1"/>
  <c r="D4373" i="1"/>
  <c r="E4373" i="1"/>
  <c r="A4374" i="1"/>
  <c r="D4374" i="1"/>
  <c r="E4374" i="1"/>
  <c r="A4375" i="1"/>
  <c r="D4375" i="1"/>
  <c r="E4375" i="1"/>
  <c r="A4376" i="1"/>
  <c r="D4376" i="1"/>
  <c r="E4376" i="1"/>
  <c r="A4377" i="1"/>
  <c r="D4377" i="1"/>
  <c r="E4377" i="1"/>
  <c r="A4378" i="1"/>
  <c r="D4378" i="1"/>
  <c r="E4378" i="1"/>
  <c r="A4379" i="1"/>
  <c r="D4379" i="1"/>
  <c r="E4379" i="1"/>
  <c r="A4380" i="1"/>
  <c r="D4380" i="1"/>
  <c r="E4380" i="1"/>
  <c r="A4381" i="1"/>
  <c r="D4381" i="1"/>
  <c r="E4381" i="1"/>
  <c r="A4382" i="1"/>
  <c r="D4382" i="1"/>
  <c r="A4383" i="1"/>
  <c r="D4383" i="1"/>
  <c r="E4383" i="1"/>
  <c r="A4384" i="1"/>
  <c r="D4384" i="1"/>
  <c r="E4384" i="1"/>
  <c r="A4385" i="1"/>
  <c r="D4385" i="1"/>
  <c r="A4386" i="1"/>
  <c r="D4386" i="1"/>
  <c r="A4387" i="1"/>
  <c r="D4387" i="1"/>
  <c r="E4387" i="1"/>
  <c r="A4388" i="1"/>
  <c r="D4388" i="1"/>
  <c r="E4388" i="1"/>
  <c r="A4389" i="1"/>
  <c r="D4389" i="1"/>
  <c r="E4389" i="1"/>
  <c r="A4390" i="1"/>
  <c r="D4390" i="1"/>
  <c r="A4391" i="1"/>
  <c r="D4391" i="1"/>
  <c r="A4392" i="1"/>
  <c r="D4392" i="1"/>
  <c r="A4393" i="1"/>
  <c r="D4393" i="1"/>
  <c r="E4393" i="1"/>
  <c r="A4394" i="1"/>
  <c r="D4394" i="1"/>
  <c r="E4394" i="1"/>
  <c r="A4395" i="1"/>
  <c r="D4395" i="1"/>
  <c r="E4395" i="1"/>
  <c r="A4396" i="1"/>
  <c r="D4396" i="1"/>
  <c r="A4397" i="1"/>
  <c r="D4397" i="1"/>
  <c r="A4398" i="1"/>
  <c r="D4398" i="1"/>
  <c r="A4399" i="1"/>
  <c r="D4399" i="1"/>
  <c r="E4399" i="1"/>
  <c r="A4400" i="1"/>
  <c r="D4400" i="1"/>
  <c r="A4401" i="1"/>
  <c r="D4401" i="1"/>
  <c r="A4402" i="1"/>
  <c r="D4402" i="1"/>
  <c r="A4403" i="1"/>
  <c r="D4403" i="1"/>
  <c r="A4404" i="1"/>
  <c r="D4404" i="1"/>
  <c r="E4404" i="1"/>
  <c r="A4405" i="1"/>
  <c r="D4405" i="1"/>
  <c r="E4405" i="1"/>
  <c r="A4406" i="1"/>
  <c r="D4406" i="1"/>
  <c r="E4406" i="1"/>
  <c r="A4407" i="1"/>
  <c r="D4407" i="1"/>
  <c r="E4407" i="1"/>
  <c r="A4408" i="1"/>
  <c r="D4408" i="1"/>
  <c r="E4408" i="1"/>
  <c r="A4409" i="1"/>
  <c r="D4409" i="1"/>
  <c r="E4409" i="1"/>
  <c r="A4410" i="1"/>
  <c r="D4410" i="1"/>
  <c r="E4410" i="1"/>
  <c r="A4411" i="1"/>
  <c r="D4411" i="1"/>
  <c r="A4412" i="1"/>
  <c r="D4412" i="1"/>
  <c r="A4413" i="1"/>
  <c r="D4413" i="1"/>
  <c r="E4413" i="1"/>
  <c r="A4414" i="1"/>
  <c r="D4414" i="1"/>
  <c r="E4414" i="1"/>
  <c r="A4415" i="1"/>
  <c r="D4415" i="1"/>
  <c r="A4416" i="1"/>
  <c r="D4416" i="1"/>
  <c r="A4417" i="1"/>
  <c r="D4417" i="1"/>
  <c r="E4417" i="1"/>
  <c r="A4418" i="1"/>
  <c r="D4418" i="1"/>
  <c r="E4418" i="1"/>
  <c r="A4419" i="1"/>
  <c r="D4419" i="1"/>
  <c r="A4420" i="1"/>
  <c r="D4420" i="1"/>
  <c r="E4420" i="1"/>
  <c r="A4421" i="1"/>
  <c r="D4421" i="1"/>
  <c r="E4421" i="1"/>
  <c r="A4422" i="1"/>
  <c r="D4422" i="1"/>
  <c r="E4422" i="1"/>
  <c r="A4423" i="1"/>
  <c r="D4423" i="1"/>
  <c r="E4423" i="1"/>
  <c r="A4424" i="1"/>
  <c r="D4424" i="1"/>
  <c r="A4425" i="1"/>
  <c r="D4425" i="1"/>
  <c r="E4425" i="1"/>
  <c r="A4426" i="1"/>
  <c r="D4426" i="1"/>
  <c r="E4426" i="1"/>
  <c r="A4427" i="1"/>
  <c r="D4427" i="1"/>
  <c r="E4427" i="1"/>
  <c r="A4428" i="1"/>
  <c r="D4428" i="1"/>
  <c r="E4428" i="1"/>
  <c r="A4429" i="1"/>
  <c r="D4429" i="1"/>
  <c r="E4429" i="1"/>
  <c r="A4430" i="1"/>
  <c r="D4430" i="1"/>
  <c r="E4430" i="1"/>
  <c r="A4431" i="1"/>
  <c r="D4431" i="1"/>
  <c r="E4431" i="1"/>
  <c r="A4432" i="1"/>
  <c r="D4432" i="1"/>
  <c r="E4432" i="1"/>
  <c r="A4433" i="1"/>
  <c r="D4433" i="1"/>
  <c r="E4433" i="1"/>
  <c r="A4434" i="1"/>
  <c r="D4434" i="1"/>
  <c r="E4434" i="1"/>
  <c r="A4435" i="1"/>
  <c r="D4435" i="1"/>
  <c r="E4435" i="1"/>
  <c r="A4436" i="1"/>
  <c r="D4436" i="1"/>
  <c r="E4436" i="1"/>
  <c r="A4437" i="1"/>
  <c r="D4437" i="1"/>
  <c r="E4437" i="1"/>
  <c r="A4438" i="1"/>
  <c r="D4438" i="1"/>
  <c r="E4438" i="1"/>
  <c r="A4439" i="1"/>
  <c r="D4439" i="1"/>
  <c r="A4440" i="1"/>
  <c r="D4440" i="1"/>
  <c r="E4440" i="1"/>
  <c r="A4441" i="1"/>
  <c r="D4441" i="1"/>
  <c r="A4442" i="1"/>
  <c r="D4442" i="1"/>
  <c r="E4442" i="1"/>
  <c r="A4443" i="1"/>
  <c r="D4443" i="1"/>
  <c r="A4444" i="1"/>
  <c r="D4444" i="1"/>
  <c r="E4444" i="1"/>
  <c r="A4445" i="1"/>
  <c r="D4445" i="1"/>
  <c r="E4445" i="1"/>
  <c r="A4446" i="1"/>
  <c r="D4446" i="1"/>
  <c r="E4446" i="1"/>
  <c r="A4447" i="1"/>
  <c r="D4447" i="1"/>
  <c r="E4447" i="1"/>
  <c r="A4448" i="1"/>
  <c r="D4448" i="1"/>
  <c r="E4448" i="1"/>
  <c r="A4449" i="1"/>
  <c r="D4449" i="1"/>
  <c r="E4449" i="1"/>
  <c r="A4450" i="1"/>
  <c r="D4450" i="1"/>
  <c r="A4451" i="1"/>
  <c r="D4451" i="1"/>
  <c r="A4452" i="1"/>
  <c r="D4452" i="1"/>
  <c r="E4452" i="1"/>
  <c r="A4453" i="1"/>
  <c r="D4453" i="1"/>
  <c r="E4453" i="1"/>
  <c r="A4454" i="1"/>
  <c r="D4454" i="1"/>
  <c r="E4454" i="1"/>
  <c r="A4455" i="1"/>
  <c r="D4455" i="1"/>
  <c r="E4455" i="1"/>
  <c r="A4456" i="1"/>
  <c r="D4456" i="1"/>
  <c r="E4456" i="1"/>
  <c r="A4457" i="1"/>
  <c r="D4457" i="1"/>
  <c r="E4457" i="1"/>
  <c r="A4458" i="1"/>
  <c r="D4458" i="1"/>
  <c r="E4458" i="1"/>
  <c r="A4459" i="1"/>
  <c r="D4459" i="1"/>
  <c r="E4459" i="1"/>
  <c r="A4460" i="1"/>
  <c r="D4460" i="1"/>
  <c r="E4460" i="1"/>
  <c r="A4461" i="1"/>
  <c r="D4461" i="1"/>
  <c r="E4461" i="1"/>
  <c r="A4462" i="1"/>
  <c r="D4462" i="1"/>
  <c r="A4463" i="1"/>
  <c r="D4463" i="1"/>
  <c r="A4464" i="1"/>
  <c r="D4464" i="1"/>
  <c r="E4464" i="1"/>
  <c r="A4465" i="1"/>
  <c r="D4465" i="1"/>
  <c r="E4465" i="1"/>
  <c r="A4466" i="1"/>
  <c r="D4466" i="1"/>
  <c r="E4466" i="1"/>
  <c r="A4467" i="1"/>
  <c r="D4467" i="1"/>
  <c r="E4467" i="1"/>
  <c r="A4468" i="1"/>
  <c r="D4468" i="1"/>
  <c r="E4468" i="1"/>
  <c r="A4469" i="1"/>
  <c r="D4469" i="1"/>
  <c r="E4469" i="1"/>
  <c r="A4470" i="1"/>
  <c r="D4470" i="1"/>
  <c r="E4470" i="1"/>
  <c r="A4471" i="1"/>
  <c r="D4471" i="1"/>
  <c r="A4472" i="1"/>
  <c r="D4472" i="1"/>
  <c r="E4472" i="1"/>
  <c r="A4473" i="1"/>
  <c r="D4473" i="1"/>
  <c r="E4473" i="1"/>
  <c r="A4474" i="1"/>
  <c r="D4474" i="1"/>
  <c r="E4474" i="1"/>
  <c r="A4475" i="1"/>
  <c r="D4475" i="1"/>
  <c r="A4476" i="1"/>
  <c r="D4476" i="1"/>
  <c r="E4476" i="1"/>
  <c r="A4477" i="1"/>
  <c r="D4477" i="1"/>
  <c r="E4477" i="1"/>
  <c r="A4478" i="1"/>
  <c r="D4478" i="1"/>
  <c r="E4478" i="1"/>
  <c r="A4479" i="1"/>
  <c r="D4479" i="1"/>
  <c r="E4479" i="1"/>
  <c r="A4480" i="1"/>
  <c r="D4480" i="1"/>
  <c r="E4480" i="1"/>
  <c r="A4481" i="1"/>
  <c r="D4481" i="1"/>
  <c r="E4481" i="1"/>
  <c r="A4482" i="1"/>
  <c r="D4482" i="1"/>
  <c r="A4483" i="1"/>
  <c r="D4483" i="1"/>
  <c r="E4483" i="1"/>
  <c r="A4484" i="1"/>
  <c r="D4484" i="1"/>
  <c r="A4485" i="1"/>
  <c r="D4485" i="1"/>
  <c r="A4486" i="1"/>
  <c r="D4486" i="1"/>
  <c r="A4487" i="1"/>
  <c r="D4487" i="1"/>
  <c r="A4488" i="1"/>
  <c r="D4488" i="1"/>
  <c r="A4489" i="1"/>
  <c r="D4489" i="1"/>
  <c r="A4490" i="1"/>
  <c r="D4490" i="1"/>
  <c r="A4491" i="1"/>
  <c r="D4491" i="1"/>
  <c r="A4492" i="1"/>
  <c r="D4492" i="1"/>
  <c r="A4493" i="1"/>
  <c r="D4493" i="1"/>
  <c r="A4494" i="1"/>
  <c r="D4494" i="1"/>
  <c r="E4494" i="1"/>
  <c r="A4495" i="1"/>
  <c r="D4495" i="1"/>
  <c r="A4496" i="1"/>
  <c r="D4496" i="1"/>
  <c r="E4496" i="1"/>
  <c r="A4497" i="1"/>
  <c r="D4497" i="1"/>
  <c r="E4497" i="1"/>
  <c r="A4498" i="1"/>
  <c r="D4498" i="1"/>
  <c r="E4498" i="1"/>
  <c r="A4499" i="1"/>
  <c r="D4499" i="1"/>
  <c r="A4500" i="1"/>
  <c r="D4500" i="1"/>
  <c r="A4501" i="1"/>
  <c r="D4501" i="1"/>
  <c r="E4501" i="1"/>
  <c r="A4502" i="1"/>
  <c r="D4502" i="1"/>
  <c r="E4502" i="1"/>
  <c r="A4503" i="1"/>
  <c r="D4503" i="1"/>
  <c r="E4503" i="1"/>
  <c r="A4504" i="1"/>
  <c r="D4504" i="1"/>
  <c r="A4505" i="1"/>
  <c r="D4505" i="1"/>
  <c r="A4506" i="1"/>
  <c r="D4506" i="1"/>
  <c r="E4506" i="1"/>
  <c r="A4507" i="1"/>
  <c r="D4507" i="1"/>
  <c r="A4508" i="1"/>
  <c r="D4508" i="1"/>
  <c r="A4509" i="1"/>
  <c r="D4509" i="1"/>
  <c r="E4509" i="1"/>
  <c r="A4510" i="1"/>
  <c r="D4510" i="1"/>
  <c r="E4510" i="1"/>
  <c r="A4511" i="1"/>
  <c r="D4511" i="1"/>
  <c r="E4511" i="1"/>
  <c r="A4512" i="1"/>
  <c r="D4512" i="1"/>
  <c r="A4513" i="1"/>
  <c r="D4513" i="1"/>
  <c r="A4514" i="1"/>
  <c r="D4514" i="1"/>
  <c r="E4514" i="1"/>
  <c r="A4515" i="1"/>
  <c r="D4515" i="1"/>
  <c r="E4515" i="1"/>
  <c r="A4516" i="1"/>
  <c r="D4516" i="1"/>
  <c r="E4516" i="1"/>
  <c r="A4517" i="1"/>
  <c r="D4517" i="1"/>
  <c r="E4517" i="1"/>
  <c r="A4518" i="1"/>
  <c r="D4518" i="1"/>
  <c r="E4518" i="1"/>
  <c r="A4519" i="1"/>
  <c r="D4519" i="1"/>
  <c r="E4519" i="1"/>
  <c r="A4520" i="1"/>
  <c r="D4520" i="1"/>
  <c r="E4520" i="1"/>
  <c r="A4521" i="1"/>
  <c r="D4521" i="1"/>
  <c r="E4521" i="1"/>
  <c r="A4522" i="1"/>
  <c r="D4522" i="1"/>
  <c r="E4522" i="1"/>
  <c r="A4523" i="1"/>
  <c r="D4523" i="1"/>
  <c r="E4523" i="1"/>
  <c r="A4524" i="1"/>
  <c r="D4524" i="1"/>
  <c r="E4524" i="1"/>
  <c r="A4525" i="1"/>
  <c r="D4525" i="1"/>
  <c r="E4525" i="1"/>
  <c r="A4526" i="1"/>
  <c r="D4526" i="1"/>
  <c r="E4526" i="1"/>
  <c r="A4527" i="1"/>
  <c r="D4527" i="1"/>
  <c r="E4527" i="1"/>
  <c r="A4528" i="1"/>
  <c r="D4528" i="1"/>
  <c r="E4528" i="1"/>
  <c r="A4529" i="1"/>
  <c r="D4529" i="1"/>
  <c r="E4529" i="1"/>
  <c r="A4530" i="1"/>
  <c r="D4530" i="1"/>
  <c r="E4530" i="1"/>
  <c r="A4531" i="1"/>
  <c r="D4531" i="1"/>
  <c r="E4531" i="1"/>
  <c r="A4532" i="1"/>
  <c r="D4532" i="1"/>
  <c r="E4532" i="1"/>
  <c r="A4533" i="1"/>
  <c r="D4533" i="1"/>
  <c r="E4533" i="1"/>
  <c r="A4534" i="1"/>
  <c r="D4534" i="1"/>
  <c r="A4535" i="1"/>
  <c r="D4535" i="1"/>
  <c r="A4536" i="1"/>
  <c r="D4536" i="1"/>
  <c r="E4536" i="1"/>
  <c r="A4537" i="1"/>
  <c r="D4537" i="1"/>
  <c r="A4538" i="1"/>
  <c r="D4538" i="1"/>
  <c r="A4539" i="1"/>
  <c r="D4539" i="1"/>
  <c r="A4540" i="1"/>
  <c r="D4540" i="1"/>
  <c r="A4541" i="1"/>
  <c r="D4541" i="1"/>
  <c r="A4542" i="1"/>
  <c r="D4542" i="1"/>
  <c r="E4542" i="1"/>
  <c r="A4543" i="1"/>
  <c r="D4543" i="1"/>
  <c r="A4544" i="1"/>
  <c r="D4544" i="1"/>
  <c r="A4545" i="1"/>
  <c r="D4545" i="1"/>
  <c r="A4546" i="1"/>
  <c r="D4546" i="1"/>
  <c r="A4547" i="1"/>
  <c r="D4547" i="1"/>
  <c r="E4547" i="1"/>
  <c r="A4548" i="1"/>
  <c r="D4548" i="1"/>
  <c r="E4548" i="1"/>
  <c r="A4549" i="1"/>
  <c r="D4549" i="1"/>
  <c r="E4549" i="1"/>
  <c r="A4550" i="1"/>
  <c r="D4550" i="1"/>
  <c r="E4550" i="1"/>
  <c r="A4551" i="1"/>
  <c r="D4551" i="1"/>
  <c r="A4552" i="1"/>
  <c r="D4552" i="1"/>
  <c r="A4553" i="1"/>
  <c r="D4553" i="1"/>
  <c r="A4554" i="1"/>
  <c r="D4554" i="1"/>
  <c r="A4555" i="1"/>
  <c r="D4555" i="1"/>
  <c r="E4555" i="1"/>
  <c r="A4556" i="1"/>
  <c r="D4556" i="1"/>
  <c r="A4557" i="1"/>
  <c r="D4557" i="1"/>
  <c r="A4558" i="1"/>
  <c r="D4558" i="1"/>
  <c r="E4558" i="1"/>
  <c r="A4559" i="1"/>
  <c r="D4559" i="1"/>
  <c r="A4560" i="1"/>
  <c r="D4560" i="1"/>
  <c r="A4561" i="1"/>
  <c r="D4561" i="1"/>
  <c r="A4562" i="1"/>
  <c r="D4562" i="1"/>
  <c r="A4563" i="1"/>
  <c r="D4563" i="1"/>
  <c r="A4564" i="1"/>
  <c r="D4564" i="1"/>
  <c r="A4565" i="1"/>
  <c r="D4565" i="1"/>
  <c r="A4566" i="1"/>
  <c r="D4566" i="1"/>
  <c r="A4567" i="1"/>
  <c r="D4567" i="1"/>
  <c r="A4568" i="1"/>
  <c r="D4568" i="1"/>
  <c r="A4569" i="1"/>
  <c r="D4569" i="1"/>
  <c r="A4570" i="1"/>
  <c r="D4570" i="1"/>
  <c r="A4571" i="1"/>
  <c r="D4571" i="1"/>
  <c r="A4572" i="1"/>
  <c r="D4572" i="1"/>
  <c r="A4573" i="1"/>
  <c r="D4573" i="1"/>
  <c r="A4574" i="1"/>
  <c r="D4574" i="1"/>
  <c r="A4575" i="1"/>
  <c r="D4575" i="1"/>
  <c r="A4576" i="1"/>
  <c r="D4576" i="1"/>
  <c r="A4577" i="1"/>
  <c r="D4577" i="1"/>
  <c r="A4578" i="1"/>
  <c r="D4578" i="1"/>
  <c r="A4579" i="1"/>
  <c r="D4579" i="1"/>
  <c r="A4580" i="1"/>
  <c r="D4580" i="1"/>
  <c r="E4580" i="1"/>
  <c r="A4581" i="1"/>
  <c r="D4581" i="1"/>
  <c r="A4582" i="1"/>
  <c r="D4582" i="1"/>
  <c r="A4583" i="1"/>
  <c r="D4583" i="1"/>
  <c r="E4583" i="1"/>
  <c r="A4584" i="1"/>
  <c r="D4584" i="1"/>
  <c r="A4585" i="1"/>
  <c r="D4585" i="1"/>
  <c r="A4586" i="1"/>
  <c r="D4586" i="1"/>
  <c r="A4587" i="1"/>
  <c r="D4587" i="1"/>
  <c r="A4588" i="1"/>
  <c r="D4588" i="1"/>
  <c r="A4589" i="1"/>
  <c r="D4589" i="1"/>
  <c r="A4590" i="1"/>
  <c r="D4590" i="1"/>
  <c r="A4591" i="1"/>
  <c r="D4591" i="1"/>
  <c r="A4592" i="1"/>
  <c r="D4592" i="1"/>
  <c r="A4593" i="1"/>
  <c r="D4593" i="1"/>
  <c r="A4594" i="1"/>
  <c r="D4594" i="1"/>
  <c r="A4595" i="1"/>
  <c r="D4595" i="1"/>
  <c r="A4596" i="1"/>
  <c r="D4596" i="1"/>
  <c r="A4597" i="1"/>
  <c r="D4597" i="1"/>
  <c r="A4598" i="1"/>
  <c r="D4598" i="1"/>
  <c r="E4598" i="1"/>
  <c r="A4599" i="1"/>
  <c r="D4599" i="1"/>
  <c r="A4600" i="1"/>
  <c r="D4600" i="1"/>
  <c r="A4601" i="1"/>
  <c r="D4601" i="1"/>
  <c r="A4602" i="1"/>
  <c r="D4602" i="1"/>
  <c r="A4603" i="1"/>
  <c r="D4603" i="1"/>
  <c r="A4604" i="1"/>
  <c r="D4604" i="1"/>
  <c r="A4605" i="1"/>
  <c r="D4605" i="1"/>
  <c r="A4606" i="1"/>
  <c r="D4606" i="1"/>
  <c r="A4607" i="1"/>
  <c r="D4607" i="1"/>
  <c r="A4608" i="1"/>
  <c r="D4608" i="1"/>
  <c r="A4609" i="1"/>
  <c r="D4609" i="1"/>
  <c r="A4610" i="1"/>
  <c r="D4610" i="1"/>
  <c r="A4611" i="1"/>
  <c r="D4611" i="1"/>
  <c r="A4612" i="1"/>
  <c r="D4612" i="1"/>
  <c r="A4613" i="1"/>
  <c r="D4613" i="1"/>
  <c r="A4614" i="1"/>
  <c r="D4614" i="1"/>
  <c r="A4615" i="1"/>
  <c r="D4615" i="1"/>
  <c r="A4616" i="1"/>
  <c r="D4616" i="1"/>
  <c r="A4617" i="1"/>
  <c r="D4617" i="1"/>
  <c r="A4618" i="1"/>
  <c r="D4618" i="1"/>
  <c r="A4619" i="1"/>
  <c r="D4619" i="1"/>
  <c r="E4619" i="1"/>
  <c r="A4620" i="1"/>
  <c r="D4620" i="1"/>
  <c r="E4620" i="1"/>
  <c r="A4621" i="1"/>
  <c r="D4621" i="1"/>
  <c r="E4621" i="1"/>
  <c r="A4622" i="1"/>
  <c r="D4622" i="1"/>
  <c r="A4623" i="1"/>
  <c r="D4623" i="1"/>
  <c r="E4623" i="1"/>
  <c r="A4624" i="1"/>
  <c r="D4624" i="1"/>
  <c r="E4624" i="1"/>
  <c r="A4625" i="1"/>
  <c r="D4625" i="1"/>
  <c r="A4626" i="1"/>
  <c r="D4626" i="1"/>
  <c r="E4626" i="1"/>
  <c r="A4627" i="1"/>
  <c r="D4627" i="1"/>
  <c r="A4628" i="1"/>
  <c r="D4628" i="1"/>
  <c r="A4629" i="1"/>
  <c r="D4629" i="1"/>
  <c r="A4630" i="1"/>
  <c r="D4630" i="1"/>
  <c r="A4631" i="1"/>
  <c r="D4631" i="1"/>
  <c r="A4632" i="1"/>
  <c r="D4632" i="1"/>
  <c r="A4633" i="1"/>
  <c r="D4633" i="1"/>
  <c r="A4634" i="1"/>
  <c r="D4634" i="1"/>
  <c r="A4635" i="1"/>
  <c r="D4635" i="1"/>
  <c r="A4636" i="1"/>
  <c r="D4636" i="1"/>
  <c r="A4637" i="1"/>
  <c r="D4637" i="1"/>
  <c r="A4638" i="1"/>
  <c r="D4638" i="1"/>
  <c r="A4639" i="1"/>
  <c r="D4639" i="1"/>
  <c r="A4640" i="1"/>
  <c r="D4640" i="1"/>
  <c r="A4641" i="1"/>
  <c r="D4641" i="1"/>
  <c r="A4642" i="1"/>
  <c r="D4642" i="1"/>
  <c r="A4643" i="1"/>
  <c r="D4643" i="1"/>
  <c r="E4643" i="1"/>
  <c r="A4644" i="1"/>
  <c r="D4644" i="1"/>
  <c r="A4645" i="1"/>
  <c r="D4645" i="1"/>
  <c r="A4646" i="1"/>
  <c r="D4646" i="1"/>
  <c r="A4647" i="1"/>
  <c r="D4647" i="1"/>
  <c r="A4648" i="1"/>
  <c r="D4648" i="1"/>
  <c r="A4649" i="1"/>
  <c r="D4649" i="1"/>
  <c r="A4650" i="1"/>
  <c r="D4650" i="1"/>
  <c r="E4650" i="1"/>
  <c r="A4651" i="1"/>
  <c r="D4651" i="1"/>
  <c r="A4652" i="1"/>
  <c r="D4652" i="1"/>
  <c r="E4652" i="1"/>
  <c r="A4653" i="1"/>
  <c r="D4653" i="1"/>
  <c r="A4654" i="1"/>
  <c r="D4654" i="1"/>
  <c r="A4655" i="1"/>
  <c r="D4655" i="1"/>
  <c r="A4656" i="1"/>
  <c r="D4656" i="1"/>
  <c r="A4657" i="1"/>
  <c r="D4657" i="1"/>
  <c r="A4658" i="1"/>
  <c r="D4658" i="1"/>
  <c r="A4659" i="1"/>
  <c r="D4659" i="1"/>
  <c r="A4660" i="1"/>
  <c r="D4660" i="1"/>
  <c r="A4661" i="1"/>
  <c r="D4661" i="1"/>
  <c r="A4662" i="1"/>
  <c r="D4662" i="1"/>
  <c r="A4663" i="1"/>
  <c r="D4663" i="1"/>
  <c r="E4663" i="1"/>
  <c r="A4664" i="1"/>
  <c r="D4664" i="1"/>
  <c r="A4665" i="1"/>
  <c r="D4665" i="1"/>
  <c r="E4665" i="1"/>
  <c r="A4666" i="1"/>
  <c r="D4666" i="1"/>
  <c r="A4667" i="1"/>
  <c r="D4667" i="1"/>
  <c r="A4668" i="1"/>
  <c r="D4668" i="1"/>
  <c r="A4669" i="1"/>
  <c r="D4669" i="1"/>
  <c r="E4669" i="1"/>
  <c r="A4670" i="1"/>
  <c r="D4670" i="1"/>
  <c r="E4670" i="1"/>
  <c r="A4671" i="1"/>
  <c r="D4671" i="1"/>
  <c r="E4671" i="1"/>
  <c r="A4672" i="1"/>
  <c r="D4672" i="1"/>
  <c r="A4673" i="1"/>
  <c r="D4673" i="1"/>
  <c r="E4673" i="1"/>
  <c r="A4674" i="1"/>
  <c r="D4674" i="1"/>
  <c r="E4674" i="1"/>
  <c r="A4675" i="1"/>
  <c r="D4675" i="1"/>
  <c r="A4676" i="1"/>
  <c r="D4676" i="1"/>
  <c r="A4677" i="1"/>
  <c r="D4677" i="1"/>
  <c r="E4677" i="1"/>
  <c r="A4678" i="1"/>
  <c r="D4678" i="1"/>
  <c r="E4678" i="1"/>
  <c r="A4679" i="1"/>
  <c r="D4679" i="1"/>
  <c r="E4679" i="1"/>
  <c r="A4680" i="1"/>
  <c r="D4680" i="1"/>
  <c r="E4680" i="1"/>
  <c r="A4681" i="1"/>
  <c r="D4681" i="1"/>
  <c r="E4681" i="1"/>
  <c r="A4682" i="1"/>
  <c r="D4682" i="1"/>
  <c r="E4682" i="1"/>
  <c r="A4683" i="1"/>
  <c r="D4683" i="1"/>
  <c r="E4683" i="1"/>
  <c r="A4684" i="1"/>
  <c r="D4684" i="1"/>
  <c r="A4685" i="1"/>
  <c r="D4685" i="1"/>
  <c r="A4686" i="1"/>
  <c r="D4686" i="1"/>
  <c r="A4687" i="1"/>
  <c r="D4687" i="1"/>
  <c r="A4688" i="1"/>
  <c r="D4688" i="1"/>
  <c r="A4689" i="1"/>
  <c r="D4689" i="1"/>
  <c r="A4690" i="1"/>
  <c r="D4690" i="1"/>
  <c r="A4691" i="1"/>
  <c r="D4691" i="1"/>
  <c r="E4691" i="1"/>
  <c r="A4692" i="1"/>
  <c r="D4692" i="1"/>
  <c r="A4693" i="1"/>
  <c r="D4693" i="1"/>
  <c r="A4694" i="1"/>
  <c r="D4694" i="1"/>
  <c r="A4695" i="1"/>
  <c r="D4695" i="1"/>
  <c r="A4696" i="1"/>
  <c r="D4696" i="1"/>
  <c r="A4697" i="1"/>
  <c r="D4697" i="1"/>
  <c r="A4698" i="1"/>
  <c r="D4698" i="1"/>
  <c r="A4699" i="1"/>
  <c r="D4699" i="1"/>
  <c r="A4700" i="1"/>
  <c r="D4700" i="1"/>
  <c r="A4701" i="1"/>
  <c r="D4701" i="1"/>
  <c r="A4702" i="1"/>
  <c r="D4702" i="1"/>
  <c r="A4703" i="1"/>
  <c r="D4703" i="1"/>
  <c r="A4704" i="1"/>
  <c r="D4704" i="1"/>
  <c r="A4705" i="1"/>
  <c r="D4705" i="1"/>
  <c r="A4706" i="1"/>
  <c r="D4706" i="1"/>
  <c r="A4707" i="1"/>
  <c r="D4707" i="1"/>
  <c r="A4708" i="1"/>
  <c r="D4708" i="1"/>
  <c r="A4709" i="1"/>
  <c r="D4709" i="1"/>
  <c r="A4710" i="1"/>
  <c r="D4710" i="1"/>
  <c r="A4711" i="1"/>
  <c r="D4711" i="1"/>
  <c r="A4712" i="1"/>
  <c r="D4712" i="1"/>
  <c r="A4713" i="1"/>
  <c r="D4713" i="1"/>
  <c r="A4714" i="1"/>
  <c r="D4714" i="1"/>
  <c r="A4715" i="1"/>
  <c r="D4715" i="1"/>
  <c r="A4716" i="1"/>
  <c r="D4716" i="1"/>
  <c r="A4717" i="1"/>
  <c r="D4717" i="1"/>
  <c r="A4718" i="1"/>
  <c r="D4718" i="1"/>
  <c r="E4718" i="1"/>
  <c r="A4719" i="1"/>
  <c r="D4719" i="1"/>
  <c r="E4719" i="1"/>
  <c r="A4720" i="1"/>
  <c r="D4720" i="1"/>
  <c r="A4721" i="1"/>
  <c r="D4721" i="1"/>
  <c r="A4722" i="1"/>
  <c r="D4722" i="1"/>
  <c r="A4723" i="1"/>
  <c r="D4723" i="1"/>
  <c r="A4724" i="1"/>
  <c r="D4724" i="1"/>
  <c r="A4725" i="1"/>
  <c r="D4725" i="1"/>
  <c r="E4725" i="1"/>
  <c r="A4726" i="1"/>
  <c r="D4726" i="1"/>
  <c r="A4727" i="1"/>
  <c r="D4727" i="1"/>
  <c r="E4727" i="1"/>
  <c r="A4728" i="1"/>
  <c r="D4728" i="1"/>
  <c r="E4728" i="1"/>
  <c r="A4729" i="1"/>
  <c r="D4729" i="1"/>
  <c r="E4729" i="1"/>
  <c r="A4730" i="1"/>
  <c r="D4730" i="1"/>
  <c r="E4730" i="1"/>
  <c r="A4731" i="1"/>
  <c r="D4731" i="1"/>
  <c r="A4732" i="1"/>
  <c r="D4732" i="1"/>
  <c r="E4732" i="1"/>
  <c r="A4733" i="1"/>
  <c r="D4733" i="1"/>
  <c r="E4733" i="1"/>
  <c r="A4734" i="1"/>
  <c r="D4734" i="1"/>
  <c r="E4734" i="1"/>
  <c r="A4735" i="1"/>
  <c r="D4735" i="1"/>
  <c r="E4735" i="1"/>
  <c r="A4736" i="1"/>
  <c r="D4736" i="1"/>
  <c r="E4736" i="1"/>
  <c r="A4737" i="1"/>
  <c r="D4737" i="1"/>
  <c r="E4737" i="1"/>
  <c r="A4738" i="1"/>
  <c r="D4738" i="1"/>
  <c r="E4738" i="1"/>
  <c r="A4739" i="1"/>
  <c r="D4739" i="1"/>
  <c r="E4739" i="1"/>
  <c r="A4740" i="1"/>
  <c r="D4740" i="1"/>
  <c r="E4740" i="1"/>
  <c r="A4741" i="1"/>
  <c r="D4741" i="1"/>
  <c r="E4741" i="1"/>
  <c r="A4742" i="1"/>
  <c r="D4742" i="1"/>
  <c r="E4742" i="1"/>
  <c r="A4743" i="1"/>
  <c r="D4743" i="1"/>
  <c r="E4743" i="1"/>
  <c r="A4744" i="1"/>
  <c r="D4744" i="1"/>
  <c r="E4744" i="1"/>
  <c r="A4745" i="1"/>
  <c r="D4745" i="1"/>
  <c r="E4745" i="1"/>
  <c r="A4746" i="1"/>
  <c r="D4746" i="1"/>
  <c r="E4746" i="1"/>
  <c r="A4747" i="1"/>
  <c r="D4747" i="1"/>
  <c r="E4747" i="1"/>
  <c r="A4748" i="1"/>
  <c r="D4748" i="1"/>
  <c r="E4748" i="1"/>
  <c r="A4749" i="1"/>
  <c r="D4749" i="1"/>
  <c r="E4749" i="1"/>
  <c r="A4750" i="1"/>
  <c r="D4750" i="1"/>
  <c r="E4750" i="1"/>
  <c r="A4751" i="1"/>
  <c r="D4751" i="1"/>
  <c r="E4751" i="1"/>
  <c r="A4752" i="1"/>
  <c r="D4752" i="1"/>
  <c r="E4752" i="1"/>
  <c r="A4753" i="1"/>
  <c r="D4753" i="1"/>
  <c r="E4753" i="1"/>
  <c r="A4754" i="1"/>
  <c r="D4754" i="1"/>
  <c r="E4754" i="1"/>
  <c r="A4755" i="1"/>
  <c r="D4755" i="1"/>
  <c r="A4756" i="1"/>
  <c r="D4756" i="1"/>
  <c r="E4756" i="1"/>
  <c r="A4757" i="1"/>
  <c r="D4757" i="1"/>
  <c r="E4757" i="1"/>
  <c r="A4758" i="1"/>
  <c r="D4758" i="1"/>
  <c r="E4758" i="1"/>
  <c r="A4759" i="1"/>
  <c r="D4759" i="1"/>
  <c r="E4759" i="1"/>
  <c r="A4760" i="1"/>
  <c r="D4760" i="1"/>
  <c r="E4760" i="1"/>
  <c r="A4761" i="1"/>
  <c r="D4761" i="1"/>
  <c r="E4761" i="1"/>
  <c r="A4762" i="1"/>
  <c r="D4762" i="1"/>
  <c r="A4763" i="1"/>
  <c r="D4763" i="1"/>
  <c r="A4764" i="1"/>
  <c r="D4764" i="1"/>
  <c r="E4764" i="1"/>
  <c r="A4765" i="1"/>
  <c r="D4765" i="1"/>
  <c r="E4765" i="1"/>
  <c r="A4766" i="1"/>
  <c r="D4766" i="1"/>
  <c r="E4766" i="1"/>
  <c r="A4767" i="1"/>
  <c r="D4767" i="1"/>
  <c r="E4767" i="1"/>
  <c r="A4768" i="1"/>
  <c r="D4768" i="1"/>
  <c r="E4768" i="1"/>
  <c r="A4769" i="1"/>
  <c r="D4769" i="1"/>
  <c r="E4769" i="1"/>
  <c r="A4770" i="1"/>
  <c r="D4770" i="1"/>
  <c r="E4770" i="1"/>
  <c r="A4771" i="1"/>
  <c r="D4771" i="1"/>
  <c r="E4771" i="1"/>
  <c r="A4772" i="1"/>
  <c r="D4772" i="1"/>
  <c r="E4772" i="1"/>
  <c r="A4773" i="1"/>
  <c r="D4773" i="1"/>
  <c r="E4773" i="1"/>
  <c r="A4774" i="1"/>
  <c r="D4774" i="1"/>
  <c r="E4774" i="1"/>
  <c r="A4775" i="1"/>
  <c r="D4775" i="1"/>
  <c r="E4775" i="1"/>
  <c r="A4776" i="1"/>
  <c r="D4776" i="1"/>
  <c r="E4776" i="1"/>
  <c r="A4777" i="1"/>
  <c r="D4777" i="1"/>
  <c r="E4777" i="1"/>
  <c r="A4778" i="1"/>
  <c r="D4778" i="1"/>
  <c r="E4778" i="1"/>
  <c r="A4779" i="1"/>
  <c r="D4779" i="1"/>
  <c r="E4779" i="1"/>
  <c r="A4780" i="1"/>
  <c r="D4780" i="1"/>
  <c r="E4780" i="1"/>
  <c r="A4781" i="1"/>
  <c r="D4781" i="1"/>
  <c r="E4781" i="1"/>
  <c r="A4782" i="1"/>
  <c r="D4782" i="1"/>
  <c r="E4782" i="1"/>
  <c r="A4783" i="1"/>
  <c r="D4783" i="1"/>
  <c r="E4783" i="1"/>
  <c r="A4784" i="1"/>
  <c r="D4784" i="1"/>
  <c r="E4784" i="1"/>
  <c r="A4785" i="1"/>
  <c r="D4785" i="1"/>
  <c r="E4785" i="1"/>
  <c r="A4786" i="1"/>
  <c r="D4786" i="1"/>
  <c r="E4786" i="1"/>
  <c r="A4787" i="1"/>
  <c r="D4787" i="1"/>
  <c r="E4787" i="1"/>
  <c r="A4788" i="1"/>
  <c r="D4788" i="1"/>
  <c r="E4788" i="1"/>
  <c r="A4789" i="1"/>
  <c r="D4789" i="1"/>
  <c r="A4790" i="1"/>
  <c r="D4790" i="1"/>
  <c r="E4790" i="1"/>
  <c r="A4791" i="1"/>
  <c r="D4791" i="1"/>
  <c r="E4791" i="1"/>
  <c r="A4792" i="1"/>
  <c r="D4792" i="1"/>
  <c r="E4792" i="1"/>
  <c r="A4793" i="1"/>
  <c r="D4793" i="1"/>
  <c r="E4793" i="1"/>
  <c r="A4794" i="1"/>
  <c r="D4794" i="1"/>
  <c r="E4794" i="1"/>
  <c r="A4795" i="1"/>
  <c r="D4795" i="1"/>
  <c r="E4795" i="1"/>
  <c r="A4796" i="1"/>
  <c r="D4796" i="1"/>
  <c r="E4796" i="1"/>
  <c r="A4797" i="1"/>
  <c r="D4797" i="1"/>
  <c r="E4797" i="1"/>
  <c r="A4798" i="1"/>
  <c r="D4798" i="1"/>
  <c r="E4798" i="1"/>
  <c r="A4799" i="1"/>
  <c r="D4799" i="1"/>
  <c r="E4799" i="1"/>
  <c r="A4800" i="1"/>
  <c r="D4800" i="1"/>
  <c r="E4800" i="1"/>
  <c r="A4801" i="1"/>
  <c r="D4801" i="1"/>
  <c r="E4801" i="1"/>
  <c r="A4802" i="1"/>
  <c r="D4802" i="1"/>
  <c r="E4802" i="1"/>
  <c r="A4803" i="1"/>
  <c r="D4803" i="1"/>
  <c r="A4804" i="1"/>
  <c r="D4804" i="1"/>
  <c r="A4805" i="1"/>
  <c r="D4805" i="1"/>
  <c r="A4806" i="1"/>
  <c r="D4806" i="1"/>
  <c r="A4807" i="1"/>
  <c r="D4807" i="1"/>
  <c r="A4808" i="1"/>
  <c r="D4808" i="1"/>
  <c r="A4809" i="1"/>
  <c r="D4809" i="1"/>
  <c r="A4810" i="1"/>
  <c r="D4810" i="1"/>
  <c r="A4811" i="1"/>
  <c r="D4811" i="1"/>
  <c r="A4812" i="1"/>
  <c r="D4812" i="1"/>
  <c r="A4813" i="1"/>
  <c r="D4813" i="1"/>
  <c r="A4814" i="1"/>
  <c r="D4814" i="1"/>
  <c r="A4815" i="1"/>
  <c r="D4815" i="1"/>
  <c r="A4816" i="1"/>
  <c r="D4816" i="1"/>
  <c r="A4817" i="1"/>
  <c r="D4817" i="1"/>
  <c r="A4818" i="1"/>
  <c r="D4818" i="1"/>
  <c r="A4819" i="1"/>
  <c r="D4819" i="1"/>
  <c r="E4819" i="1"/>
  <c r="A4820" i="1"/>
  <c r="D4820" i="1"/>
  <c r="E4820" i="1"/>
  <c r="A4821" i="1"/>
  <c r="D4821" i="1"/>
  <c r="E4821" i="1"/>
  <c r="A4822" i="1"/>
  <c r="D4822" i="1"/>
  <c r="E4822" i="1"/>
  <c r="A4823" i="1"/>
  <c r="D4823" i="1"/>
  <c r="E4823" i="1"/>
  <c r="A4824" i="1"/>
  <c r="D4824" i="1"/>
  <c r="E4824" i="1"/>
  <c r="A4825" i="1"/>
  <c r="D4825" i="1"/>
  <c r="E4825" i="1"/>
  <c r="A4826" i="1"/>
  <c r="D4826" i="1"/>
  <c r="E4826" i="1"/>
  <c r="A4827" i="1"/>
  <c r="D4827" i="1"/>
  <c r="E4827" i="1"/>
  <c r="A4828" i="1"/>
  <c r="D4828" i="1"/>
  <c r="E4828" i="1"/>
  <c r="A4829" i="1"/>
  <c r="D4829" i="1"/>
  <c r="E4829" i="1"/>
  <c r="A4830" i="1"/>
  <c r="D4830" i="1"/>
  <c r="E4830" i="1"/>
  <c r="A4831" i="1"/>
  <c r="D4831" i="1"/>
  <c r="E4831" i="1"/>
  <c r="A4832" i="1"/>
  <c r="D4832" i="1"/>
  <c r="E4832" i="1"/>
  <c r="A4833" i="1"/>
  <c r="D4833" i="1"/>
  <c r="E4833" i="1"/>
  <c r="A4834" i="1"/>
  <c r="D4834" i="1"/>
  <c r="E4834" i="1"/>
  <c r="A4835" i="1"/>
  <c r="D4835" i="1"/>
  <c r="E4835" i="1"/>
  <c r="A4836" i="1"/>
  <c r="D4836" i="1"/>
  <c r="E4836" i="1"/>
  <c r="A4837" i="1"/>
  <c r="D4837" i="1"/>
  <c r="E4837" i="1"/>
  <c r="A4838" i="1"/>
  <c r="D4838" i="1"/>
  <c r="E4838" i="1"/>
  <c r="A4839" i="1"/>
  <c r="D4839" i="1"/>
  <c r="E4839" i="1"/>
  <c r="A4840" i="1"/>
  <c r="D4840" i="1"/>
  <c r="E4840" i="1"/>
  <c r="A4841" i="1"/>
  <c r="D4841" i="1"/>
  <c r="E4841" i="1"/>
  <c r="A4842" i="1"/>
  <c r="D4842" i="1"/>
  <c r="E4842" i="1"/>
  <c r="A4843" i="1"/>
  <c r="D4843" i="1"/>
  <c r="E4843" i="1"/>
  <c r="A4844" i="1"/>
  <c r="D4844" i="1"/>
  <c r="E4844" i="1"/>
  <c r="A4845" i="1"/>
  <c r="D4845" i="1"/>
  <c r="E4845" i="1"/>
  <c r="A4846" i="1"/>
  <c r="D4846" i="1"/>
  <c r="E4846" i="1"/>
  <c r="A4847" i="1"/>
  <c r="D4847" i="1"/>
  <c r="E4847" i="1"/>
  <c r="A4848" i="1"/>
  <c r="D4848" i="1"/>
  <c r="E4848" i="1"/>
  <c r="A4849" i="1"/>
  <c r="D4849" i="1"/>
  <c r="E4849" i="1"/>
  <c r="A4850" i="1"/>
  <c r="D4850" i="1"/>
  <c r="E4850" i="1"/>
  <c r="A4851" i="1"/>
  <c r="D4851" i="1"/>
  <c r="E4851" i="1"/>
  <c r="A4852" i="1"/>
  <c r="D4852" i="1"/>
  <c r="E4852" i="1"/>
  <c r="A4853" i="1"/>
  <c r="D4853" i="1"/>
  <c r="E4853" i="1"/>
  <c r="A4854" i="1"/>
  <c r="D4854" i="1"/>
  <c r="E4854" i="1"/>
  <c r="A4855" i="1"/>
  <c r="D4855" i="1"/>
  <c r="E4855" i="1"/>
  <c r="A4856" i="1"/>
  <c r="D4856" i="1"/>
  <c r="E4856" i="1"/>
  <c r="A4857" i="1"/>
  <c r="D4857" i="1"/>
  <c r="E4857" i="1"/>
  <c r="A4858" i="1"/>
  <c r="D4858" i="1"/>
  <c r="E4858" i="1"/>
  <c r="A4859" i="1"/>
  <c r="D4859" i="1"/>
  <c r="A4860" i="1"/>
  <c r="D4860" i="1"/>
  <c r="E4860" i="1"/>
  <c r="A4861" i="1"/>
  <c r="D4861" i="1"/>
  <c r="E4861" i="1"/>
  <c r="A4862" i="1"/>
  <c r="D4862" i="1"/>
  <c r="E4862" i="1"/>
  <c r="A4863" i="1"/>
  <c r="D4863" i="1"/>
  <c r="E4863" i="1"/>
  <c r="A4864" i="1"/>
  <c r="D4864" i="1"/>
  <c r="E4864" i="1"/>
  <c r="A4865" i="1"/>
  <c r="D4865" i="1"/>
  <c r="E4865" i="1"/>
  <c r="A4866" i="1"/>
  <c r="D4866" i="1"/>
  <c r="E4866" i="1"/>
  <c r="A4867" i="1"/>
  <c r="D4867" i="1"/>
  <c r="A4868" i="1"/>
  <c r="D4868" i="1"/>
  <c r="E4868" i="1"/>
  <c r="A4869" i="1"/>
  <c r="D4869" i="1"/>
  <c r="E4869" i="1"/>
  <c r="A4870" i="1"/>
  <c r="D4870" i="1"/>
  <c r="E4870" i="1"/>
  <c r="A4871" i="1"/>
  <c r="D4871" i="1"/>
  <c r="E4871" i="1"/>
  <c r="A4872" i="1"/>
  <c r="D4872" i="1"/>
  <c r="A4873" i="1"/>
  <c r="D4873" i="1"/>
  <c r="A4874" i="1"/>
  <c r="D4874" i="1"/>
  <c r="E4874" i="1"/>
  <c r="A4875" i="1"/>
  <c r="D4875" i="1"/>
  <c r="E4875" i="1"/>
  <c r="A4876" i="1"/>
  <c r="D4876" i="1"/>
  <c r="E4876" i="1"/>
  <c r="A4877" i="1"/>
  <c r="D4877" i="1"/>
  <c r="E4877" i="1"/>
  <c r="A4878" i="1"/>
  <c r="D4878" i="1"/>
  <c r="E4878" i="1"/>
  <c r="A4879" i="1"/>
  <c r="D4879" i="1"/>
  <c r="E4879" i="1"/>
  <c r="A4880" i="1"/>
  <c r="D4880" i="1"/>
  <c r="E4880" i="1"/>
  <c r="A4881" i="1"/>
  <c r="D4881" i="1"/>
  <c r="E4881" i="1"/>
  <c r="A4882" i="1"/>
  <c r="D4882" i="1"/>
  <c r="E4882" i="1"/>
  <c r="A4883" i="1"/>
  <c r="D4883" i="1"/>
  <c r="E4883" i="1"/>
  <c r="A4884" i="1"/>
  <c r="D4884" i="1"/>
  <c r="E4884" i="1"/>
  <c r="A4885" i="1"/>
  <c r="D4885" i="1"/>
  <c r="E4885" i="1"/>
  <c r="A4886" i="1"/>
  <c r="D4886" i="1"/>
  <c r="E4886" i="1"/>
  <c r="A4887" i="1"/>
  <c r="D4887" i="1"/>
  <c r="E4887" i="1"/>
  <c r="A4888" i="1"/>
  <c r="D4888" i="1"/>
  <c r="E4888" i="1"/>
  <c r="A4889" i="1"/>
  <c r="D4889" i="1"/>
  <c r="E4889" i="1"/>
  <c r="A4890" i="1"/>
  <c r="D4890" i="1"/>
  <c r="E4890" i="1"/>
  <c r="A4891" i="1"/>
  <c r="D4891" i="1"/>
  <c r="E4891" i="1"/>
  <c r="A4892" i="1"/>
  <c r="D4892" i="1"/>
  <c r="E4892" i="1"/>
  <c r="A4893" i="1"/>
  <c r="D4893" i="1"/>
  <c r="E4893" i="1"/>
  <c r="A4894" i="1"/>
  <c r="D4894" i="1"/>
  <c r="A4895" i="1"/>
  <c r="D4895" i="1"/>
  <c r="E4895" i="1"/>
  <c r="A4896" i="1"/>
  <c r="D4896" i="1"/>
  <c r="E4896" i="1"/>
  <c r="A4897" i="1"/>
  <c r="D4897" i="1"/>
  <c r="E4897" i="1"/>
  <c r="A4898" i="1"/>
  <c r="D4898" i="1"/>
  <c r="E4898" i="1"/>
  <c r="A4899" i="1"/>
  <c r="D4899" i="1"/>
  <c r="A4900" i="1"/>
  <c r="D4900" i="1"/>
  <c r="E4900" i="1"/>
  <c r="A4901" i="1"/>
  <c r="D4901" i="1"/>
  <c r="E4901" i="1"/>
  <c r="A4902" i="1"/>
  <c r="D4902" i="1"/>
  <c r="E4902" i="1"/>
  <c r="A4903" i="1"/>
  <c r="D4903" i="1"/>
  <c r="E4903" i="1"/>
  <c r="A4904" i="1"/>
  <c r="D4904" i="1"/>
  <c r="E4904" i="1"/>
  <c r="A4905" i="1"/>
  <c r="D4905" i="1"/>
  <c r="A4906" i="1"/>
  <c r="D4906" i="1"/>
  <c r="A4907" i="1"/>
  <c r="D4907" i="1"/>
  <c r="A4908" i="1"/>
  <c r="D4908" i="1"/>
  <c r="A4909" i="1"/>
  <c r="D4909" i="1"/>
  <c r="E4909" i="1"/>
  <c r="A4910" i="1"/>
  <c r="D4910" i="1"/>
  <c r="E4910" i="1"/>
  <c r="A4911" i="1"/>
  <c r="D4911" i="1"/>
  <c r="E4911" i="1"/>
  <c r="A4912" i="1"/>
  <c r="D4912" i="1"/>
  <c r="E4912" i="1"/>
  <c r="A4913" i="1"/>
  <c r="D4913" i="1"/>
  <c r="E4913" i="1"/>
  <c r="A4914" i="1"/>
  <c r="D4914" i="1"/>
  <c r="E4914" i="1"/>
  <c r="A4915" i="1"/>
  <c r="D4915" i="1"/>
  <c r="E4915" i="1"/>
  <c r="A4916" i="1"/>
  <c r="D4916" i="1"/>
  <c r="E4916" i="1"/>
  <c r="A4917" i="1"/>
  <c r="D4917" i="1"/>
  <c r="E4917" i="1"/>
  <c r="A4918" i="1"/>
  <c r="D4918" i="1"/>
  <c r="E4918" i="1"/>
  <c r="A4919" i="1"/>
  <c r="D4919" i="1"/>
  <c r="E4919" i="1"/>
  <c r="A4920" i="1"/>
  <c r="D4920" i="1"/>
  <c r="E4920" i="1"/>
  <c r="A4921" i="1"/>
  <c r="D4921" i="1"/>
  <c r="E4921" i="1"/>
  <c r="A4922" i="1"/>
  <c r="D4922" i="1"/>
  <c r="E4922" i="1"/>
  <c r="A4923" i="1"/>
  <c r="D4923" i="1"/>
  <c r="E4923" i="1"/>
  <c r="A4924" i="1"/>
  <c r="D4924" i="1"/>
  <c r="E4924" i="1"/>
  <c r="A4925" i="1"/>
  <c r="D4925" i="1"/>
  <c r="E4925" i="1"/>
  <c r="A4926" i="1"/>
  <c r="D4926" i="1"/>
  <c r="E4926" i="1"/>
  <c r="A4927" i="1"/>
  <c r="D4927" i="1"/>
  <c r="E4927" i="1"/>
  <c r="A4928" i="1"/>
  <c r="D4928" i="1"/>
  <c r="E4928" i="1"/>
  <c r="A4929" i="1"/>
  <c r="D4929" i="1"/>
  <c r="A4930" i="1"/>
  <c r="D4930" i="1"/>
  <c r="E4930" i="1"/>
  <c r="A4931" i="1"/>
  <c r="D4931" i="1"/>
  <c r="E4931" i="1"/>
  <c r="A4932" i="1"/>
  <c r="D4932" i="1"/>
  <c r="E4932" i="1"/>
  <c r="A4933" i="1"/>
  <c r="D4933" i="1"/>
  <c r="E4933" i="1"/>
  <c r="A4934" i="1"/>
  <c r="D4934" i="1"/>
  <c r="E4934" i="1"/>
  <c r="A4935" i="1"/>
  <c r="D4935" i="1"/>
  <c r="E4935" i="1"/>
  <c r="A4936" i="1"/>
  <c r="D4936" i="1"/>
  <c r="E4936" i="1"/>
  <c r="A4937" i="1"/>
  <c r="D4937" i="1"/>
  <c r="E4937" i="1"/>
  <c r="A4938" i="1"/>
  <c r="D4938" i="1"/>
  <c r="E4938" i="1"/>
  <c r="A4939" i="1"/>
  <c r="D4939" i="1"/>
  <c r="E4939" i="1"/>
  <c r="A4940" i="1"/>
  <c r="D4940" i="1"/>
  <c r="E4940" i="1"/>
  <c r="A4941" i="1"/>
  <c r="D4941" i="1"/>
  <c r="E4941" i="1"/>
  <c r="A4942" i="1"/>
  <c r="D4942" i="1"/>
  <c r="E4942" i="1"/>
  <c r="A4943" i="1"/>
  <c r="D4943" i="1"/>
  <c r="E4943" i="1"/>
  <c r="A4944" i="1"/>
  <c r="D4944" i="1"/>
  <c r="E4944" i="1"/>
  <c r="A4945" i="1"/>
  <c r="D4945" i="1"/>
  <c r="E4945" i="1"/>
  <c r="A4946" i="1"/>
  <c r="D4946" i="1"/>
  <c r="E4946" i="1"/>
  <c r="A4947" i="1"/>
  <c r="D4947" i="1"/>
  <c r="E4947" i="1"/>
  <c r="A4948" i="1"/>
  <c r="D4948" i="1"/>
  <c r="E4948" i="1"/>
  <c r="A4949" i="1"/>
  <c r="D4949" i="1"/>
  <c r="E4949" i="1"/>
  <c r="A4950" i="1"/>
  <c r="D4950" i="1"/>
  <c r="E4950" i="1"/>
  <c r="A4951" i="1"/>
  <c r="D4951" i="1"/>
  <c r="E4951" i="1"/>
  <c r="A4952" i="1"/>
  <c r="D4952" i="1"/>
  <c r="E4952" i="1"/>
  <c r="A4953" i="1"/>
  <c r="D4953" i="1"/>
  <c r="E4953" i="1"/>
  <c r="A4954" i="1"/>
  <c r="D4954" i="1"/>
  <c r="E4954" i="1"/>
  <c r="A4955" i="1"/>
  <c r="D4955" i="1"/>
  <c r="E4955" i="1"/>
  <c r="A4956" i="1"/>
  <c r="D4956" i="1"/>
  <c r="E4956" i="1"/>
  <c r="A4957" i="1"/>
  <c r="D4957" i="1"/>
  <c r="E4957" i="1"/>
  <c r="A4958" i="1"/>
  <c r="D4958" i="1"/>
  <c r="E4958" i="1"/>
  <c r="A4959" i="1"/>
  <c r="D4959" i="1"/>
  <c r="E4959" i="1"/>
  <c r="A4960" i="1"/>
  <c r="D4960" i="1"/>
  <c r="E4960" i="1"/>
  <c r="A4961" i="1"/>
  <c r="D4961" i="1"/>
  <c r="E4961" i="1"/>
  <c r="A4962" i="1"/>
  <c r="D4962" i="1"/>
  <c r="E4962" i="1"/>
  <c r="A4963" i="1"/>
  <c r="D4963" i="1"/>
  <c r="E4963" i="1"/>
  <c r="A4964" i="1"/>
  <c r="D4964" i="1"/>
  <c r="E4964" i="1"/>
  <c r="A4965" i="1"/>
  <c r="D4965" i="1"/>
  <c r="E4965" i="1"/>
  <c r="A4966" i="1"/>
  <c r="D4966" i="1"/>
  <c r="E4966" i="1"/>
  <c r="A4967" i="1"/>
  <c r="D4967" i="1"/>
  <c r="E4967" i="1"/>
  <c r="A4968" i="1"/>
  <c r="D4968" i="1"/>
  <c r="E4968" i="1"/>
  <c r="A4969" i="1"/>
  <c r="D4969" i="1"/>
  <c r="E4969" i="1"/>
  <c r="A4970" i="1"/>
  <c r="D4970" i="1"/>
  <c r="E4970" i="1"/>
  <c r="A4971" i="1"/>
  <c r="D4971" i="1"/>
  <c r="E4971" i="1"/>
  <c r="A4972" i="1"/>
  <c r="D4972" i="1"/>
  <c r="E4972" i="1"/>
  <c r="A4973" i="1"/>
  <c r="D4973" i="1"/>
  <c r="E4973" i="1"/>
  <c r="A4974" i="1"/>
  <c r="D4974" i="1"/>
  <c r="E4974" i="1"/>
  <c r="A4975" i="1"/>
  <c r="D4975" i="1"/>
  <c r="E4975" i="1"/>
  <c r="A4976" i="1"/>
  <c r="D4976" i="1"/>
  <c r="E4976" i="1"/>
  <c r="A4977" i="1"/>
  <c r="D4977" i="1"/>
  <c r="E4977" i="1"/>
  <c r="A4978" i="1"/>
  <c r="D4978" i="1"/>
  <c r="E4978" i="1"/>
  <c r="A4979" i="1"/>
  <c r="D4979" i="1"/>
  <c r="E4979" i="1"/>
  <c r="A4980" i="1"/>
  <c r="D4980" i="1"/>
  <c r="E4980" i="1"/>
  <c r="A4981" i="1"/>
  <c r="D4981" i="1"/>
  <c r="E4981" i="1"/>
  <c r="A4982" i="1"/>
  <c r="D4982" i="1"/>
  <c r="E4982" i="1"/>
  <c r="A4983" i="1"/>
  <c r="D4983" i="1"/>
  <c r="E4983" i="1"/>
  <c r="A4984" i="1"/>
  <c r="D4984" i="1"/>
  <c r="E4984" i="1"/>
  <c r="A4985" i="1"/>
  <c r="D4985" i="1"/>
  <c r="E4985" i="1"/>
  <c r="A4986" i="1"/>
  <c r="D4986" i="1"/>
  <c r="E4986" i="1"/>
  <c r="A4987" i="1"/>
  <c r="D4987" i="1"/>
  <c r="E4987" i="1"/>
  <c r="A4988" i="1"/>
  <c r="D4988" i="1"/>
  <c r="E4988" i="1"/>
  <c r="A4989" i="1"/>
  <c r="D4989" i="1"/>
  <c r="E4989" i="1"/>
  <c r="A4990" i="1"/>
  <c r="D4990" i="1"/>
  <c r="E4990" i="1"/>
  <c r="A4991" i="1"/>
  <c r="D4991" i="1"/>
  <c r="E4991" i="1"/>
  <c r="A4992" i="1"/>
  <c r="D4992" i="1"/>
  <c r="E4992" i="1"/>
  <c r="A4993" i="1"/>
  <c r="D4993" i="1"/>
  <c r="E4993" i="1"/>
  <c r="A4994" i="1"/>
  <c r="D4994" i="1"/>
  <c r="E4994" i="1"/>
  <c r="A4995" i="1"/>
  <c r="D4995" i="1"/>
  <c r="A4996" i="1"/>
  <c r="D4996" i="1"/>
  <c r="E4996" i="1"/>
  <c r="A4997" i="1"/>
  <c r="D4997" i="1"/>
  <c r="E4997" i="1"/>
  <c r="A4998" i="1"/>
  <c r="D4998" i="1"/>
  <c r="E4998" i="1"/>
  <c r="A4999" i="1"/>
  <c r="D4999" i="1"/>
  <c r="A5000" i="1"/>
  <c r="D5000" i="1"/>
  <c r="E5000" i="1"/>
  <c r="A5001" i="1"/>
  <c r="D5001" i="1"/>
  <c r="E5001" i="1"/>
  <c r="A5002" i="1"/>
  <c r="D5002" i="1"/>
  <c r="E5002" i="1"/>
  <c r="A5003" i="1"/>
  <c r="D5003" i="1"/>
  <c r="E5003" i="1"/>
  <c r="A5004" i="1"/>
  <c r="D5004" i="1"/>
  <c r="E5004" i="1"/>
  <c r="A5005" i="1"/>
  <c r="D5005" i="1"/>
  <c r="E5005" i="1"/>
  <c r="A5006" i="1"/>
  <c r="D5006" i="1"/>
  <c r="E5006" i="1"/>
  <c r="A5007" i="1"/>
  <c r="D5007" i="1"/>
  <c r="E5007" i="1"/>
  <c r="A5008" i="1"/>
  <c r="D5008" i="1"/>
  <c r="E5008" i="1"/>
  <c r="A5009" i="1"/>
  <c r="D5009" i="1"/>
  <c r="E5009" i="1"/>
  <c r="A5010" i="1"/>
  <c r="D5010" i="1"/>
  <c r="E5010" i="1"/>
  <c r="A5011" i="1"/>
  <c r="D5011" i="1"/>
  <c r="E5011" i="1"/>
  <c r="A5012" i="1"/>
  <c r="D5012" i="1"/>
  <c r="E5012" i="1"/>
  <c r="A5013" i="1"/>
  <c r="D5013" i="1"/>
  <c r="E5013" i="1"/>
  <c r="A5014" i="1"/>
  <c r="D5014" i="1"/>
  <c r="E5014" i="1"/>
  <c r="A5015" i="1"/>
  <c r="D5015" i="1"/>
  <c r="E5015" i="1"/>
  <c r="A5016" i="1"/>
  <c r="D5016" i="1"/>
  <c r="E5016" i="1"/>
  <c r="A5017" i="1"/>
  <c r="D5017" i="1"/>
  <c r="E5017" i="1"/>
  <c r="A5018" i="1"/>
  <c r="D5018" i="1"/>
  <c r="E5018" i="1"/>
  <c r="A5019" i="1"/>
  <c r="D5019" i="1"/>
  <c r="E5019" i="1"/>
  <c r="A5020" i="1"/>
  <c r="D5020" i="1"/>
  <c r="E5020" i="1"/>
  <c r="A5021" i="1"/>
  <c r="D5021" i="1"/>
  <c r="E5021" i="1"/>
  <c r="A5022" i="1"/>
  <c r="D5022" i="1"/>
  <c r="E5022" i="1"/>
  <c r="A5023" i="1"/>
  <c r="D5023" i="1"/>
  <c r="E5023" i="1"/>
  <c r="A5024" i="1"/>
  <c r="D5024" i="1"/>
  <c r="E5024" i="1"/>
  <c r="A5025" i="1"/>
  <c r="D5025" i="1"/>
  <c r="E5025" i="1"/>
  <c r="A5026" i="1"/>
  <c r="D5026" i="1"/>
  <c r="E5026" i="1"/>
  <c r="A5027" i="1"/>
  <c r="D5027" i="1"/>
  <c r="E5027" i="1"/>
  <c r="A5028" i="1"/>
  <c r="D5028" i="1"/>
  <c r="E5028" i="1"/>
  <c r="A5029" i="1"/>
  <c r="D5029" i="1"/>
  <c r="E5029" i="1"/>
  <c r="A5030" i="1"/>
  <c r="D5030" i="1"/>
  <c r="E5030" i="1"/>
  <c r="A5031" i="1"/>
  <c r="D5031" i="1"/>
  <c r="E5031" i="1"/>
  <c r="A5032" i="1"/>
  <c r="D5032" i="1"/>
  <c r="E5032" i="1"/>
  <c r="A5033" i="1"/>
  <c r="D5033" i="1"/>
  <c r="E5033" i="1"/>
  <c r="A5034" i="1"/>
  <c r="D5034" i="1"/>
  <c r="E5034" i="1"/>
  <c r="A5035" i="1"/>
  <c r="D5035" i="1"/>
  <c r="E5035" i="1"/>
  <c r="A5036" i="1"/>
  <c r="D5036" i="1"/>
  <c r="E5036" i="1"/>
  <c r="A5037" i="1"/>
  <c r="D5037" i="1"/>
  <c r="E5037" i="1"/>
  <c r="A5038" i="1"/>
  <c r="D5038" i="1"/>
  <c r="E5038" i="1"/>
  <c r="A5039" i="1"/>
  <c r="D5039" i="1"/>
  <c r="E5039" i="1"/>
  <c r="A5040" i="1"/>
  <c r="D5040" i="1"/>
  <c r="E5040" i="1"/>
  <c r="A5041" i="1"/>
  <c r="D5041" i="1"/>
  <c r="E5041" i="1"/>
  <c r="A5042" i="1"/>
  <c r="D5042" i="1"/>
  <c r="E5042" i="1"/>
  <c r="A5043" i="1"/>
  <c r="D5043" i="1"/>
  <c r="E5043" i="1"/>
  <c r="A5044" i="1"/>
  <c r="D5044" i="1"/>
  <c r="E5044" i="1"/>
  <c r="A5045" i="1"/>
  <c r="D5045" i="1"/>
  <c r="E5045" i="1"/>
  <c r="A5046" i="1"/>
  <c r="D5046" i="1"/>
  <c r="E5046" i="1"/>
  <c r="A5047" i="1"/>
  <c r="D5047" i="1"/>
  <c r="E5047" i="1"/>
  <c r="A5048" i="1"/>
  <c r="D5048" i="1"/>
  <c r="E5048" i="1"/>
  <c r="A5049" i="1"/>
  <c r="D5049" i="1"/>
  <c r="E5049" i="1"/>
  <c r="A5050" i="1"/>
  <c r="D5050" i="1"/>
  <c r="E5050" i="1"/>
  <c r="A5051" i="1"/>
  <c r="D5051" i="1"/>
  <c r="E5051" i="1"/>
  <c r="A5052" i="1"/>
  <c r="D5052" i="1"/>
  <c r="E5052" i="1"/>
  <c r="A5053" i="1"/>
  <c r="D5053" i="1"/>
  <c r="E5053" i="1"/>
  <c r="A5054" i="1"/>
  <c r="D5054" i="1"/>
  <c r="E5054" i="1"/>
  <c r="A5055" i="1"/>
  <c r="D5055" i="1"/>
  <c r="E5055" i="1"/>
  <c r="A5056" i="1"/>
  <c r="D5056" i="1"/>
  <c r="E5056" i="1"/>
  <c r="A5057" i="1"/>
  <c r="D5057" i="1"/>
  <c r="E5057" i="1"/>
  <c r="A5058" i="1"/>
  <c r="D5058" i="1"/>
  <c r="E5058" i="1"/>
  <c r="A5059" i="1"/>
  <c r="D5059" i="1"/>
  <c r="E5059" i="1"/>
  <c r="A5060" i="1"/>
  <c r="D5060" i="1"/>
  <c r="E5060" i="1"/>
  <c r="A5061" i="1"/>
  <c r="D5061" i="1"/>
  <c r="E5061" i="1"/>
  <c r="A5062" i="1"/>
  <c r="D5062" i="1"/>
  <c r="E5062" i="1"/>
  <c r="A5063" i="1"/>
  <c r="D5063" i="1"/>
  <c r="E5063" i="1"/>
  <c r="A5064" i="1"/>
  <c r="D5064" i="1"/>
  <c r="E5064" i="1"/>
  <c r="A5065" i="1"/>
  <c r="D5065" i="1"/>
  <c r="E5065" i="1"/>
  <c r="A5066" i="1"/>
  <c r="D5066" i="1"/>
  <c r="E5066" i="1"/>
  <c r="A5067" i="1"/>
  <c r="D5067" i="1"/>
  <c r="E5067" i="1"/>
  <c r="A5068" i="1"/>
  <c r="D5068" i="1"/>
  <c r="E5068" i="1"/>
  <c r="A5069" i="1"/>
  <c r="D5069" i="1"/>
  <c r="E5069" i="1"/>
  <c r="A5070" i="1"/>
  <c r="D5070" i="1"/>
  <c r="E5070" i="1"/>
  <c r="A5071" i="1"/>
  <c r="D5071" i="1"/>
  <c r="E5071" i="1"/>
  <c r="A5072" i="1"/>
  <c r="D5072" i="1"/>
  <c r="E5072" i="1"/>
  <c r="A5073" i="1"/>
  <c r="D5073" i="1"/>
  <c r="E5073" i="1"/>
  <c r="A5074" i="1"/>
  <c r="D5074" i="1"/>
  <c r="E5074" i="1"/>
  <c r="A5075" i="1"/>
  <c r="D5075" i="1"/>
  <c r="E5075" i="1"/>
  <c r="A5076" i="1"/>
  <c r="D5076" i="1"/>
  <c r="E5076" i="1"/>
  <c r="A5077" i="1"/>
  <c r="D5077" i="1"/>
  <c r="E5077" i="1"/>
  <c r="A5078" i="1"/>
  <c r="D5078" i="1"/>
  <c r="E5078" i="1"/>
  <c r="A5079" i="1"/>
  <c r="D5079" i="1"/>
  <c r="E5079" i="1"/>
  <c r="A5080" i="1"/>
  <c r="D5080" i="1"/>
  <c r="E5080" i="1"/>
  <c r="A5081" i="1"/>
  <c r="D5081" i="1"/>
  <c r="E5081" i="1"/>
  <c r="A5082" i="1"/>
  <c r="D5082" i="1"/>
  <c r="E5082" i="1"/>
  <c r="A5083" i="1"/>
  <c r="D5083" i="1"/>
  <c r="E5083" i="1"/>
  <c r="A5084" i="1"/>
  <c r="D5084" i="1"/>
  <c r="E5084" i="1"/>
  <c r="A5085" i="1"/>
  <c r="D5085" i="1"/>
  <c r="E5085" i="1"/>
  <c r="A5086" i="1"/>
  <c r="D5086" i="1"/>
  <c r="E5086" i="1"/>
  <c r="A5087" i="1"/>
  <c r="D5087" i="1"/>
  <c r="E5087" i="1"/>
  <c r="A5088" i="1"/>
  <c r="D5088" i="1"/>
  <c r="E5088" i="1"/>
  <c r="A5089" i="1"/>
  <c r="D5089" i="1"/>
  <c r="E5089" i="1"/>
  <c r="A5090" i="1"/>
  <c r="D5090" i="1"/>
  <c r="E5090" i="1"/>
  <c r="A5091" i="1"/>
  <c r="D5091" i="1"/>
  <c r="E5091" i="1"/>
  <c r="A5092" i="1"/>
  <c r="D5092" i="1"/>
  <c r="E5092" i="1"/>
  <c r="A5093" i="1"/>
  <c r="D5093" i="1"/>
  <c r="E5093" i="1"/>
  <c r="A5094" i="1"/>
  <c r="D5094" i="1"/>
  <c r="E5094" i="1"/>
  <c r="A5095" i="1"/>
  <c r="D5095" i="1"/>
  <c r="E5095" i="1"/>
  <c r="A5096" i="1"/>
  <c r="D5096" i="1"/>
  <c r="E5096" i="1"/>
  <c r="A5097" i="1"/>
  <c r="D5097" i="1"/>
  <c r="E5097" i="1"/>
  <c r="A5098" i="1"/>
  <c r="D5098" i="1"/>
  <c r="E5098" i="1"/>
  <c r="A5099" i="1"/>
  <c r="D5099" i="1"/>
  <c r="E5099" i="1"/>
  <c r="A5100" i="1"/>
  <c r="D5100" i="1"/>
  <c r="E5100" i="1"/>
  <c r="A5101" i="1"/>
  <c r="D5101" i="1"/>
  <c r="E5101" i="1"/>
  <c r="A5102" i="1"/>
  <c r="D5102" i="1"/>
  <c r="E5102" i="1"/>
  <c r="A5103" i="1"/>
  <c r="D5103" i="1"/>
  <c r="E5103" i="1"/>
  <c r="A5104" i="1"/>
  <c r="D5104" i="1"/>
  <c r="E5104" i="1"/>
</calcChain>
</file>

<file path=xl/sharedStrings.xml><?xml version="1.0" encoding="utf-8"?>
<sst xmlns="http://schemas.openxmlformats.org/spreadsheetml/2006/main" count="5173" uniqueCount="4892">
  <si>
    <t>Description</t>
  </si>
  <si>
    <t>CALL BACK</t>
  </si>
  <si>
    <t>SEMI PVT ROOM &amp; BED</t>
  </si>
  <si>
    <t>OBSERV 23HR-HOURLY RATE</t>
  </si>
  <si>
    <t>O/P SURGERY ROOM CHG</t>
  </si>
  <si>
    <t>OBSERV FIRST HR-OP</t>
  </si>
  <si>
    <t>TREAT/PROC RM CHG</t>
  </si>
  <si>
    <t>ROOM CHG-IP CHEM DEP</t>
  </si>
  <si>
    <t>SNF WARD ROOM &amp; BD</t>
  </si>
  <si>
    <t>SUBACUTE OTHER RM CH</t>
  </si>
  <si>
    <t>SUBACUTE ROOM CHG ADJUSTMENT</t>
  </si>
  <si>
    <t>SUBACUTE/VENT RM CHG</t>
  </si>
  <si>
    <t>A &amp; P INST TRAY</t>
  </si>
  <si>
    <t>SOMATOSENSORY MONITOR</t>
  </si>
  <si>
    <t>BED-SD DILATION-E</t>
  </si>
  <si>
    <t>CIRCUMCISION</t>
  </si>
  <si>
    <t>LONG INSTRUMENT TRY</t>
  </si>
  <si>
    <t>LAMINECTOMY INST I</t>
  </si>
  <si>
    <t>LAMINECTOMY INST II</t>
  </si>
  <si>
    <t>EMERGENCY SET UP</t>
  </si>
  <si>
    <t>NASAL INSTRUMENT TR</t>
  </si>
  <si>
    <t>TOTAL KNEE INST</t>
  </si>
  <si>
    <t>OR MONITOR</t>
  </si>
  <si>
    <t>EKG MONITOR-RECOV</t>
  </si>
  <si>
    <t>OR SET MINOR</t>
  </si>
  <si>
    <t>OR SET MAJOR I</t>
  </si>
  <si>
    <t>OR SET MAJOR II</t>
  </si>
  <si>
    <t>SECOND PROCEDURE OR</t>
  </si>
  <si>
    <t>SURG RM SET-UP</t>
  </si>
  <si>
    <t>WALL SUCTION</t>
  </si>
  <si>
    <t>ARTHROSCOPY KNIVES</t>
  </si>
  <si>
    <t>MJR I ADD.25HR</t>
  </si>
  <si>
    <t>MJR I OR 1.00HR</t>
  </si>
  <si>
    <t>MJR I OR 1.25HR</t>
  </si>
  <si>
    <t>MJR I OR 1.50HR</t>
  </si>
  <si>
    <t>MJR I OR 1.75HR</t>
  </si>
  <si>
    <t>MJR I OR 2.00HR</t>
  </si>
  <si>
    <t>MJR I OR 2.25HR</t>
  </si>
  <si>
    <t>MJR I OR 2.50HR</t>
  </si>
  <si>
    <t>MJR I OR 2.75HR</t>
  </si>
  <si>
    <t>MJR I OR 3.00HR</t>
  </si>
  <si>
    <t>MJR I OR 3.25HR</t>
  </si>
  <si>
    <t>MJR I OR 3.50HR</t>
  </si>
  <si>
    <t>MJR I OR 3.75HR</t>
  </si>
  <si>
    <t>MJR I OR 4.00HR</t>
  </si>
  <si>
    <t>MJR I OR 4.25HR</t>
  </si>
  <si>
    <t>MJR I OR 4.50HR</t>
  </si>
  <si>
    <t>MJR I OR 4.75HR</t>
  </si>
  <si>
    <t>MJR I OR 5.00HR</t>
  </si>
  <si>
    <t>MJR I OR 5.25HR</t>
  </si>
  <si>
    <t>MJR I OR 5.50HR</t>
  </si>
  <si>
    <t>MJR I OR 5.75HR</t>
  </si>
  <si>
    <t>MJR I OR 6.00HR</t>
  </si>
  <si>
    <t>MINR SURG .45HR</t>
  </si>
  <si>
    <t>MINR SURG 1.00HR</t>
  </si>
  <si>
    <t>MINR SURG 1.25HR</t>
  </si>
  <si>
    <t>MINR SURG 1.50HR</t>
  </si>
  <si>
    <t>MINR SURG 1.75HR</t>
  </si>
  <si>
    <t>MINR SURG 2.00HR</t>
  </si>
  <si>
    <t>MINR SURG 2.25HR</t>
  </si>
  <si>
    <t>MINR SURG 2.50HR</t>
  </si>
  <si>
    <t>MINR SURG 2.75HR</t>
  </si>
  <si>
    <t>MINR SURG 3.00HR</t>
  </si>
  <si>
    <t>MINR SURG 3.25HR</t>
  </si>
  <si>
    <t>MINR SURG 3.50HR</t>
  </si>
  <si>
    <t>MINR SURG 3.75HR</t>
  </si>
  <si>
    <t>MINR SURG 4.00HR</t>
  </si>
  <si>
    <t>MINR OR +.25HR</t>
  </si>
  <si>
    <t>MJR II OR 1.00H</t>
  </si>
  <si>
    <t>MJR II OR 1.25H</t>
  </si>
  <si>
    <t>MJR II OR 1.50H</t>
  </si>
  <si>
    <t>MJR II OR 1.75H</t>
  </si>
  <si>
    <t>MJR II OR 2.00H</t>
  </si>
  <si>
    <t>MJR II OR 2.25H</t>
  </si>
  <si>
    <t>MJR II OR 2.50H</t>
  </si>
  <si>
    <t>MJR II OR 2.75H</t>
  </si>
  <si>
    <t>MJR II OR 3.00H</t>
  </si>
  <si>
    <t>MJR II OR 3.25H</t>
  </si>
  <si>
    <t>MJR II OR 3.50H</t>
  </si>
  <si>
    <t>MJR II OR 3.75H</t>
  </si>
  <si>
    <t>MJR II OR 4.00H</t>
  </si>
  <si>
    <t>MJR II OR 4.25H</t>
  </si>
  <si>
    <t>MJR II OR 4.50H</t>
  </si>
  <si>
    <t>MJR II OR 4.75H</t>
  </si>
  <si>
    <t>MJR II OR 5.00H</t>
  </si>
  <si>
    <t>MJR II OR 5.25H</t>
  </si>
  <si>
    <t>MJR II OR 5.50H</t>
  </si>
  <si>
    <t>MJR II OR 5.75H</t>
  </si>
  <si>
    <t>MJR II OR 6.00H</t>
  </si>
  <si>
    <t>MJR II OR +.25H</t>
  </si>
  <si>
    <t>REC RM 1.00HR</t>
  </si>
  <si>
    <t>REC RM 1.25HR</t>
  </si>
  <si>
    <t>REC RM 1.50HR</t>
  </si>
  <si>
    <t>REC RM 1.75HR</t>
  </si>
  <si>
    <t>REC RM 2.00HR</t>
  </si>
  <si>
    <t>REC RM 2.25HR</t>
  </si>
  <si>
    <t>REC RM 2.50HR</t>
  </si>
  <si>
    <t>REC RM +.25HR</t>
  </si>
  <si>
    <t>SURG CNTMNTD CS</t>
  </si>
  <si>
    <t>EGD</t>
  </si>
  <si>
    <t>EGD/BIOPSY</t>
  </si>
  <si>
    <t>ELECTRECAUTRY TRANS</t>
  </si>
  <si>
    <t>ESOPHA/SCLEROTHERAPY</t>
  </si>
  <si>
    <t>ARTHROSCOPE</t>
  </si>
  <si>
    <t>COLONOSCOPY</t>
  </si>
  <si>
    <t>CAST APP SHT BEDSDE</t>
  </si>
  <si>
    <t>COLONOSCOPY/BIOPSY</t>
  </si>
  <si>
    <t>CAST APP LNG BEDSDE</t>
  </si>
  <si>
    <t>COLONOSCOPY/POLYPECT</t>
  </si>
  <si>
    <t>COLONOSCOPY SET</t>
  </si>
  <si>
    <t>CYSTOSCOPE</t>
  </si>
  <si>
    <t>POLYPECTOMY</t>
  </si>
  <si>
    <t>ESOPHAGEAL DILATATIO</t>
  </si>
  <si>
    <t>ESOPHAGOSCOPY</t>
  </si>
  <si>
    <t>ESOPHAGOSCOPY/BIOPSY</t>
  </si>
  <si>
    <t>CARDIO VERSION</t>
  </si>
  <si>
    <t>RENAL BIOPSY</t>
  </si>
  <si>
    <t>SIGMOIDOSCOPY</t>
  </si>
  <si>
    <t>SIGMOIDOSCOPY/BIOPSY</t>
  </si>
  <si>
    <t>BRONCHOSCOPY</t>
  </si>
  <si>
    <t>BRONCHOSCOPY/BIOPSY</t>
  </si>
  <si>
    <t>PARACENTESIS</t>
  </si>
  <si>
    <t>INSERT/REMV GROSHWG</t>
  </si>
  <si>
    <t>THORACENTESIS</t>
  </si>
  <si>
    <t>INSERT GASTROSO TUB</t>
  </si>
  <si>
    <t>ASPIRATION W-W/O/OBI</t>
  </si>
  <si>
    <t>REPLACE GASTROUS TUB</t>
  </si>
  <si>
    <t>CHEST TUBE INSERTION</t>
  </si>
  <si>
    <t>BEDSDE PROCDR 15-30</t>
  </si>
  <si>
    <t>INCISION/DRNG SIMPLE</t>
  </si>
  <si>
    <t>SUTURE/LACERATIONS</t>
  </si>
  <si>
    <t>COLOSTOMY OPENING</t>
  </si>
  <si>
    <t>RESECTORSCOPE</t>
  </si>
  <si>
    <t>BERKLEY SUCTION</t>
  </si>
  <si>
    <t>NERVE REPAIR TRAY</t>
  </si>
  <si>
    <t>BEDSDE PROCDR 30-45</t>
  </si>
  <si>
    <t>IV CUTDOWN</t>
  </si>
  <si>
    <t>SOFT TISSUE BIOPSY</t>
  </si>
  <si>
    <t>DECUBITUS DEBRIDEMEN</t>
  </si>
  <si>
    <t>INSERT QUINTON CATH</t>
  </si>
  <si>
    <t>SWAN GANZ CATH/INSER</t>
  </si>
  <si>
    <t>TRACHEOSTOMY</t>
  </si>
  <si>
    <t>BEDSDE PROCDR 45-60</t>
  </si>
  <si>
    <t>FEMORAL DIALYSIS</t>
  </si>
  <si>
    <t>SUBCL LINE/ARTER LIN</t>
  </si>
  <si>
    <t>LAMINECTOMY TRAY</t>
  </si>
  <si>
    <t>CENTRAL VENOUS PRESS</t>
  </si>
  <si>
    <t>MISC SURG PROC</t>
  </si>
  <si>
    <t>LIVER BIOPSY</t>
  </si>
  <si>
    <t>SPINAL TAP</t>
  </si>
  <si>
    <t>SURG TRAY MINOR</t>
  </si>
  <si>
    <t>SURG TRAY MAJOR</t>
  </si>
  <si>
    <t>EKG MONITOR</t>
  </si>
  <si>
    <t>FOOT PACKS</t>
  </si>
  <si>
    <t>TOWELS</t>
  </si>
  <si>
    <t>KNEE PACK</t>
  </si>
  <si>
    <t>VASC SUTURE</t>
  </si>
  <si>
    <t>MINOR SUTR SET</t>
  </si>
  <si>
    <t>PICC LINE INSERTION</t>
  </si>
  <si>
    <t>MAJOR SUTR SET</t>
  </si>
  <si>
    <t>BP MONITOR</t>
  </si>
  <si>
    <t>POWER EQUIPMENT</t>
  </si>
  <si>
    <t>SURG-TRAY STERILZN</t>
  </si>
  <si>
    <t>CANCELLED CASE</t>
  </si>
  <si>
    <t>LARYNGOSCOPE</t>
  </si>
  <si>
    <t>LARYNGOSCOPE TRAY</t>
  </si>
  <si>
    <t>GI LAB</t>
  </si>
  <si>
    <t>GI PROCED SET-UP</t>
  </si>
  <si>
    <t>EGD SET</t>
  </si>
  <si>
    <t>BIOPSY FORCEPS</t>
  </si>
  <si>
    <t>HYSTEROSCOPE</t>
  </si>
  <si>
    <t>INJECTORS</t>
  </si>
  <si>
    <t>POLYPECTOMY SNARES</t>
  </si>
  <si>
    <t>NON-DISP CATHETERS</t>
  </si>
  <si>
    <t>SIGMOID TRAY</t>
  </si>
  <si>
    <t>DUODENOSCOPE</t>
  </si>
  <si>
    <t>COLONOSCOPE</t>
  </si>
  <si>
    <t>GASTROSCOPE</t>
  </si>
  <si>
    <t>LIGHT SOURCE</t>
  </si>
  <si>
    <t>HEAD LIGHT</t>
  </si>
  <si>
    <t>GI VIDEO SET UP</t>
  </si>
  <si>
    <t>GASTROSCOPE W/VIDEO</t>
  </si>
  <si>
    <t>COLONOSCOPE W/VIDEO</t>
  </si>
  <si>
    <t>PORT SUCTION</t>
  </si>
  <si>
    <t>ELECT COAG UNIT</t>
  </si>
  <si>
    <t>ENDOSCOPE</t>
  </si>
  <si>
    <t>SIGMOIDOSCOPE</t>
  </si>
  <si>
    <t>INSERT BIL DRAIN TUB</t>
  </si>
  <si>
    <t>PERCUT ENDOSCOP GAST</t>
  </si>
  <si>
    <t>SUBCLAV DIALY-QUINTO</t>
  </si>
  <si>
    <t>VIDEO SETUP</t>
  </si>
  <si>
    <t>LAPARASCOPE</t>
  </si>
  <si>
    <t>BRONCHOSCOPE</t>
  </si>
  <si>
    <t>CAMERA G.I.</t>
  </si>
  <si>
    <t>BP MONITOR-RECV</t>
  </si>
  <si>
    <t>LASER EQUIP</t>
  </si>
  <si>
    <t>ORTHO TRAY</t>
  </si>
  <si>
    <t>MICROSCOPE-OR</t>
  </si>
  <si>
    <t>EXTEND PROCED TIME</t>
  </si>
  <si>
    <t>FLUOROSCAN</t>
  </si>
  <si>
    <t>ESOPHAGEAL DILATOR</t>
  </si>
  <si>
    <t>DEBRIDEMENT - SIMP.</t>
  </si>
  <si>
    <t>ARTHROSCOPY SCOPE TR</t>
  </si>
  <si>
    <t>CONE BIOPSY SET</t>
  </si>
  <si>
    <t>SKIN GRAFT INST SET</t>
  </si>
  <si>
    <t>LAPAROSCOPY SCOPE TR</t>
  </si>
  <si>
    <t>MICRO AIR SET</t>
  </si>
  <si>
    <t>MAJOR BASIN SET</t>
  </si>
  <si>
    <t>MINOR BASIN SET</t>
  </si>
  <si>
    <t>STEINMEN PIN SET</t>
  </si>
  <si>
    <t>C-SECTION INST TRAY</t>
  </si>
  <si>
    <t>ENT INST TRAY</t>
  </si>
  <si>
    <t>KNEE INSTRUMENT TRAY</t>
  </si>
  <si>
    <t>MAJOR INSTR TRAY</t>
  </si>
  <si>
    <t>MAXI DRIVER SET</t>
  </si>
  <si>
    <t>SMALL VASCULAR TRAY</t>
  </si>
  <si>
    <t>ARTHROSCOPY INST TRA</t>
  </si>
  <si>
    <t>ANKLE ARTHO INST TRA</t>
  </si>
  <si>
    <t>BASIC A-O SET</t>
  </si>
  <si>
    <t>BONE STAPLE SET</t>
  </si>
  <si>
    <t>FRAGMENT SET MINI</t>
  </si>
  <si>
    <t>FRAGMENT SET SMALL</t>
  </si>
  <si>
    <t>FRAGMENT SET LARGE</t>
  </si>
  <si>
    <t>HAND/FOOT INST TRAY</t>
  </si>
  <si>
    <t>MENISCUS INST TRAY</t>
  </si>
  <si>
    <t>ORTHO INST TRAY</t>
  </si>
  <si>
    <t>D&amp;C INSTRUMENT TRAY</t>
  </si>
  <si>
    <t>G I INSTRUMENT TRAY</t>
  </si>
  <si>
    <t>GALLBLADDER INST TRA</t>
  </si>
  <si>
    <t>HYSTERECTOMY INST TR</t>
  </si>
  <si>
    <t>HYSTEROSCOPY INST TR</t>
  </si>
  <si>
    <t>LAP EXTRA INST SET</t>
  </si>
  <si>
    <t>LG VASCULAR INST TRA</t>
  </si>
  <si>
    <t>MINI PLASTIC INST TR</t>
  </si>
  <si>
    <t>MINOR INST TRAY</t>
  </si>
  <si>
    <t>MYRINGOTOMY INST TRA</t>
  </si>
  <si>
    <t>PLASTIC INST TRAY</t>
  </si>
  <si>
    <t>RECTAL INST TRAY</t>
  </si>
  <si>
    <t>TONSIL INST TRAY</t>
  </si>
  <si>
    <t>BOVIE KIT</t>
  </si>
  <si>
    <t>CO2</t>
  </si>
  <si>
    <t>FIBER OPTIC CORD</t>
  </si>
  <si>
    <t>IMI WARMING UNIT</t>
  </si>
  <si>
    <t>MEDIASTINO SCOPE</t>
  </si>
  <si>
    <t>PATELLA SHAVER</t>
  </si>
  <si>
    <t>PHOTO PRINTER - OR</t>
  </si>
  <si>
    <t>POWER SAW/DRILL</t>
  </si>
  <si>
    <t>TOURNIQUET</t>
  </si>
  <si>
    <t>VIDEO CAMERA - OR</t>
  </si>
  <si>
    <t>VIDEO MONITOR - OR</t>
  </si>
  <si>
    <t>VIDEO REC/TAPE - OR</t>
  </si>
  <si>
    <t>INSUFLATOR</t>
  </si>
  <si>
    <t>OPER LAPRO INST TRAY</t>
  </si>
  <si>
    <t>CERVICAL CLOWARD TRA</t>
  </si>
  <si>
    <t>2ND PROCEDURE SETUP</t>
  </si>
  <si>
    <t>CAMERA POWER SOURCE</t>
  </si>
  <si>
    <t>CYSTO SET</t>
  </si>
  <si>
    <t>CONNULATED SCREW TRA</t>
  </si>
  <si>
    <t>ARTHROCARE &amp; WAND</t>
  </si>
  <si>
    <t>EXTERNAL FIX SET</t>
  </si>
  <si>
    <t>APPLY CAST A/L LONG</t>
  </si>
  <si>
    <t>APPLY CAST A/L SHRT</t>
  </si>
  <si>
    <t>ANT CERV FUSION TRAY</t>
  </si>
  <si>
    <t>HIGH ENERGY ESWT,PLA</t>
  </si>
  <si>
    <t>INSTRA TRAK SYSTEM</t>
  </si>
  <si>
    <t>SINUSCOPE</t>
  </si>
  <si>
    <t>SINUSCOPE TRAY</t>
  </si>
  <si>
    <t>NEUROLYTIC NERVE INJ</t>
  </si>
  <si>
    <t>EXTRACORP-PLANTAR FA</t>
  </si>
  <si>
    <t>EXTRACORP-EPICONDYLE</t>
  </si>
  <si>
    <t>CRYOTHERAPY</t>
  </si>
  <si>
    <t>BLOOD PATCH PROC.</t>
  </si>
  <si>
    <t>TROCHANTENIC BURSA</t>
  </si>
  <si>
    <t>LUMBAR EPIDURAL CONT</t>
  </si>
  <si>
    <t>CAUDAL EPIDURAL</t>
  </si>
  <si>
    <t>CERVICAL EPIDURAL</t>
  </si>
  <si>
    <t>LUMBAR EPIDURAL SNGL</t>
  </si>
  <si>
    <t>THORACIC EPIDURAL</t>
  </si>
  <si>
    <t>INTERCOSTAL NERVE BL</t>
  </si>
  <si>
    <t>INTERCOSTAL NV BL/AD</t>
  </si>
  <si>
    <t>TRIGGER PNT INJ</t>
  </si>
  <si>
    <t>STELLATE GANG NV BLK</t>
  </si>
  <si>
    <t>TRIGEMINAL BLOCK</t>
  </si>
  <si>
    <t>IV INFUSION THERAPY</t>
  </si>
  <si>
    <t>INJ KNEE</t>
  </si>
  <si>
    <t>NEUROSTIMULATOR REPO</t>
  </si>
  <si>
    <t>PARAVERTEBRAL BLK SG</t>
  </si>
  <si>
    <t>INJ SUBARACHNOID</t>
  </si>
  <si>
    <t>PARAVERTEBRAL BLK AD</t>
  </si>
  <si>
    <t>SCIATIC NERVE BLOCK</t>
  </si>
  <si>
    <t>SUPRASCAPULAR NERVE</t>
  </si>
  <si>
    <t>TRIGEMINAL PHENOL</t>
  </si>
  <si>
    <t>ILIOINGUINAL/HYPO BL</t>
  </si>
  <si>
    <t>INTERCOSTAL NV PHENO</t>
  </si>
  <si>
    <t>OCCIPITAL NERVE</t>
  </si>
  <si>
    <t>CELIAC PLEXUS NRV BL</t>
  </si>
  <si>
    <t>SPHENOPALATINE BLOCK</t>
  </si>
  <si>
    <t>SYMPATHETIC NV BLOCK</t>
  </si>
  <si>
    <t>BIER BLOCK ARM</t>
  </si>
  <si>
    <t>BIER BLOCK LEG</t>
  </si>
  <si>
    <t>S I JOINT INJ</t>
  </si>
  <si>
    <t>LATERAL FEMORAL OUTA</t>
  </si>
  <si>
    <t>OTHER PERIPHERAL BLK</t>
  </si>
  <si>
    <t>INJ SHOLDER</t>
  </si>
  <si>
    <t>DESTRUCT OTHER PHERI</t>
  </si>
  <si>
    <t>EPIDURAL NEUROLYTIC</t>
  </si>
  <si>
    <t>SURGICAL DAY CARE</t>
  </si>
  <si>
    <t>1/2 HR MINOR PROC RM</t>
  </si>
  <si>
    <t>ADD 1/2HR MNR PRC RM</t>
  </si>
  <si>
    <t>ANESTHESIOLOGY IP L/</t>
  </si>
  <si>
    <t>ANEST 1.00HR</t>
  </si>
  <si>
    <t>ANEST 1.25HR</t>
  </si>
  <si>
    <t>ANEST 1.50HR</t>
  </si>
  <si>
    <t>ANEST 1.75HR</t>
  </si>
  <si>
    <t>ANEST 2.00HR</t>
  </si>
  <si>
    <t>ANEST 2.25HR</t>
  </si>
  <si>
    <t>ANEST 2.50HR</t>
  </si>
  <si>
    <t>ANEST 2.75HR</t>
  </si>
  <si>
    <t>ANEST 3.00HR</t>
  </si>
  <si>
    <t>ANEST 3.25HR</t>
  </si>
  <si>
    <t>ANEST 3.50HR</t>
  </si>
  <si>
    <t>ANEST 3.75HR</t>
  </si>
  <si>
    <t>ANEST 4.00HR</t>
  </si>
  <si>
    <t>ANEST 4.25HR</t>
  </si>
  <si>
    <t>ANEST 4.50HR</t>
  </si>
  <si>
    <t>ANEST 4.75HR</t>
  </si>
  <si>
    <t>ANEST 5.00HR</t>
  </si>
  <si>
    <t>ANEST 5.25HR</t>
  </si>
  <si>
    <t>ANEST 5.50HR</t>
  </si>
  <si>
    <t>ANEST 5.75HR</t>
  </si>
  <si>
    <t>ANEST 6.00HR</t>
  </si>
  <si>
    <t>ANEST ADD.25HR</t>
  </si>
  <si>
    <t>SBY ANES 1.00HR</t>
  </si>
  <si>
    <t>SBY ANES 1.25HR</t>
  </si>
  <si>
    <t>SBY ANES 1.50HR</t>
  </si>
  <si>
    <t>SBY ANES 1.75HR</t>
  </si>
  <si>
    <t>SBY ANES 2.00HR</t>
  </si>
  <si>
    <t>SBY ANES 2.25HR</t>
  </si>
  <si>
    <t>SBY ANES 2.50HR</t>
  </si>
  <si>
    <t>SBY ANES 2.75HR</t>
  </si>
  <si>
    <t>SBY ANES 3.00HR</t>
  </si>
  <si>
    <t>SBY ANES 3.25HR</t>
  </si>
  <si>
    <t>SBY ANES 3.50HR</t>
  </si>
  <si>
    <t>SBY ANES 3.75HR</t>
  </si>
  <si>
    <t>SBY ANES 4.00HR</t>
  </si>
  <si>
    <t>SBY ANES 4.25HR</t>
  </si>
  <si>
    <t>SBY ANES 4.50HR</t>
  </si>
  <si>
    <t>SBY ANES 4.75HR</t>
  </si>
  <si>
    <t>SBY ANES 5.00HR</t>
  </si>
  <si>
    <t>SBY ANES 5.25HR</t>
  </si>
  <si>
    <t>SBY ANES 5.50HR</t>
  </si>
  <si>
    <t>SBY ANES 5.75HR</t>
  </si>
  <si>
    <t>SBY ANES 6.00HR</t>
  </si>
  <si>
    <t>SBY ANES +.25HR</t>
  </si>
  <si>
    <t>OXYGEN MONITOR</t>
  </si>
  <si>
    <t>02/60 MIN</t>
  </si>
  <si>
    <t>02 EA ADDL 15 MIN</t>
  </si>
  <si>
    <t>NITROUS OXD/60</t>
  </si>
  <si>
    <t>NITROUS OXD/ADD 15</t>
  </si>
  <si>
    <t>FORANE 60 MIN</t>
  </si>
  <si>
    <t>FORANE 15 MIN</t>
  </si>
  <si>
    <t>C02 MONITOR</t>
  </si>
  <si>
    <t>HALOTHANE 60 MIN</t>
  </si>
  <si>
    <t>LOCAL ANES</t>
  </si>
  <si>
    <t>LOCAL W/ASB</t>
  </si>
  <si>
    <t>LOCAL IV SEDATION</t>
  </si>
  <si>
    <t>ANESTHESIA UNIT</t>
  </si>
  <si>
    <t>BIER/BRACHIAL BLOCK</t>
  </si>
  <si>
    <t>02 SENSOR</t>
  </si>
  <si>
    <t>ANESTHESIOLOGY OP L/</t>
  </si>
  <si>
    <t>SUFRANE 15 MIN</t>
  </si>
  <si>
    <t>SUFRANE 1 HOUR</t>
  </si>
  <si>
    <t>SEVOFLORANE</t>
  </si>
  <si>
    <t>SEVOFLORANE 15 MIN</t>
  </si>
  <si>
    <t>ANES. TRAY SPINAL</t>
  </si>
  <si>
    <t>CRUSIATE WING</t>
  </si>
  <si>
    <t>ASEPTO IRRIG SYRING</t>
  </si>
  <si>
    <t>SPINAL ANES OB PUDEN</t>
  </si>
  <si>
    <t>MUCS SPEC TRAP CATH</t>
  </si>
  <si>
    <t>IV UNIT OR</t>
  </si>
  <si>
    <t>IV CONN CLICK-LOCK</t>
  </si>
  <si>
    <t>IV PIGGYLOCK CONN</t>
  </si>
  <si>
    <t>IV NEEDLE LONG COVR</t>
  </si>
  <si>
    <t>IV NEEDLE SFTY GARD</t>
  </si>
  <si>
    <t>IV VIAL SAF-FIL SPK</t>
  </si>
  <si>
    <t>PROSTHES TESTICULAR</t>
  </si>
  <si>
    <t>ADAPTIC 3X3</t>
  </si>
  <si>
    <t>HUMERAL STEM</t>
  </si>
  <si>
    <t>GLENOSPHERE</t>
  </si>
  <si>
    <t>ADAPTIC 3X8</t>
  </si>
  <si>
    <t>BASE PLATE</t>
  </si>
  <si>
    <t>BANDAID 4X6 EA</t>
  </si>
  <si>
    <t>POLY LINER</t>
  </si>
  <si>
    <t>STEM SPACER</t>
  </si>
  <si>
    <t>BANDAID 4X6 BX</t>
  </si>
  <si>
    <t>FIXATION PIN</t>
  </si>
  <si>
    <t>HIP DISTRACT RENTAL</t>
  </si>
  <si>
    <t>TORQUE DRIVER</t>
  </si>
  <si>
    <t>BANDAID 8X6 EA</t>
  </si>
  <si>
    <t>BEACH CHAIR KIT</t>
  </si>
  <si>
    <t>BEACH TRIMANO RENT</t>
  </si>
  <si>
    <t>HIP DISTRACT PADS</t>
  </si>
  <si>
    <t>BANDAID 8X6 BX</t>
  </si>
  <si>
    <t>OUTFLOW TUBE SET</t>
  </si>
  <si>
    <t>MASTER HIP ARTHRO</t>
  </si>
  <si>
    <t>BANDAID BUTERFLY</t>
  </si>
  <si>
    <t>HIP ARTRHOSPCY KIT</t>
  </si>
  <si>
    <t>BLADE CAPSULE CUTTER</t>
  </si>
  <si>
    <t>BANDAID 1"</t>
  </si>
  <si>
    <t>PORTAL SKID</t>
  </si>
  <si>
    <t>CAPSULE SCOR NEEDLE</t>
  </si>
  <si>
    <t>BANDAID 2"</t>
  </si>
  <si>
    <t>MCCONNELL ARM WRAP</t>
  </si>
  <si>
    <t>IMPACTOR TRAY</t>
  </si>
  <si>
    <t>BAND STERI STRIP</t>
  </si>
  <si>
    <t>BIOPATCH DISK</t>
  </si>
  <si>
    <t>BLADE SABRE SHAVER</t>
  </si>
  <si>
    <t>COTTON BALLS PKG</t>
  </si>
  <si>
    <t>MASTER BLADE KIT</t>
  </si>
  <si>
    <t>NANOSCOPE HANDPIECE</t>
  </si>
  <si>
    <t>DRESSING CART USE</t>
  </si>
  <si>
    <t>NANO BITER</t>
  </si>
  <si>
    <t>NANO CANNULA</t>
  </si>
  <si>
    <t>ELAST BANDAGE 2</t>
  </si>
  <si>
    <t>POLAR UNIT</t>
  </si>
  <si>
    <t>PIVOTPOST PAD</t>
  </si>
  <si>
    <t>ELAST BANDAGE 3 INCH</t>
  </si>
  <si>
    <t>LABRAL TAPE</t>
  </si>
  <si>
    <t>NASOPORE DRESSING</t>
  </si>
  <si>
    <t>ELAST BANDAGE 4</t>
  </si>
  <si>
    <t>TUBESET W/FILTER</t>
  </si>
  <si>
    <t>PROBE MEASURING</t>
  </si>
  <si>
    <t>ELAST BANDAGE 6</t>
  </si>
  <si>
    <t>EPIDURAL SET</t>
  </si>
  <si>
    <t>CATH STABIL DEVICE</t>
  </si>
  <si>
    <t>ENSURE LARGE 5 X 7</t>
  </si>
  <si>
    <t>EPIDURAL CONTRAST</t>
  </si>
  <si>
    <t>NERVE BLOCK SET</t>
  </si>
  <si>
    <t>ENSURE MEDIUM 4X5-5</t>
  </si>
  <si>
    <t>ON-Q PAIN PUMP</t>
  </si>
  <si>
    <t>ON-Q CATHETER</t>
  </si>
  <si>
    <t>ENSURE SMALL 2 X 3</t>
  </si>
  <si>
    <t>ON-Q PREP KIT</t>
  </si>
  <si>
    <t>VAC DRESSING</t>
  </si>
  <si>
    <t>EYE PAD OVAL DRESSN</t>
  </si>
  <si>
    <t>MENISCAL ROOT REPAIR</t>
  </si>
  <si>
    <t>4-TUBING</t>
  </si>
  <si>
    <t>EYE SHIELD INFANT</t>
  </si>
  <si>
    <t>BIOPSY VALVE</t>
  </si>
  <si>
    <t>CHANNEL WATER TUBE</t>
  </si>
  <si>
    <t>FLUFFS PGKGS STRIL</t>
  </si>
  <si>
    <t>FLEXISENSOR DATA A</t>
  </si>
  <si>
    <t>CLIP FIXING DEVICE</t>
  </si>
  <si>
    <t>GZ TRACH 4X4 EA</t>
  </si>
  <si>
    <t>DRESSING FENESTRATE,</t>
  </si>
  <si>
    <t>TUBING/CAP SET</t>
  </si>
  <si>
    <t>GZ TRACH 4X4 BX</t>
  </si>
  <si>
    <t>PORT CONNECTOR</t>
  </si>
  <si>
    <t>ERBE PROBE W/FILTER</t>
  </si>
  <si>
    <t>GZ SPNGE 2X2 EA</t>
  </si>
  <si>
    <t>ERBE GROUND PLATE</t>
  </si>
  <si>
    <t>TROCHANTER NAIL</t>
  </si>
  <si>
    <t>GZ SPONGE 2X2 BX</t>
  </si>
  <si>
    <t>ABS BUTTON ROUND</t>
  </si>
  <si>
    <t>DRILL PIN ACL TIGT</t>
  </si>
  <si>
    <t>DRILL CANNULA TED AC</t>
  </si>
  <si>
    <t>SHAVER DRILL PUSHLOK</t>
  </si>
  <si>
    <t>DRILL TIP GUIDE PIN</t>
  </si>
  <si>
    <t>SPONGE 4X4 EA</t>
  </si>
  <si>
    <t>TENODESIS IMPLANT</t>
  </si>
  <si>
    <t>BUTTON EXTENDER</t>
  </si>
  <si>
    <t>TROCAR DRILL PIN</t>
  </si>
  <si>
    <t>GZ SPONGE 4X4 BX</t>
  </si>
  <si>
    <t>PRP INJECTION</t>
  </si>
  <si>
    <t>GASTROGRAFIN INJECTION</t>
  </si>
  <si>
    <t>UNNAS BOOT BANDAGE</t>
  </si>
  <si>
    <t>GZ SPONGE 4X4 CN SM</t>
  </si>
  <si>
    <t>SPOT ENDO TATTOO</t>
  </si>
  <si>
    <t>GZ SPNGE 4X4 CN LG</t>
  </si>
  <si>
    <t>CENTRAL POST</t>
  </si>
  <si>
    <t>BIOMATRIX DRESSING</t>
  </si>
  <si>
    <t>I-BALANCE WEDGE</t>
  </si>
  <si>
    <t>HINGE PIN</t>
  </si>
  <si>
    <t>GZ VASELINE 1X36</t>
  </si>
  <si>
    <t>ANCHOR DRILL</t>
  </si>
  <si>
    <t>KEKEY HOLE REAMER</t>
  </si>
  <si>
    <t>GZ VASELINE 3X36</t>
  </si>
  <si>
    <t>GZ VASELINE 1/2X72</t>
  </si>
  <si>
    <t>GZ VASELINE 1X8</t>
  </si>
  <si>
    <t>HINGE PIN DRILL</t>
  </si>
  <si>
    <t>OSTEOTOMY KIT</t>
  </si>
  <si>
    <t>DILATION CATHETER</t>
  </si>
  <si>
    <t>CARBON FIBER ROD</t>
  </si>
  <si>
    <t>I-BALANCE ANCHOR</t>
  </si>
  <si>
    <t>CHERRY SPONGES</t>
  </si>
  <si>
    <t>RETRIEVAL BASKET</t>
  </si>
  <si>
    <t>ULNER NERVE CUSHION</t>
  </si>
  <si>
    <t>GELFOAM POWDER</t>
  </si>
  <si>
    <t>FLOSEAL 5-CC</t>
  </si>
  <si>
    <t>FLOSEAL 10-CC</t>
  </si>
  <si>
    <t>GAUZE STRCH BNDG 2</t>
  </si>
  <si>
    <t>PUROS S GRAFT</t>
  </si>
  <si>
    <t>GAUZE STRCH BNDG 3</t>
  </si>
  <si>
    <t>PLATE</t>
  </si>
  <si>
    <t>GAUZE STRCH BNDG 4</t>
  </si>
  <si>
    <t>BUCKS TRACTION SPLT</t>
  </si>
  <si>
    <t>GAUZE STRCH BNDG 6 INCH</t>
  </si>
  <si>
    <t>GLASS COCK EAR DRESS</t>
  </si>
  <si>
    <t>MOLE SKIN 9" 1X9</t>
  </si>
  <si>
    <t>MONITOR CARDIC ADLT</t>
  </si>
  <si>
    <t>MONTGOMERY STRAP</t>
  </si>
  <si>
    <t>M.U.A. SET</t>
  </si>
  <si>
    <t>NU-GZ IODOFORM</t>
  </si>
  <si>
    <t>S SCREW</t>
  </si>
  <si>
    <t>NU-GZ PLAIN</t>
  </si>
  <si>
    <t>POLYMEM DRESSING</t>
  </si>
  <si>
    <t>QUIKCLOT DRESSING</t>
  </si>
  <si>
    <t>RESCUE SCREW</t>
  </si>
  <si>
    <t>SAFETY PINS STRL</t>
  </si>
  <si>
    <t>ARISTA ABSORB HEMOS</t>
  </si>
  <si>
    <t>SURGICEL SMALL</t>
  </si>
  <si>
    <t>GELFOAM SMALL</t>
  </si>
  <si>
    <t>SURGICEL MED</t>
  </si>
  <si>
    <t>SURGICEL LARGE</t>
  </si>
  <si>
    <t>SURGIFIX PER/FT</t>
  </si>
  <si>
    <t>INTERCEED 3"X4"</t>
  </si>
  <si>
    <t>ABD DRESSING</t>
  </si>
  <si>
    <t>AMNION MATRIX CORD</t>
  </si>
  <si>
    <t>ABD DRESSING 8X10 BX</t>
  </si>
  <si>
    <t>TUOHY NEEDLE</t>
  </si>
  <si>
    <t>TELFA 3X3</t>
  </si>
  <si>
    <t>TOWELS 6/PK OR</t>
  </si>
  <si>
    <t>TELFA 3X8</t>
  </si>
  <si>
    <t>WEBRIL 4 6</t>
  </si>
  <si>
    <t>STOCNET UN STR/FT</t>
  </si>
  <si>
    <t>STOKNT BIAS STRL EA</t>
  </si>
  <si>
    <t>TOWEL STERILE EA CS</t>
  </si>
  <si>
    <t>XEROFORM GZ ALL SIZ</t>
  </si>
  <si>
    <t>RESPIRATORY SET UP</t>
  </si>
  <si>
    <t>RESPIRATORY DAILY</t>
  </si>
  <si>
    <t>BP CUFF DINAMAP</t>
  </si>
  <si>
    <t>B/P CUFF &amp; GAUGE</t>
  </si>
  <si>
    <t>GOWN PKG 10 ISOLAT</t>
  </si>
  <si>
    <t>MASK BOX</t>
  </si>
  <si>
    <t>SHIELD PACK MORTUARY</t>
  </si>
  <si>
    <t>STETHOSCOPE DISP</t>
  </si>
  <si>
    <t>THERMOMETER GLS O&amp;R</t>
  </si>
  <si>
    <t>STIMULAN</t>
  </si>
  <si>
    <t>HERNIA REPAIR TRAY</t>
  </si>
  <si>
    <t>ARTHO-DRESSING</t>
  </si>
  <si>
    <t>ARTHO-PREP</t>
  </si>
  <si>
    <t>GASTROSTOMY KIT PEG</t>
  </si>
  <si>
    <t>BONE MAR JAM ILL</t>
  </si>
  <si>
    <t>CHEST TUBE TRAY</t>
  </si>
  <si>
    <t>CUTDOWN TRAY ADULT</t>
  </si>
  <si>
    <t>CUTDOWN TRAY PEDS</t>
  </si>
  <si>
    <t>CVP INTRAMD/CATH</t>
  </si>
  <si>
    <t>PORTA-CATH SGL LUMEN</t>
  </si>
  <si>
    <t>CVP SUBCLAV CATH</t>
  </si>
  <si>
    <t>CVP PRES MONITOR</t>
  </si>
  <si>
    <t>DRESSING MAJOR</t>
  </si>
  <si>
    <t>MULTI-LUMEN CVC KIT</t>
  </si>
  <si>
    <t>FOOT DRESSING TRAY</t>
  </si>
  <si>
    <t>G I BLEEDER TRAY</t>
  </si>
  <si>
    <t>HYPERAL SUB/CVP DR</t>
  </si>
  <si>
    <t>P.I.C. LINE 4.0-FR.</t>
  </si>
  <si>
    <t>INTRODUCER 8.5 CV2L</t>
  </si>
  <si>
    <t>INTRODUCER 9.0 SINGL</t>
  </si>
  <si>
    <t>INTUB W/ENDO TUBE</t>
  </si>
  <si>
    <t>IV START TRAY</t>
  </si>
  <si>
    <t>IRRIGATION TRAY</t>
  </si>
  <si>
    <t>LEVINE TRAY</t>
  </si>
  <si>
    <t>LIVER BIOPSY HOS</t>
  </si>
  <si>
    <t>MAJOR SUTURE SET</t>
  </si>
  <si>
    <t>MIDSTREAM SPEC</t>
  </si>
  <si>
    <t>MINOR SUTURE TRAY</t>
  </si>
  <si>
    <t>MINOR SUTURE SET</t>
  </si>
  <si>
    <t>MONITOR KIT</t>
  </si>
  <si>
    <t>MYLEOGRAM TRAY</t>
  </si>
  <si>
    <t>NASAL PACKING TRAY</t>
  </si>
  <si>
    <t>PERC TRAN CHL TR</t>
  </si>
  <si>
    <t>PCA MACHINE</t>
  </si>
  <si>
    <t>PERCUTANE SHEATH</t>
  </si>
  <si>
    <t>PACEMAKER TRAY</t>
  </si>
  <si>
    <t>PREP TRAY HOSP</t>
  </si>
  <si>
    <t>SWAN G CATH 7FR</t>
  </si>
  <si>
    <t>PORTA-CATH DUAL LUME</t>
  </si>
  <si>
    <t>SG STRI PRES MONIT</t>
  </si>
  <si>
    <t>SG TRANSVN J-TIP</t>
  </si>
  <si>
    <t>PERS HYG SUPPLY</t>
  </si>
  <si>
    <t>SHAVE PREP TRAY</t>
  </si>
  <si>
    <t>SIGMOIDOSCOPY TRAY</t>
  </si>
  <si>
    <t>SPINAL TRAY AD/PED</t>
  </si>
  <si>
    <t>SUBCLA CATH 16FR</t>
  </si>
  <si>
    <t>SUTURE INSTRUMENT</t>
  </si>
  <si>
    <t>S R T DISP</t>
  </si>
  <si>
    <t>SKIN BIOPSY PUNCH</t>
  </si>
  <si>
    <t>THORACEN DISP P</t>
  </si>
  <si>
    <t>CORDIS PEV LD INT SY</t>
  </si>
  <si>
    <t>THORACEN HOSP</t>
  </si>
  <si>
    <t>TRACH BUTTON</t>
  </si>
  <si>
    <t>TRACH CLEAN DIS TRA</t>
  </si>
  <si>
    <t>TRACH SET-UP</t>
  </si>
  <si>
    <t>TRACH DAILY</t>
  </si>
  <si>
    <t>TRACH TUBE HOLDER</t>
  </si>
  <si>
    <t>TRANSDUCER SG</t>
  </si>
  <si>
    <t>UMBILICAL CATH TRAY</t>
  </si>
  <si>
    <t>UMBIL VES CTH INST</t>
  </si>
  <si>
    <t>VASCULAR SUT. SET</t>
  </si>
  <si>
    <t>PHLEBOTOMY SET</t>
  </si>
  <si>
    <t>PIN &amp; DRILL SET</t>
  </si>
  <si>
    <t>PLEUR-EVAC</t>
  </si>
  <si>
    <t>LAB BONE MAR PROC</t>
  </si>
  <si>
    <t>A T S PLEUR-EVAC</t>
  </si>
  <si>
    <t>WRIST HAND PAD</t>
  </si>
  <si>
    <t>BETADIN CLEANSR</t>
  </si>
  <si>
    <t>WRIST TRACTION PAD</t>
  </si>
  <si>
    <t>BETADIN PREP 4OZ</t>
  </si>
  <si>
    <t>WRIST TRACT TOWER</t>
  </si>
  <si>
    <t>BETADIN PREP 1OZ</t>
  </si>
  <si>
    <t>PERINEAL CARE KIT</t>
  </si>
  <si>
    <t>PERINEAL SPRAY WASH</t>
  </si>
  <si>
    <t>PER HYG SUPPLY LOTN</t>
  </si>
  <si>
    <t>PERINEAL BARER CREM</t>
  </si>
  <si>
    <t>MERTHIOLATE 4OZ</t>
  </si>
  <si>
    <t>ROT HINGE FEMORAL</t>
  </si>
  <si>
    <t>POST STABLZ MOD KNE</t>
  </si>
  <si>
    <t>ROT HINGE ART SURFA</t>
  </si>
  <si>
    <t>PEROXIDE 4OZ</t>
  </si>
  <si>
    <t>STRAIGHT STEM EXTEN</t>
  </si>
  <si>
    <t>PHISOHEX/PHISODERM</t>
  </si>
  <si>
    <t>ROT HINGE TIB PLATE</t>
  </si>
  <si>
    <t>SALINE IRR 500CC</t>
  </si>
  <si>
    <t>SALIN IRR 1000CC</t>
  </si>
  <si>
    <t>SALIN IRR 3000CC</t>
  </si>
  <si>
    <t>SALIN IRR 2000CC</t>
  </si>
  <si>
    <t>GLYCN IRR 3000CC</t>
  </si>
  <si>
    <t>SALIN IRR 4000CC</t>
  </si>
  <si>
    <t>ROT HINGE AUG BLOCK</t>
  </si>
  <si>
    <t>PATELLA ALL POLY</t>
  </si>
  <si>
    <t>SORBITOL 2000CC</t>
  </si>
  <si>
    <t>STRL IRR H20 500</t>
  </si>
  <si>
    <t>STRL IRR H20 1000</t>
  </si>
  <si>
    <t>BAG CLAMP</t>
  </si>
  <si>
    <t>BELT PELVIC</t>
  </si>
  <si>
    <t>IRRIG SLEEVE &amp; FLNGE</t>
  </si>
  <si>
    <t>DUO DERM 4X4 WAF</t>
  </si>
  <si>
    <t>DUO DERM 8X8 WAF</t>
  </si>
  <si>
    <t>DUO DERM GRANULE</t>
  </si>
  <si>
    <t>DRILL BIT EBI</t>
  </si>
  <si>
    <t>FECAL COLLECTOR</t>
  </si>
  <si>
    <t>KARAYA RINGS 10</t>
  </si>
  <si>
    <t>FLEXISEAL BOWEL SYS</t>
  </si>
  <si>
    <t>KARAYA DISK 4-3/4</t>
  </si>
  <si>
    <t>FLEXSEAL BAG</t>
  </si>
  <si>
    <t>POUCH W/FLANG EA</t>
  </si>
  <si>
    <t>POUCH W/FLANG BX</t>
  </si>
  <si>
    <t>SKIN PREP WIP EA</t>
  </si>
  <si>
    <t>SKIN PREP WIP BX</t>
  </si>
  <si>
    <t>STARTER SET APPL</t>
  </si>
  <si>
    <t>STA PEG ANGLED SML</t>
  </si>
  <si>
    <t>STRL POUCH SET OR</t>
  </si>
  <si>
    <t>OSTOMY WAF 4X4 W/FL</t>
  </si>
  <si>
    <t>COVER KNEE ORTHHOSIS</t>
  </si>
  <si>
    <t>STOMA WAF 4X4 W/O FL</t>
  </si>
  <si>
    <t>UROSTOMY BAG GRE</t>
  </si>
  <si>
    <t>UROSTOMY POUCHE</t>
  </si>
  <si>
    <t>KARAYA POWDER BTL</t>
  </si>
  <si>
    <t>SKIN TAC BTL</t>
  </si>
  <si>
    <t>500CC DW NS</t>
  </si>
  <si>
    <t>500CC LR DLR</t>
  </si>
  <si>
    <t>500CC DEXT 70 6%</t>
  </si>
  <si>
    <t>500CC DEX 40 10% DW</t>
  </si>
  <si>
    <t>500CC DEX 40 10% NS</t>
  </si>
  <si>
    <t>500CC MANITOL</t>
  </si>
  <si>
    <t>HEPATAMINE INJ</t>
  </si>
  <si>
    <t>NS 1000CC MANITOL</t>
  </si>
  <si>
    <t>1000CC DW NS</t>
  </si>
  <si>
    <t>1000CC LR DLR</t>
  </si>
  <si>
    <t>1000CC 50% DW</t>
  </si>
  <si>
    <t>50/100/250/DW NS</t>
  </si>
  <si>
    <t>BLOOD ADM</t>
  </si>
  <si>
    <t>100CC DW 2B0041 PHM</t>
  </si>
  <si>
    <t>250 CC DW</t>
  </si>
  <si>
    <t>BLOOD COIL</t>
  </si>
  <si>
    <t>NS 100ML 2B0043</t>
  </si>
  <si>
    <t>100CC MS 2B0043 PHM</t>
  </si>
  <si>
    <t>IV PUMP TUBE</t>
  </si>
  <si>
    <t>250 CC NS</t>
  </si>
  <si>
    <t>50CC DW 2B0040 PHRM</t>
  </si>
  <si>
    <t>FILTER</t>
  </si>
  <si>
    <t>100 CC DW NS</t>
  </si>
  <si>
    <t>250 CC DW NS</t>
  </si>
  <si>
    <t>EXTENSION IV TUBE</t>
  </si>
  <si>
    <t>IV SET ANESTHESIA</t>
  </si>
  <si>
    <t>PCA EXTENSION TUBE</t>
  </si>
  <si>
    <t>LOOP</t>
  </si>
  <si>
    <t>COUDE EPIDUR NEEDLE</t>
  </si>
  <si>
    <t>VERSACATH</t>
  </si>
  <si>
    <t>BURETROL IV SET</t>
  </si>
  <si>
    <t>MINIBORE EXTEN LINE</t>
  </si>
  <si>
    <t>LOR SYRINGE</t>
  </si>
  <si>
    <t>PLUG IV/HEPLOCK</t>
  </si>
  <si>
    <t>VASCULAR ACCESS SYST</t>
  </si>
  <si>
    <t>PRIMARY W/FILTER</t>
  </si>
  <si>
    <t>PIN SCHANZ</t>
  </si>
  <si>
    <t>PRIMRY W/O FILTR</t>
  </si>
  <si>
    <t>PROSTHESIS DECO/DUR</t>
  </si>
  <si>
    <t>PROSTHESIS ACC TIPS</t>
  </si>
  <si>
    <t>SECONDARY IV TUBE</t>
  </si>
  <si>
    <t>VIDEO RECORDER RENT</t>
  </si>
  <si>
    <t>VOLUTRAL</t>
  </si>
  <si>
    <t>VIDEO PRINTER RENT</t>
  </si>
  <si>
    <t>GRIPPER-PORT-A-CATH</t>
  </si>
  <si>
    <t>SPINAL NEEDLE LONG</t>
  </si>
  <si>
    <t>CVP ARTERIAL LINE</t>
  </si>
  <si>
    <t>FINGER TRAP</t>
  </si>
  <si>
    <t>BUTTERFLY ALL SIZES</t>
  </si>
  <si>
    <t>VIAL-O-JET/BAG-O-JET</t>
  </si>
  <si>
    <t>NEEDLE DISP</t>
  </si>
  <si>
    <t>ANGIOCATH</t>
  </si>
  <si>
    <t>LTA KIT OR</t>
  </si>
  <si>
    <t>VENOCATH IV NEEDLE</t>
  </si>
  <si>
    <t>ARTERL CLAMP EX EA</t>
  </si>
  <si>
    <t>CANNULA CLAMP EA</t>
  </si>
  <si>
    <t>CONNECTOR TEFLON EA</t>
  </si>
  <si>
    <t>CANCEL SET-UP</t>
  </si>
  <si>
    <t>CONSULTATION RN</t>
  </si>
  <si>
    <t>FEMORAL CATH KIT</t>
  </si>
  <si>
    <t>FEMORAL CATH REP</t>
  </si>
  <si>
    <t>FEMORAL CATH TRA</t>
  </si>
  <si>
    <t>INJ CAP LUER PR</t>
  </si>
  <si>
    <t>SHUNT SYSTEM PER VN</t>
  </si>
  <si>
    <t>SHUNT DECLOTTING</t>
  </si>
  <si>
    <t>SHUNT INHARTA/PRUIT</t>
  </si>
  <si>
    <t>SHUNT SAF-T</t>
  </si>
  <si>
    <t>SHUNT INTRO ST DNVR</t>
  </si>
  <si>
    <t>SUBCL CAN KIT</t>
  </si>
  <si>
    <t>SUBCL CAN GUIDWR</t>
  </si>
  <si>
    <t>SUBCL CAN REP SL</t>
  </si>
  <si>
    <t>SUBCL CAN KIT DL QN</t>
  </si>
  <si>
    <t>PERMA-CATH KIT</t>
  </si>
  <si>
    <t>SUBCL CAN REPL DL</t>
  </si>
  <si>
    <t>VESSELL TIPS</t>
  </si>
  <si>
    <t>DIALYSIS TRAY</t>
  </si>
  <si>
    <t>BACITRACIN OINTMENT</t>
  </si>
  <si>
    <t>NECK BRACE PADS</t>
  </si>
  <si>
    <t>BETADINE</t>
  </si>
  <si>
    <t>LUBAFAX LUBE OINT</t>
  </si>
  <si>
    <t>NECK BRACE PHILADEL</t>
  </si>
  <si>
    <t>NEOSPORIN OINTMENT</t>
  </si>
  <si>
    <t>NECK BRAKE METAL 4P</t>
  </si>
  <si>
    <t>POVODONE</t>
  </si>
  <si>
    <t>NS 50 ML 2B0042</t>
  </si>
  <si>
    <t>KY JELLY 2 OZ.</t>
  </si>
  <si>
    <t>NS 100 ML 2B0043</t>
  </si>
  <si>
    <t>LUBRICATING JELLY IN</t>
  </si>
  <si>
    <t>WALKER</t>
  </si>
  <si>
    <t>CRUTCHES/ACCES</t>
  </si>
  <si>
    <t>CAST HAND/TAPE</t>
  </si>
  <si>
    <t>KNEE IMMOB</t>
  </si>
  <si>
    <t>FINGER CONT ORTHOSI</t>
  </si>
  <si>
    <t>POST HIP M/F AD</t>
  </si>
  <si>
    <t>L S CORSET</t>
  </si>
  <si>
    <t>SCROTAL SUPPORT</t>
  </si>
  <si>
    <t>SCREW SILK CANUFLEX</t>
  </si>
  <si>
    <t>POST KNEE M/F AD</t>
  </si>
  <si>
    <t>POST KNEE M/F YO</t>
  </si>
  <si>
    <t>KNEE BRACE ACL</t>
  </si>
  <si>
    <t>POST-OP SHOE EA</t>
  </si>
  <si>
    <t>ANKLE BRACE LACE UP</t>
  </si>
  <si>
    <t>SHOULDER IMMOB</t>
  </si>
  <si>
    <t>HEAD HALTER</t>
  </si>
  <si>
    <t>SACRO LUMBAR SUP</t>
  </si>
  <si>
    <t>SHOULDER SUSP KIT</t>
  </si>
  <si>
    <t>SLING ARM FIT</t>
  </si>
  <si>
    <t>SLING ARM TRIANG</t>
  </si>
  <si>
    <t>BRACE JEWET HYP EXT</t>
  </si>
  <si>
    <t>SLING CLAVICULAR</t>
  </si>
  <si>
    <t>MULTI BOOT</t>
  </si>
  <si>
    <t>SLING STRAP</t>
  </si>
  <si>
    <t>HAND CONTRACT SPLIN</t>
  </si>
  <si>
    <t>SURG SACRO BELT</t>
  </si>
  <si>
    <t>AIRCAST PNEMATIC</t>
  </si>
  <si>
    <t>WRIST BRACE</t>
  </si>
  <si>
    <t>CLAVICLE BRACE</t>
  </si>
  <si>
    <t>WRIST SPLINT UNIVRSL</t>
  </si>
  <si>
    <t>FOREARM SPLINT</t>
  </si>
  <si>
    <t>SPLINT FINGER</t>
  </si>
  <si>
    <t>ELBOW ORTHOSIS</t>
  </si>
  <si>
    <t>SPLINT ANKLE</t>
  </si>
  <si>
    <t>CHATTA LINERS</t>
  </si>
  <si>
    <t>PELVIC TRACTN BLT</t>
  </si>
  <si>
    <t>CAST ARM LONG/PLAST</t>
  </si>
  <si>
    <t>CAST SHORT ARM/PLAST</t>
  </si>
  <si>
    <t>CAST BOOT</t>
  </si>
  <si>
    <t>ABDUCTOR CUSHION</t>
  </si>
  <si>
    <t>CAST ELEVATOR HEEL</t>
  </si>
  <si>
    <t>CAST CART USE</t>
  </si>
  <si>
    <t>CAST FOOT/ANKLE/TPE</t>
  </si>
  <si>
    <t>HAND EXERCISER</t>
  </si>
  <si>
    <t>CAST LEG LONG/PLAST</t>
  </si>
  <si>
    <t>CAST LEG SHORT/PLAS</t>
  </si>
  <si>
    <t>CAST WRIST/PLASTER</t>
  </si>
  <si>
    <t>KNEE ORTHOSIS</t>
  </si>
  <si>
    <t>CAST WRIST/TAPE</t>
  </si>
  <si>
    <t>PADDING 6"X1"</t>
  </si>
  <si>
    <t>ELASTIC ANKLE SUPPT</t>
  </si>
  <si>
    <t>PADDING 1/4 6"X1"</t>
  </si>
  <si>
    <t>DH WALKER (BOOT)</t>
  </si>
  <si>
    <t>CAST PADDING ROLL</t>
  </si>
  <si>
    <t>CAM WALKER</t>
  </si>
  <si>
    <t>PLASTER 2 3  RL</t>
  </si>
  <si>
    <t>NIGHT SPLINT</t>
  </si>
  <si>
    <t>PLASTER RL 4" 5" 6"</t>
  </si>
  <si>
    <t>WEDGE,ABDUCTION LEG</t>
  </si>
  <si>
    <t>ORTHOGLASS,BY FOOT</t>
  </si>
  <si>
    <t>DH PRESSURE RL SHOE</t>
  </si>
  <si>
    <t>CAST SHOE</t>
  </si>
  <si>
    <t>WALKING HEEL</t>
  </si>
  <si>
    <t>WEBRIL ROLL 2 AND 3</t>
  </si>
  <si>
    <t>WEBRIL ROLL STERILE</t>
  </si>
  <si>
    <t>AIR SHIELD SET-U</t>
  </si>
  <si>
    <t>WOUND CARE VAC PUMP</t>
  </si>
  <si>
    <t>AIR SHIELD DAILY</t>
  </si>
  <si>
    <t>PLEXIPULSE MACHINE</t>
  </si>
  <si>
    <t>ART LINE SET-UP</t>
  </si>
  <si>
    <t>PLEXIPULSE WRAP</t>
  </si>
  <si>
    <t>ART LINE DAILY</t>
  </si>
  <si>
    <t>SEQNTL COMP DEV S/U</t>
  </si>
  <si>
    <t>COMP(SEQUTL DEV)DLY</t>
  </si>
  <si>
    <t>GLUCOSE METER USE</t>
  </si>
  <si>
    <t>AIR BEAD THER UN SU</t>
  </si>
  <si>
    <t>SYMPHONY II PROCESS</t>
  </si>
  <si>
    <t>AIR BEAD THER UN D</t>
  </si>
  <si>
    <t>FEEDING PUMP SET UP</t>
  </si>
  <si>
    <t>COLD MIST SET-UP</t>
  </si>
  <si>
    <t>FEEDING PUMP DAILY</t>
  </si>
  <si>
    <t>COLD MIST DAILY</t>
  </si>
  <si>
    <t>CARIPAD BEDPAD DISP</t>
  </si>
  <si>
    <t>CRASH CART/CODE</t>
  </si>
  <si>
    <t>RENTAL SHOULD ARTHR</t>
  </si>
  <si>
    <t>EMERSON PUMP S-U</t>
  </si>
  <si>
    <t>EMERSON PUMP DLY</t>
  </si>
  <si>
    <t>RENTAL,EXPRESS SEW</t>
  </si>
  <si>
    <t>DYNAMAPP DAILY</t>
  </si>
  <si>
    <t>IV PUMP SET-UP</t>
  </si>
  <si>
    <t>PCA IV Y SET TUBING</t>
  </si>
  <si>
    <t>IV PUMP DAILY</t>
  </si>
  <si>
    <t>RENTAL WAND GENERAT</t>
  </si>
  <si>
    <t>K-PUMP SET-UP</t>
  </si>
  <si>
    <t>DYNAMAPP SET UP</t>
  </si>
  <si>
    <t>K-PUMP DAILY</t>
  </si>
  <si>
    <t>AIR MATRS OVRLY SU</t>
  </si>
  <si>
    <t>AIR MATRS OVRLY DA</t>
  </si>
  <si>
    <t>SMOKE EVACUATOR</t>
  </si>
  <si>
    <t>LEVINE GOMCO S-U</t>
  </si>
  <si>
    <t>LIPIDS HYPERAL VENT</t>
  </si>
  <si>
    <t>LEVINE GOMCO DLY</t>
  </si>
  <si>
    <t>PACEMAKER INT INTRO</t>
  </si>
  <si>
    <t>PACEMAKER EXT SU</t>
  </si>
  <si>
    <t>SCREW ACESRY KT ACU</t>
  </si>
  <si>
    <t>PACEMAKER EXT DY</t>
  </si>
  <si>
    <t>PACEMAKER INT OR</t>
  </si>
  <si>
    <t>PACEMAKER SERVICE KT</t>
  </si>
  <si>
    <t>SWAN GANZ SET-UP</t>
  </si>
  <si>
    <t>SWAN GANZ DAILY</t>
  </si>
  <si>
    <t>THROAT SUCT S-U</t>
  </si>
  <si>
    <t>THROAT SUCT DLY</t>
  </si>
  <si>
    <t>WALKER RENTAL S-U</t>
  </si>
  <si>
    <t>HYPERTHERMIA DAILY</t>
  </si>
  <si>
    <t>WALKER RENTAL DLY</t>
  </si>
  <si>
    <t>HYPERTHERMIA ST UP</t>
  </si>
  <si>
    <t>FOLEY CATH INSERTION</t>
  </si>
  <si>
    <t>CATHETER, URET CONE</t>
  </si>
  <si>
    <t>CLOSED DRAIN BAG</t>
  </si>
  <si>
    <t>EXTRACTOR,STONE HE</t>
  </si>
  <si>
    <t>FOLEY TRAY W/BAG 16</t>
  </si>
  <si>
    <t>MONITOR APNEA DAILY</t>
  </si>
  <si>
    <t>PACEMAKER PULS GENR</t>
  </si>
  <si>
    <t>MONITOR APNEA SETUP</t>
  </si>
  <si>
    <t>FOLEY TRAY W/URI</t>
  </si>
  <si>
    <t>BAG, DIGNITY</t>
  </si>
  <si>
    <t>FOLEY 2-WAY 3CC CTH</t>
  </si>
  <si>
    <t>FOLEY STABIL DEVICE</t>
  </si>
  <si>
    <t>FOLEY 2-WY 5CC CATH</t>
  </si>
  <si>
    <t>FIXATION ORTHOFIX</t>
  </si>
  <si>
    <t>FOLEY 30CC 2-WY CTH</t>
  </si>
  <si>
    <t>FOLEY 3-WAY CATH</t>
  </si>
  <si>
    <t>FOLEY TRAY W/BAG 14</t>
  </si>
  <si>
    <t>FEMALE CATH KIT</t>
  </si>
  <si>
    <t>FOOT DROP SPLINT</t>
  </si>
  <si>
    <t>LEG BAG</t>
  </si>
  <si>
    <t>PEDIATRIC UX</t>
  </si>
  <si>
    <t>PLUG CATH</t>
  </si>
  <si>
    <t>NS 100 ML</t>
  </si>
  <si>
    <t>ROBINSON CATH</t>
  </si>
  <si>
    <t>URETHRAL TRAY</t>
  </si>
  <si>
    <t>URI-METER DRAIN BAG</t>
  </si>
  <si>
    <t>URO-SHEATH</t>
  </si>
  <si>
    <t>SUPRAPUBIC CATH KIT</t>
  </si>
  <si>
    <t>ART 1 TRANS DOME</t>
  </si>
  <si>
    <t>TUNA IRR TUBING</t>
  </si>
  <si>
    <t>ART LN FLUSH FLO</t>
  </si>
  <si>
    <t>BAKER TUBE</t>
  </si>
  <si>
    <t>BLADDER IRRIGATION</t>
  </si>
  <si>
    <t>GROSHONG CATH SINGLE</t>
  </si>
  <si>
    <t>GROSHONG CATH 2 LUM</t>
  </si>
  <si>
    <t>1/2 NS 500CC</t>
  </si>
  <si>
    <t>COLE ENDO ADULT</t>
  </si>
  <si>
    <t>D5%W 50 ML</t>
  </si>
  <si>
    <t>05%W LR 500ML</t>
  </si>
  <si>
    <t>ENDO TUBE W/STYLET</t>
  </si>
  <si>
    <t>COLE ENDO INFANT</t>
  </si>
  <si>
    <t>COLE ENDO NEWBORN</t>
  </si>
  <si>
    <t>CYSTO/BLDDR IRR SET</t>
  </si>
  <si>
    <t>ARTHROSCOPY IRRIG TU</t>
  </si>
  <si>
    <t>EMERSON CHEST DS</t>
  </si>
  <si>
    <t>ESOPHAGEL/LINTON</t>
  </si>
  <si>
    <t>TRACH TUBE CUSTOM</t>
  </si>
  <si>
    <t>INTRODUCER, CHOLANG</t>
  </si>
  <si>
    <t>LEVINE TUBE</t>
  </si>
  <si>
    <t>BIVONA TRACH TUBE</t>
  </si>
  <si>
    <t>MILLER ABOTT</t>
  </si>
  <si>
    <t>MINOR INST SET</t>
  </si>
  <si>
    <t>PENROSE DRAIN</t>
  </si>
  <si>
    <t>RING BILI DUCT DR</t>
  </si>
  <si>
    <t>RECTAL TUBE</t>
  </si>
  <si>
    <t>THORACENTISIS TUB</t>
  </si>
  <si>
    <t>SALEM SUMP TUBE</t>
  </si>
  <si>
    <t>TRACHEOSTOMY TUBE</t>
  </si>
  <si>
    <t>R.A.E. TRACH TUBE</t>
  </si>
  <si>
    <t>TUBE CONNECTING</t>
  </si>
  <si>
    <t>THORACIC W/TROCR</t>
  </si>
  <si>
    <t>TRACH TUBE STAINLES</t>
  </si>
  <si>
    <t>THORAC W/O TRCAR</t>
  </si>
  <si>
    <t>TRACH INNER CANNULA</t>
  </si>
  <si>
    <t>THRT SUC CATH KT&amp;TB</t>
  </si>
  <si>
    <t>T U R ABBOTT</t>
  </si>
  <si>
    <t>AIRWAY LARYNG MASK</t>
  </si>
  <si>
    <t>BONE GRAFT</t>
  </si>
  <si>
    <t>BEDPAN DISP</t>
  </si>
  <si>
    <t>COLD PACK/PERINEAL</t>
  </si>
  <si>
    <t>BEDPAN FRACTURE</t>
  </si>
  <si>
    <t>COLLAGRAFT BONE STR</t>
  </si>
  <si>
    <t>BASIN EMESIS</t>
  </si>
  <si>
    <t>AFO SPLINT</t>
  </si>
  <si>
    <t>BATTERIES</t>
  </si>
  <si>
    <t>INTRAVTRN PRESS CAT</t>
  </si>
  <si>
    <t>BETADINE SWAB STK</t>
  </si>
  <si>
    <t>AIRWAY FASTRACH</t>
  </si>
  <si>
    <t>BINDER ABD UNIV</t>
  </si>
  <si>
    <t>ABDUCTION SLING</t>
  </si>
  <si>
    <t>BILE BAG</t>
  </si>
  <si>
    <t>FORCEP-BIOPSY DS-GI</t>
  </si>
  <si>
    <t>BODY WEDGE FOAM</t>
  </si>
  <si>
    <t>WARMING BLANKET</t>
  </si>
  <si>
    <t>BREAST PUMP DISP</t>
  </si>
  <si>
    <t>BULB EAR SYRINGE</t>
  </si>
  <si>
    <t>BREAST BIOPSY NEEDL</t>
  </si>
  <si>
    <t>SYRINGE PRMY BUB</t>
  </si>
  <si>
    <t>LEAD, INT PACEMAKER</t>
  </si>
  <si>
    <t>CLAMP METAL</t>
  </si>
  <si>
    <t>COMB</t>
  </si>
  <si>
    <t>CERVICAL COLLAR</t>
  </si>
  <si>
    <t>VHS CASSETTE TAPE</t>
  </si>
  <si>
    <t>CONNECTOR 5 N 1 DISP</t>
  </si>
  <si>
    <t>CONNECTOR CAP GROSHO</t>
  </si>
  <si>
    <t>CONECTOR Y DISP</t>
  </si>
  <si>
    <t>CARA-KLENZ 6 OZ</t>
  </si>
  <si>
    <t>BARRIER CREAM</t>
  </si>
  <si>
    <t>ODOR ELIMINATOR</t>
  </si>
  <si>
    <t>CVP CATHETER</t>
  </si>
  <si>
    <t>CVP MONITOR</t>
  </si>
  <si>
    <t>DIAPERS ADULT EA</t>
  </si>
  <si>
    <t>NS 250 ML</t>
  </si>
  <si>
    <t>PANTIES, STRETCH</t>
  </si>
  <si>
    <t>ENEMA BUCKET</t>
  </si>
  <si>
    <t>ENDOSCOPY RHT ANGLE</t>
  </si>
  <si>
    <t>ELECTRODE OB FSE</t>
  </si>
  <si>
    <t>EMERSON PUMP ADAPTER</t>
  </si>
  <si>
    <t>DIAPERS TODD DZ</t>
  </si>
  <si>
    <t>HEATING PAD/K-PAD</t>
  </si>
  <si>
    <t>PROTECT ELBOW EA</t>
  </si>
  <si>
    <t>ELEVATED FOOT REST</t>
  </si>
  <si>
    <t>FOOT PILLOW</t>
  </si>
  <si>
    <t>PROTECTOR HEEL</t>
  </si>
  <si>
    <t>ARM PROTECT SLEEVE</t>
  </si>
  <si>
    <t>FOOT POSITIONER W/P</t>
  </si>
  <si>
    <t>ENTRIFLEX FEED T</t>
  </si>
  <si>
    <t>ENTREFLEX STYLET</t>
  </si>
  <si>
    <t>ONE TOUCH GLUCOSCAN</t>
  </si>
  <si>
    <t>FOGARTY CATH</t>
  </si>
  <si>
    <t>POLYP TRAP</t>
  </si>
  <si>
    <t>VAC CANNISTER</t>
  </si>
  <si>
    <t>05%W LR 1000ML</t>
  </si>
  <si>
    <t>FEEDING TUBE</t>
  </si>
  <si>
    <t>LOPEZ VALVE (INT)</t>
  </si>
  <si>
    <t>FEEDING SYRINGE</t>
  </si>
  <si>
    <t>BOLIS FEEDING BAG</t>
  </si>
  <si>
    <t>GLOVES UNSTRL BX</t>
  </si>
  <si>
    <t>GOWN PERSON PROTECT</t>
  </si>
  <si>
    <t>GLOVES STERL PR</t>
  </si>
  <si>
    <t>GOWN DR SURGICAL ST</t>
  </si>
  <si>
    <t>GOWN OR SPECIAL XXL</t>
  </si>
  <si>
    <t>GRADUATES</t>
  </si>
  <si>
    <t>GRAFT LIGAMENT ALLO</t>
  </si>
  <si>
    <t>HEMOVAC_KIT</t>
  </si>
  <si>
    <t>GI HEAT PROBE</t>
  </si>
  <si>
    <t>ICE BAG CONSTANT</t>
  </si>
  <si>
    <t>HIP LAG SCREW</t>
  </si>
  <si>
    <t>HIP BONE REAMER</t>
  </si>
  <si>
    <t>INCONTINENT SKIN CAR</t>
  </si>
  <si>
    <t>SEQUENTIAL COMPRESS</t>
  </si>
  <si>
    <t>LAPIDUS MATT SET</t>
  </si>
  <si>
    <t>LEMON/GLY SWB PK</t>
  </si>
  <si>
    <t>APP AIR MATTRESS</t>
  </si>
  <si>
    <t>LINEN SAVERS/5</t>
  </si>
  <si>
    <t>DONUT FOAM</t>
  </si>
  <si>
    <t>FOAM MATTRESS</t>
  </si>
  <si>
    <t>GEL CUSHION</t>
  </si>
  <si>
    <t>METAL EYE SHIELD</t>
  </si>
  <si>
    <t>HYPERTHERMIA MATT</t>
  </si>
  <si>
    <t>METAL CATH TIP</t>
  </si>
  <si>
    <t>CHIA PERCPASSER</t>
  </si>
  <si>
    <t>NASAL PACKING PKG</t>
  </si>
  <si>
    <t>NEEDLE REGNAL BLCOK</t>
  </si>
  <si>
    <t>PER HYG SUPPLY ORCK</t>
  </si>
  <si>
    <t>OUT PATIENT KIT</t>
  </si>
  <si>
    <t>HYPERTHERMIA PROBE</t>
  </si>
  <si>
    <t>PERI BOTTLE</t>
  </si>
  <si>
    <t>PER HYG SUPPLY PERI</t>
  </si>
  <si>
    <t>PLSTIC INFLA RING</t>
  </si>
  <si>
    <t>GAIT BELT</t>
  </si>
  <si>
    <t>PUDDLE VAC</t>
  </si>
  <si>
    <t>BLADE, SURG CLIPPER</t>
  </si>
  <si>
    <t>RAZOR PREP DISP</t>
  </si>
  <si>
    <t>RAZOR FACIAL</t>
  </si>
  <si>
    <t>SUCTION LINER 1500CC</t>
  </si>
  <si>
    <t>RIB BELT UNIVERSL</t>
  </si>
  <si>
    <t>MITTS FINGER CONTRO</t>
  </si>
  <si>
    <t>REST PED LIMB EA</t>
  </si>
  <si>
    <t>REST AD LIMB EA</t>
  </si>
  <si>
    <t>REST CHILD LIMB EA</t>
  </si>
  <si>
    <t>D5 1/2 WNS 1000 ML</t>
  </si>
  <si>
    <t>D5%W 1000ML</t>
  </si>
  <si>
    <t>RESTRAINT JACKET</t>
  </si>
  <si>
    <t>SANI-PAN</t>
  </si>
  <si>
    <t>PER HYG SUPPLY SNTY</t>
  </si>
  <si>
    <t>SATIN-SLIP INT STY</t>
  </si>
  <si>
    <t>SCREW BONE EBI</t>
  </si>
  <si>
    <t>SCALPEL DISP</t>
  </si>
  <si>
    <t>SCLEROTHERAPY NEEDLE</t>
  </si>
  <si>
    <t>NS 500ML</t>
  </si>
  <si>
    <t>SCRUB BRUSH B/P</t>
  </si>
  <si>
    <t>SEIZURE STICK</t>
  </si>
  <si>
    <t>FACIAL SHAVE KIT</t>
  </si>
  <si>
    <t>D5%W 100 ML</t>
  </si>
  <si>
    <t>ONE TOUCH DISP. DOOR</t>
  </si>
  <si>
    <t>SIGMOIDSCOP SPEC DI</t>
  </si>
  <si>
    <t>SHEEPSKIN SYNTHETIC</t>
  </si>
  <si>
    <t>SITZ BATH PORTA</t>
  </si>
  <si>
    <t>D5% W 1/2 NS</t>
  </si>
  <si>
    <t>SLEEVES SEQ COMPRES</t>
  </si>
  <si>
    <t>PER HYG SUPPLY BRSP</t>
  </si>
  <si>
    <t>SILASTIC SHEETING</t>
  </si>
  <si>
    <t>SPECIMEN CONTAIN</t>
  </si>
  <si>
    <t>STERIDRAPE NCZ 1035</t>
  </si>
  <si>
    <t>SPECIMEN TRAP</t>
  </si>
  <si>
    <t>STERIDRAPE NCZ 1050</t>
  </si>
  <si>
    <t>STAPL REMOV DISP</t>
  </si>
  <si>
    <t>STERIDRAPE TOWL1000</t>
  </si>
  <si>
    <t>STERI DRAPE 1092</t>
  </si>
  <si>
    <t>STOCKINGS ANTI E</t>
  </si>
  <si>
    <t>STOPCOCK DISP</t>
  </si>
  <si>
    <t>SYRINGE DISP</t>
  </si>
  <si>
    <t>ADD'L SUTURES EA</t>
  </si>
  <si>
    <t>SUTURE PROLENE 8.0</t>
  </si>
  <si>
    <t>SWAB STICK 6</t>
  </si>
  <si>
    <t>PERS HYG SUPPLY TISU</t>
  </si>
  <si>
    <t>TORNIQUET DISP OR</t>
  </si>
  <si>
    <t>TONGUE BLAD STRL</t>
  </si>
  <si>
    <t>TOOTHBRUSH SUCTION</t>
  </si>
  <si>
    <t>TOOTHETES BAG/20</t>
  </si>
  <si>
    <t>NASAL MRCL STXST PR</t>
  </si>
  <si>
    <t>NASAL MRCL EPSTX PR</t>
  </si>
  <si>
    <t>UMBILICAL CATH TUBE</t>
  </si>
  <si>
    <t>NASAL MRCL P EPX PR</t>
  </si>
  <si>
    <t>URINALS</t>
  </si>
  <si>
    <t>STERILE BOWL</t>
  </si>
  <si>
    <t>VAC BOTTL 1000CC</t>
  </si>
  <si>
    <t>VAG IRRIG DISP</t>
  </si>
  <si>
    <t>ORAL CARE PREP PACK</t>
  </si>
  <si>
    <t>ORAL CARE HANDLE</t>
  </si>
  <si>
    <t>ORAL CARE KITS</t>
  </si>
  <si>
    <t>VAG PACKING</t>
  </si>
  <si>
    <t>VAG SPECULUM DISP</t>
  </si>
  <si>
    <t>ACL TRANS TIB KIT</t>
  </si>
  <si>
    <t>PERS HYG SUPPLY WCDP</t>
  </si>
  <si>
    <t>INST USE STAINLESS</t>
  </si>
  <si>
    <t>ACL RENTAL TEAM SRG</t>
  </si>
  <si>
    <t>ACL DISP KIT TEAM S</t>
  </si>
  <si>
    <t>YANKAUER SUCT TIP</t>
  </si>
  <si>
    <t>BIO RCL RENTAL</t>
  </si>
  <si>
    <t>ABDUCTION PILLOW</t>
  </si>
  <si>
    <t>AIRSHLD DRAIN BAG</t>
  </si>
  <si>
    <t>ADMIT KIT</t>
  </si>
  <si>
    <t>TUNNEL NOTCHER</t>
  </si>
  <si>
    <t>MULTI-BAND LIGATOR</t>
  </si>
  <si>
    <t>AIRWAY</t>
  </si>
  <si>
    <t>ESOP OBTUR AIRWY</t>
  </si>
  <si>
    <t>JAMSHIDI STAIN USE</t>
  </si>
  <si>
    <t>CORSON PROBE LASER</t>
  </si>
  <si>
    <t>JAMSHIDI DISP 11</t>
  </si>
  <si>
    <t>EPIDURAL NEEDLE</t>
  </si>
  <si>
    <t>JAMSHIDI DISP I11 AS</t>
  </si>
  <si>
    <t>JAMSHIDI DISP SOF</t>
  </si>
  <si>
    <t>CHIBA NEEDLE</t>
  </si>
  <si>
    <t>SPECIAL DISP</t>
  </si>
  <si>
    <t>SPINAL NEEDLE DISP</t>
  </si>
  <si>
    <t>LASER NEEDLE</t>
  </si>
  <si>
    <t>BIOPSY NEDLE T/CUT</t>
  </si>
  <si>
    <t>TAPE RL ADHESIVE</t>
  </si>
  <si>
    <t>COBAN ROLL</t>
  </si>
  <si>
    <t>ELASTOMULL 2"</t>
  </si>
  <si>
    <t>ELASTOMULL 3</t>
  </si>
  <si>
    <t>ELASTOMULL 4IN</t>
  </si>
  <si>
    <t>ELASTOPLAST ROLL</t>
  </si>
  <si>
    <t>TAPE RL DURAPORE SL</t>
  </si>
  <si>
    <t>TAPE RL MICROFOAM</t>
  </si>
  <si>
    <t>TAPE RL MICRO/PAPER</t>
  </si>
  <si>
    <t>ECOFIX RETENTION TP</t>
  </si>
  <si>
    <t>OGDEN SCREW SHOULDR</t>
  </si>
  <si>
    <t>ERCP CATH GLOW TIP</t>
  </si>
  <si>
    <t>ERCP PROTECTR GUIDE</t>
  </si>
  <si>
    <t>WAND ARTHRO INT-MED</t>
  </si>
  <si>
    <t>OGDEN ANCHOR SET</t>
  </si>
  <si>
    <t>OGDEN ANCHOR 7.4 MM</t>
  </si>
  <si>
    <t>ESOPHAGEAL STETHOSCO</t>
  </si>
  <si>
    <t>PIN SMILLIE R ALL 2</t>
  </si>
  <si>
    <t>SPINAL ANESTHESIA TR</t>
  </si>
  <si>
    <t>BITE BLOCK</t>
  </si>
  <si>
    <t>MASK ANESTHESIA</t>
  </si>
  <si>
    <t>BREATHING KIT I P T</t>
  </si>
  <si>
    <t>OHIO BREATHING CIRC.</t>
  </si>
  <si>
    <t>ANESTHESIA KIT</t>
  </si>
  <si>
    <t>BLADE DOUBLECUT</t>
  </si>
  <si>
    <t>BLADE DISSECTOR</t>
  </si>
  <si>
    <t>BLADE FULL RADIUS</t>
  </si>
  <si>
    <t>ARTHROSCOPY PACK</t>
  </si>
  <si>
    <t>SHOULDER ARTHRO PAK</t>
  </si>
  <si>
    <t>TOTAL KNEE PACK</t>
  </si>
  <si>
    <t>POUCH SHOULDER</t>
  </si>
  <si>
    <t>HIP LABRAL IMPLANT</t>
  </si>
  <si>
    <t>BASIC PACK</t>
  </si>
  <si>
    <t>ADAPTER HUMERAL HEAD</t>
  </si>
  <si>
    <t>INTERNAL BRACE KIT</t>
  </si>
  <si>
    <t>FIBER TAPE KIT</t>
  </si>
  <si>
    <t>FIBERSTICH</t>
  </si>
  <si>
    <t>HALF/DRAPE SHEET</t>
  </si>
  <si>
    <t>HAND DRAPE</t>
  </si>
  <si>
    <t>TIGHTROPE ACL</t>
  </si>
  <si>
    <t>ANKLE DISTRACT STRAP</t>
  </si>
  <si>
    <t>ALIGNMENT ROD</t>
  </si>
  <si>
    <t>GYN/PERI-CYN PACK</t>
  </si>
  <si>
    <t>MENISCUS NEEDLES</t>
  </si>
  <si>
    <t>ECLIPSE TRUNION IMPLANT</t>
  </si>
  <si>
    <t>IMPLANT ECLIPSE CAGE SCREW</t>
  </si>
  <si>
    <t>CYSTOSCOPY PACK</t>
  </si>
  <si>
    <t>HIP DRAPE</t>
  </si>
  <si>
    <t>GRAFT KNIFE HANDLE</t>
  </si>
  <si>
    <t>BLADE GRAFT KNIFE</t>
  </si>
  <si>
    <t>ROUND BED PILLOW</t>
  </si>
  <si>
    <t>CERVICAL PILLOW</t>
  </si>
  <si>
    <t>TURP LIGEMAN PACK</t>
  </si>
  <si>
    <t>ANCHOR DRIVER KIT</t>
  </si>
  <si>
    <t>TENDON STAPLES</t>
  </si>
  <si>
    <t>LAP PACK</t>
  </si>
  <si>
    <t>LAP DRAPE W/POUCHES</t>
  </si>
  <si>
    <t>HUMERAL HEAD</t>
  </si>
  <si>
    <t>LAP DRAPE</t>
  </si>
  <si>
    <t>BIALAT FOOT SHEET</t>
  </si>
  <si>
    <t>TUR LIGEMAN DRAPE</t>
  </si>
  <si>
    <t>EXTREMITY SHEET</t>
  </si>
  <si>
    <t>DRAPE SHOULDER</t>
  </si>
  <si>
    <t>LEGGINS</t>
  </si>
  <si>
    <t>LAPAROSCOPY PACK</t>
  </si>
  <si>
    <t>ZIP LINE CLOSURE</t>
  </si>
  <si>
    <t>MAYO STAND COVER</t>
  </si>
  <si>
    <t>COVER,TABLE</t>
  </si>
  <si>
    <t>TENDON, ACH IMPLANT</t>
  </si>
  <si>
    <t>SUTURE CUP PROSTHES</t>
  </si>
  <si>
    <t>MAGNETIC DRAPE</t>
  </si>
  <si>
    <t>BLADE KOBYGARD</t>
  </si>
  <si>
    <t>SPLIT SHEET</t>
  </si>
  <si>
    <t>HEMICAP RESURFACING</t>
  </si>
  <si>
    <t>PFANN LAP SHEET</t>
  </si>
  <si>
    <t>DRILL POWERPICK</t>
  </si>
  <si>
    <t>PREP TRAY OR</t>
  </si>
  <si>
    <t>ORTHO PACK</t>
  </si>
  <si>
    <t>COMBINE ROLL/YD</t>
  </si>
  <si>
    <t>MICROPAD/PKG OVER 2</t>
  </si>
  <si>
    <t>CAST LONG ARM/TAPE</t>
  </si>
  <si>
    <t>FLIP CUTTER</t>
  </si>
  <si>
    <t>CAST SHORT ARM/TAPE</t>
  </si>
  <si>
    <t>TISSEEL FIBRIN SEAL</t>
  </si>
  <si>
    <t>CAST FOOT/ANKLE/PLA</t>
  </si>
  <si>
    <t>CAST LONG LEG/TAPE</t>
  </si>
  <si>
    <t>DOG BONE</t>
  </si>
  <si>
    <t>PERC. KIT</t>
  </si>
  <si>
    <t>CAST SHORT LEG/TAPE</t>
  </si>
  <si>
    <t>CARTILAGE KIT</t>
  </si>
  <si>
    <t>CAST HAND/PLASTER</t>
  </si>
  <si>
    <t>CASTINGS TAPE DELTA</t>
  </si>
  <si>
    <t>FUNNEL</t>
  </si>
  <si>
    <t>INST LOAN FEE MISC</t>
  </si>
  <si>
    <t>DELIVERY FEE SPECIAL</t>
  </si>
  <si>
    <t>PLASTER SPINT/EA</t>
  </si>
  <si>
    <t>ACP KIT</t>
  </si>
  <si>
    <t>INST DELIV FEE MISC</t>
  </si>
  <si>
    <t>PEC BUTTON KIT</t>
  </si>
  <si>
    <t>TEST</t>
  </si>
  <si>
    <t>ARM SPLINT</t>
  </si>
  <si>
    <t>PEC REPAIR KIT</t>
  </si>
  <si>
    <t>OATS SET 10-MM</t>
  </si>
  <si>
    <t>ACCUMIX PASTER</t>
  </si>
  <si>
    <t>DELIVERY CANNULA</t>
  </si>
  <si>
    <t>SWANSON RADIAL HEAD</t>
  </si>
  <si>
    <t>RADIAL HEAD STEM</t>
  </si>
  <si>
    <t>ANKOR ORTHRO</t>
  </si>
  <si>
    <t>COMPONET TIB SURFCE</t>
  </si>
  <si>
    <t>MENISCAL ARROW IMPL</t>
  </si>
  <si>
    <t>COMPONET FEMORAL</t>
  </si>
  <si>
    <t>FEMORAL BLOCK</t>
  </si>
  <si>
    <t>COMPONET INSERT</t>
  </si>
  <si>
    <t>FEE, LOANER IMPLANT</t>
  </si>
  <si>
    <t>ONE CEMENT PREP KIT</t>
  </si>
  <si>
    <t>EXTENSION STEM STRT</t>
  </si>
  <si>
    <t>COMPONET PATELLAR</t>
  </si>
  <si>
    <t>COMPONET TIBIAL</t>
  </si>
  <si>
    <t>INST LOAN FEE</t>
  </si>
  <si>
    <t>INST LOAN FEE-RICH.</t>
  </si>
  <si>
    <t>INSTRUM LOAN FEE</t>
  </si>
  <si>
    <t>INST DELIV FEE RICH.</t>
  </si>
  <si>
    <t>BONE CARBON ROD SYN</t>
  </si>
  <si>
    <t>BONE CHIPS</t>
  </si>
  <si>
    <t>BONE CEMNT SUPR BWL</t>
  </si>
  <si>
    <t>BONE CEMENT</t>
  </si>
  <si>
    <t>PAIN PUMP</t>
  </si>
  <si>
    <t>BONE CEMENT MIXER</t>
  </si>
  <si>
    <t>LENS HOOD</t>
  </si>
  <si>
    <t>LENS HOOD FILTER</t>
  </si>
  <si>
    <t>BONE WAX</t>
  </si>
  <si>
    <t>CEMENT DISPENSER JV</t>
  </si>
  <si>
    <t>CEMENT DISPENSER SY</t>
  </si>
  <si>
    <t>CEMENT PALACOS</t>
  </si>
  <si>
    <t>BONE CLAMP SYNTHES</t>
  </si>
  <si>
    <t>CAMERA CASSETTE COVE</t>
  </si>
  <si>
    <t>ACCU-CUT GUIDE</t>
  </si>
  <si>
    <t>DRILL GUIDE CONCEPT</t>
  </si>
  <si>
    <t>DRILL EYELET PASSER</t>
  </si>
  <si>
    <t>C-ARM DRAPE</t>
  </si>
  <si>
    <t>POWER RASP</t>
  </si>
  <si>
    <t>BIOCARTILAGE</t>
  </si>
  <si>
    <t>TISSUE MATRIX BIO-D</t>
  </si>
  <si>
    <t>SCREW HEADLESS</t>
  </si>
  <si>
    <t>XEROSOX CAST PROTEC</t>
  </si>
  <si>
    <t>COMPRESSION PLATE</t>
  </si>
  <si>
    <t>TIBIAL PLATE</t>
  </si>
  <si>
    <t>LATERAL FIB. PLATE</t>
  </si>
  <si>
    <t>ALLEN WRENCH EBI</t>
  </si>
  <si>
    <t>WASHER PLAIN ALL</t>
  </si>
  <si>
    <t>SCREW CORTICAL/CRTX</t>
  </si>
  <si>
    <t>PATELLA TENDONER 12</t>
  </si>
  <si>
    <t>STANDARD T-CLAMP</t>
  </si>
  <si>
    <t>CANNULA UNIVERSAL A</t>
  </si>
  <si>
    <t>DRILLBIT CANNULATED</t>
  </si>
  <si>
    <t>NERO SPONGE</t>
  </si>
  <si>
    <t>HIP FEMORAL HEAD</t>
  </si>
  <si>
    <t>DRILL BITS SYN-ZIMR</t>
  </si>
  <si>
    <t>ZIMMER RASP</t>
  </si>
  <si>
    <t>FRACTURE STAPLES</t>
  </si>
  <si>
    <t>HIP BONE SCREW</t>
  </si>
  <si>
    <t>HIP FEMORAL STEM</t>
  </si>
  <si>
    <t>HIP SHELL LINER</t>
  </si>
  <si>
    <t>FLEXIBLE TOE IMPL</t>
  </si>
  <si>
    <t>FLEXBAND PLUS 0.5X16CM</t>
  </si>
  <si>
    <t>2.7MM CALIB SCREW 3.5X16MM</t>
  </si>
  <si>
    <t>CORTICAL SCREW 3.5X16MM</t>
  </si>
  <si>
    <t>CORTICAL SCREW 3.5X18MM</t>
  </si>
  <si>
    <t>BLADE SAGITAL SAW</t>
  </si>
  <si>
    <t>3.5MM CORT LOCK SCR 12MM NS</t>
  </si>
  <si>
    <t>3.5MM LOCK COM PLATE 7 HOLE</t>
  </si>
  <si>
    <t>DRILL BIT 2.5MM</t>
  </si>
  <si>
    <t>MENISCAL ROOT REPAIR PACK W UL</t>
  </si>
  <si>
    <t>ACP + ACD-A KIT</t>
  </si>
  <si>
    <t>COUNTER TRACTION PAD FOR WRIST</t>
  </si>
  <si>
    <t>GRAFT SECT SAW BLADE</t>
  </si>
  <si>
    <t>HAND PAD FOR WRIST TRACN TWR 5</t>
  </si>
  <si>
    <t>PRESS FIT HUMERAL IMPLANTSIZEB</t>
  </si>
  <si>
    <t>DRILL GUIDE LOCKING PINS</t>
  </si>
  <si>
    <t>LOCK SCREW SQUARE 2.7MMX14MM</t>
  </si>
  <si>
    <t>LOCK SCREW SQUARE 2.7MMX20MM</t>
  </si>
  <si>
    <t>LOCK SCREW SQUARE 2.7MMX22MM</t>
  </si>
  <si>
    <t>LOCK SCREW SQUARE 2.7MMX24MM</t>
  </si>
  <si>
    <t>BLADE GIGLI SAW</t>
  </si>
  <si>
    <t>LP NON LOCK 2.7MM X 16MM</t>
  </si>
  <si>
    <t>LP NON LOCK 2.7MM X 18MM</t>
  </si>
  <si>
    <t>DVR LOCK STANDARD L</t>
  </si>
  <si>
    <t>DRILL BIT 2.2MM NS</t>
  </si>
  <si>
    <t>K-WIRE SS 1.6 X 127MM NS</t>
  </si>
  <si>
    <t>DYNANITE VIP GLENOID PIN, NITI</t>
  </si>
  <si>
    <t>UNIVERS REVERS HUMERSTEMSIZE10</t>
  </si>
  <si>
    <t>UNIVERS REVERS SUTURE CUP,36 N</t>
  </si>
  <si>
    <t>HUMERAL INSERTS/36+3TOFIT36CUP</t>
  </si>
  <si>
    <t>5.5X24MM PERIPHERAL SCREW LOCK</t>
  </si>
  <si>
    <t>5.5X16MM PERIPHERAL SCREW LOCK</t>
  </si>
  <si>
    <t>36/24 GLENOSPHERE</t>
  </si>
  <si>
    <t>24MM BASEPLATE10FULLAUGMENT+2L</t>
  </si>
  <si>
    <t>MODULAR POST, 20MM</t>
  </si>
  <si>
    <t>3.0MM MGS DRILL BIT, STERILE</t>
  </si>
  <si>
    <t>SHORT BEVEL 35 2.3MM 35 ICW</t>
  </si>
  <si>
    <t>ANGLED REAMER HEAD, S</t>
  </si>
  <si>
    <t>SM BONE SAW BLADE</t>
  </si>
  <si>
    <t>VIP GC 5D-1:GLENOID CALIBRATOR</t>
  </si>
  <si>
    <t>3-PEG GLENOID, SM</t>
  </si>
  <si>
    <t>JRF SPEEDGRAFT</t>
  </si>
  <si>
    <t>MICROPORT TOTAL KNEE REPLACEME</t>
  </si>
  <si>
    <t>HUMERAL CUT GUIDE FIXATION KIT</t>
  </si>
  <si>
    <t>SMALL RIGHT PERIMETER PLATE</t>
  </si>
  <si>
    <t>2.5 LONG DRILL</t>
  </si>
  <si>
    <t>BLADE BONE BURR</t>
  </si>
  <si>
    <t>2.5 SHORT DRILL</t>
  </si>
  <si>
    <t>BB-TAK</t>
  </si>
  <si>
    <t>3.5X20MM CORTICAL SCREW</t>
  </si>
  <si>
    <t>3.5X22MM CORTICAL SCREW</t>
  </si>
  <si>
    <t>3.5X20MM LOCKING SCREW</t>
  </si>
  <si>
    <t>3.5X22MM LOCKING SCREW</t>
  </si>
  <si>
    <t>GUIDE PIN</t>
  </si>
  <si>
    <t>3.5X24MM LOCKING SCREW</t>
  </si>
  <si>
    <t>DECELLULARIZED DERMIS</t>
  </si>
  <si>
    <t>BENCOX M STEM STANDARD OFFSET</t>
  </si>
  <si>
    <t>BENCOX DELTA HEAD 28MMLONG+3.5</t>
  </si>
  <si>
    <t>BENCOX MIRABO CUP 3 HOLE 46MMB</t>
  </si>
  <si>
    <t>BENCOX MIRABO PE LINER S 28/37</t>
  </si>
  <si>
    <t>3-HOLE PROLOCK II RADIUS PLATE</t>
  </si>
  <si>
    <t>FIXATION STAPLES</t>
  </si>
  <si>
    <t>3.0MM X 14MM LOCKING CORTICAL</t>
  </si>
  <si>
    <t>3.0MM X 18MM CANCELLOUS A/S</t>
  </si>
  <si>
    <t>3.0MM X 20MM CANCELLOUS A/S</t>
  </si>
  <si>
    <t>3.0MM X 22MM CANCELLOUS A/S</t>
  </si>
  <si>
    <t>2.7MM X 14MM CORTICAL SCREW</t>
  </si>
  <si>
    <t>2.4MM X 20MM LOCKING STABILIZE</t>
  </si>
  <si>
    <t>1.6MM X 150MM K-WIRE SMOOTH</t>
  </si>
  <si>
    <t>HEALICOIL RSB SA 4.75MM W/1 UT</t>
  </si>
  <si>
    <t>SUTURE ANCHOR, PEEK SWIVELOCK</t>
  </si>
  <si>
    <t>3.5MM HEX HEADED SCREW X</t>
  </si>
  <si>
    <t>HEADLESS TROCAR DRILL PIN 75MM</t>
  </si>
  <si>
    <t>PSN FEM CR CMT CCR STD SZ11 L</t>
  </si>
  <si>
    <t>PSN MC VE ASF L 10MM 8-11 GH</t>
  </si>
  <si>
    <t>PSN TIB STM 5 DEG SZ G L</t>
  </si>
  <si>
    <t>PSN ALL POLY PAT PLY 35MM</t>
  </si>
  <si>
    <t>PSN 2.5MM FEMALE SCREW 25MM</t>
  </si>
  <si>
    <t>PSN FEM CR CMT CCR NRW SZ4 R</t>
  </si>
  <si>
    <t>CIRCI TRAY</t>
  </si>
  <si>
    <t>PSN MC VE ASF R 10MM 4-5/CD</t>
  </si>
  <si>
    <t>PSN TIB STM 5 DEG SZ C R</t>
  </si>
  <si>
    <t>PSN ALL POLY PAT PLY 29MM</t>
  </si>
  <si>
    <t>FEMORAL IMPLANT CR, CEMENTED</t>
  </si>
  <si>
    <t>TIBIAL BEARING IMPLANT CR PLUS</t>
  </si>
  <si>
    <t>TIBIAL TRAY, MODULAR, SIZE 5</t>
  </si>
  <si>
    <t>PATELLA IMPLANT, DOME, VIT E</t>
  </si>
  <si>
    <t>CALCANEUS BONE GRAF</t>
  </si>
  <si>
    <t>OPTITWIST VACUUM MIXING BOWL</t>
  </si>
  <si>
    <t>COBALT G-HV BONE CEMENT 40GM</t>
  </si>
  <si>
    <t>FEM CEMENTED SIZ 5, L-MEDIAL</t>
  </si>
  <si>
    <t>TIB CEMENTED TRAY, SIZE3 LM/RL</t>
  </si>
  <si>
    <t>TIBIAL BEARING, SIZE3 8MM VITE</t>
  </si>
  <si>
    <t>HEADED THREADED PIN, SHORT</t>
  </si>
  <si>
    <t>3" HEADLESS THREADED PIN</t>
  </si>
  <si>
    <t>GRAFT SHOULDER</t>
  </si>
  <si>
    <t>DISP TIB CUT GUIDE, LEFT</t>
  </si>
  <si>
    <t>PSN FEM CR CMT CCR STD SZ8 R</t>
  </si>
  <si>
    <t>PSN MC VE ASF R 10MM 8-11 GH</t>
  </si>
  <si>
    <t>PSN ALL POLY PAT PLY 32MM</t>
  </si>
  <si>
    <t>HEALICOIL RSB SA 5.5MM W/1 UT</t>
  </si>
  <si>
    <t>MICROMATRIX, 200MG</t>
  </si>
  <si>
    <t>MICROMATRIX, 500MG</t>
  </si>
  <si>
    <t>AIR STAPLER RENTAL</t>
  </si>
  <si>
    <t>HEALICOIL KNOTLESS REGENESORB</t>
  </si>
  <si>
    <t>FIRSTPASS STR PASSR SELF</t>
  </si>
  <si>
    <t>PHYSICA/TIBIA LINER, #4H 10MMR</t>
  </si>
  <si>
    <t>PHYSICA KNEE/FIXED TIBIA PLATE</t>
  </si>
  <si>
    <t>PHYSICA/PATELLAR PROSTHESES</t>
  </si>
  <si>
    <t>PHYSICA/FEMORAL COMPONENT #4CR</t>
  </si>
  <si>
    <t>SCORPION-MULTIFIRE NEEDLE</t>
  </si>
  <si>
    <t>SZ 8, L CR FEMUR</t>
  </si>
  <si>
    <t>SZ 7 TIBIAL TRAY</t>
  </si>
  <si>
    <t>SZ 7,8MMTHICKNESS CR PLUS VITE</t>
  </si>
  <si>
    <t>34 X 9MM VIT E PATELLA</t>
  </si>
  <si>
    <t>DOUBLE HEADED PIN</t>
  </si>
  <si>
    <t>REFLEX ULTRA 45 W/ INTEGRATED</t>
  </si>
  <si>
    <t>PHYSICA CR FEMORAL COMPONENT#5</t>
  </si>
  <si>
    <t>BIOINDUCTIVE IMPLANT W/ARTH</t>
  </si>
  <si>
    <t>TENDON ANCHORS 8</t>
  </si>
  <si>
    <t>BONE ANCHORS 3 W ARTHRO DEL</t>
  </si>
  <si>
    <t>MANIPULTR UTERN 4.5</t>
  </si>
  <si>
    <t>DRILL BIT,AO,LO-PRO PLATESCREW</t>
  </si>
  <si>
    <t>LOW PROFILE SCREW, 2.4 X 10MM,</t>
  </si>
  <si>
    <t>LOW PROFILE SCREW 2.4 X 12MM,</t>
  </si>
  <si>
    <t>2.4 X 10MM VAL SCREW, TI</t>
  </si>
  <si>
    <t>2.4 X 12MM VAL SCREW, TI</t>
  </si>
  <si>
    <t>DRILL BIT, 1.7MM</t>
  </si>
  <si>
    <t>MANIPULTR UTERN 5.0</t>
  </si>
  <si>
    <t>LO-PRO STR PLT, 2.4MM5 HOLE</t>
  </si>
  <si>
    <t>4 HOLE LEFT DISTAL FIB PLATE</t>
  </si>
  <si>
    <t>1.35 GUIDEWIRE</t>
  </si>
  <si>
    <t>2MM DRILL</t>
  </si>
  <si>
    <t>2.6 CANNULATED DRILL</t>
  </si>
  <si>
    <t>2.7 X 12MM LOCKING SCREW</t>
  </si>
  <si>
    <t>CHOLAN CANNULA UNIT</t>
  </si>
  <si>
    <t>2.7 X 14MM LOCKING SCREW</t>
  </si>
  <si>
    <t>2.7 X 16MM LOCKING SCREW</t>
  </si>
  <si>
    <t>2.7 X 22MM LOCKING SCREW</t>
  </si>
  <si>
    <t>2.7 X 22MM CORTICAL SCREW</t>
  </si>
  <si>
    <t>3.5 X 10MM CORTICAL SCREW</t>
  </si>
  <si>
    <t>3.5 X 12MM CORTICAL SCREW</t>
  </si>
  <si>
    <t>HIP SHELL</t>
  </si>
  <si>
    <t>DISTAL FIBULA PLATE 3.5,6HOLES</t>
  </si>
  <si>
    <t>STRAIGHT PLATE 3.5,7HOLES, L99</t>
  </si>
  <si>
    <t>CORTICAL SCREWS 14MM</t>
  </si>
  <si>
    <t>CORTICAL SCREW 28MM</t>
  </si>
  <si>
    <t>CORTICAL SCREW 38MM</t>
  </si>
  <si>
    <t>CORTICAL SCREW L 40</t>
  </si>
  <si>
    <t>BLADE CONCEPT</t>
  </si>
  <si>
    <t>COTICAL SCREW L 42</t>
  </si>
  <si>
    <t>CANCELLOUS SCREW 4.0, SM HEAD</t>
  </si>
  <si>
    <t>INTERNAL BRACE</t>
  </si>
  <si>
    <t>3.5 X 30MM HEADLESS SCREW</t>
  </si>
  <si>
    <t>3.5 X 24MM HEADLESS SCREW</t>
  </si>
  <si>
    <t>2.7MM CANNULATED DRILL</t>
  </si>
  <si>
    <t>1.1 GUIDEWIRE</t>
  </si>
  <si>
    <t>PURASINUS ABSORB NASAL HEMOSTA</t>
  </si>
  <si>
    <t>ALLOPATCH PILABLE 4CM X 4CM</t>
  </si>
  <si>
    <t>VOLAR PLATE, DBL ROW, STND R</t>
  </si>
  <si>
    <t>LOCKING SCREW, 2.5X16MM, COCR</t>
  </si>
  <si>
    <t>LOCKING SCREW, 2.5X18MM, COCR</t>
  </si>
  <si>
    <t>K-WIRE SPADE TIP</t>
  </si>
  <si>
    <t>LOCKING SCREW, 2.5X20MM, COCR</t>
  </si>
  <si>
    <t>NON-LOCKING SCREW, 2.5X12MM</t>
  </si>
  <si>
    <t>NON-LOCKING SCREW, 2.5X14MM</t>
  </si>
  <si>
    <t>1.8MM DRILL BIT, 100MM, AO QUI</t>
  </si>
  <si>
    <t>1.6MM K-WIRE, TROCAR TIP,150MM</t>
  </si>
  <si>
    <t>3.2MMX30MM RNGLC+ACET DRIL BIT</t>
  </si>
  <si>
    <t>G7 DUAL MOBILITY LINER 42MM E</t>
  </si>
  <si>
    <t>BLADE OSCILATING SAW</t>
  </si>
  <si>
    <t>28MM MOD HD STD NECK TP1 TAPER</t>
  </si>
  <si>
    <t>G7 SCREW 6.5MM X 20MM</t>
  </si>
  <si>
    <t>G7 SCREW 6.5MM X 40MM</t>
  </si>
  <si>
    <t>G7 OSSEOTI 3 HOLE SHELL 52MM E</t>
  </si>
  <si>
    <t>TPRLC 133 MP TYPE1 PPS HO 10.0</t>
  </si>
  <si>
    <t>LONGEVITY DM BEARING 28X42MM</t>
  </si>
  <si>
    <t>K-WIRE DRILL TIP</t>
  </si>
  <si>
    <t>GRAFT SPREADER</t>
  </si>
  <si>
    <t>TISSUETAK TENDON ANCHOR</t>
  </si>
  <si>
    <t>AFLEX401</t>
  </si>
  <si>
    <t>ACL TIGHTROPE WITH FIBERTAG</t>
  </si>
  <si>
    <t>ACL TIGHTROPE W/ FIBERTAG, ABS</t>
  </si>
  <si>
    <t>QUADPRO HARVESTER, 10 MM</t>
  </si>
  <si>
    <t>AIR STAPLE CARTRIDGE</t>
  </si>
  <si>
    <t>2.7MM DRILLBIT,CMPFT,CALIBRATE</t>
  </si>
  <si>
    <t>.045" GUIDE WIRE TROCAR TIP</t>
  </si>
  <si>
    <t>QCKFIX SCRW,TICANNST,CANC.,4.0</t>
  </si>
  <si>
    <t>WASHER, 7.0MM, TI</t>
  </si>
  <si>
    <t>FIRSTPASS MINI STRAIGHT</t>
  </si>
  <si>
    <t>NOVOCUT SUTURE MANAGER</t>
  </si>
  <si>
    <t>FAST FIX FLX CRVD INSRTR BNDR</t>
  </si>
  <si>
    <t>GUIDE WIRE CANUFLEX</t>
  </si>
  <si>
    <t>MENISCAL ROOT REPAIR PACK WITH</t>
  </si>
  <si>
    <t>2.7 X 10 LOCKING SCREW</t>
  </si>
  <si>
    <t>2.7 X 12 LOCKING SCREW</t>
  </si>
  <si>
    <t>5.5X16MM PERIPHERAL SCREW,LOCK</t>
  </si>
  <si>
    <t>5.5X44MM PERIPHERAL SCREW,LOCK</t>
  </si>
  <si>
    <t>24MM BASEPLATE20FULLAUGMENT+2L</t>
  </si>
  <si>
    <t>DBL LOADED 4.75MM BC SWVLK</t>
  </si>
  <si>
    <t>DRILL BIT, AO, 1.7MM</t>
  </si>
  <si>
    <t>LOW PROFILE SCREW, 2.4X10MM</t>
  </si>
  <si>
    <t>LOW PROFILE SCREW, 2.4X12MM</t>
  </si>
  <si>
    <t>LOW PROFILE SCREW, 2.4X14MM</t>
  </si>
  <si>
    <t>LOW PROFILE SCREW, 2.4X16MM</t>
  </si>
  <si>
    <t>Y-PLATE, 2.4MM, 6 HOLE</t>
  </si>
  <si>
    <t>VAL SCREW, TI, 2.4X10MM</t>
  </si>
  <si>
    <t>MINI LENGTHENER KIT</t>
  </si>
  <si>
    <t>TWO HOLE PLATE, SS, STERILE</t>
  </si>
  <si>
    <t>BB-TAK, SMALL</t>
  </si>
  <si>
    <t>LOW PROFILE SCREW, 2.4X11MM</t>
  </si>
  <si>
    <t>STRAIGHT PLATE, 2.4MM, 6 HOLE</t>
  </si>
  <si>
    <t>VAL SCREW, TI, 2.4 X 7MM</t>
  </si>
  <si>
    <t>VAL SCREW, TI, 2.4 X 9MM</t>
  </si>
  <si>
    <t>THREADED K-WIRE</t>
  </si>
  <si>
    <t>VAL SCREW, TI, 2.4 X 10MM</t>
  </si>
  <si>
    <t>VAL SCREW, TI, 2.4 X 14MM</t>
  </si>
  <si>
    <t>ANTHEM VOLAR PLATE, DBL ROW, S</t>
  </si>
  <si>
    <t>LOCKING SCREW, 2.5X14MM, COCR</t>
  </si>
  <si>
    <t>LOCKING SCREW, 2.5X22MM, COCR</t>
  </si>
  <si>
    <t>NON-LOCKING SCREW,2.5X16MMCOCR</t>
  </si>
  <si>
    <t>1.8MM DRILL BIT, 100MM,AOQUICK</t>
  </si>
  <si>
    <t>FIXATOR KIT EBI</t>
  </si>
  <si>
    <t>1.6MM PLATE HOLDING K-WIRE,</t>
  </si>
  <si>
    <t>PHYSICAL KNEE/PATELLA PROSTHES</t>
  </si>
  <si>
    <t>PHYSICA KNEE, FIXEDTIBIALPLATE</t>
  </si>
  <si>
    <t>PHYSICA KNEE/RIGHT,TIBIALLINER</t>
  </si>
  <si>
    <t>SCORPION NEEDLE, CAPSULECLOSE</t>
  </si>
  <si>
    <t>K-WIRES PLAIN</t>
  </si>
  <si>
    <t>3.0MM KNOTLESS HIP SUTURETAK</t>
  </si>
  <si>
    <t>SUTR ANCH PEEK S-TAK KNOTLESS</t>
  </si>
  <si>
    <t>BURR,ROUND,HL,RETRACT,8FLUTE</t>
  </si>
  <si>
    <t>EXCALIBUR, HL 4.2MM X 19CM</t>
  </si>
  <si>
    <t>HIP ARTHROSCOPY MSTR DISP KIT</t>
  </si>
  <si>
    <t>DISP CURVED CAPSULOTOMY BLADE</t>
  </si>
  <si>
    <t>HDS DISPOSABLE PAD KIT</t>
  </si>
  <si>
    <t>CANNULA, TWIST-IN</t>
  </si>
  <si>
    <t>TRIM-IT CUSTOM HIP CANNULA</t>
  </si>
  <si>
    <t>IMPL SYS,HIP LABRAL RECON</t>
  </si>
  <si>
    <t>APOLLO RF H50, ASPIRATING,</t>
  </si>
  <si>
    <t>992 INSTRUMENT USAGE FEES</t>
  </si>
  <si>
    <t>APOLLORF MP50, ASPIRATING ABLA</t>
  </si>
  <si>
    <t>7X20MM BC IF SCEW, VENTED</t>
  </si>
  <si>
    <t>POSISEP X 0.6" X 2.0"</t>
  </si>
  <si>
    <t>9X30MM BC IF SCREW, VENTED</t>
  </si>
  <si>
    <t>PIN COVER/GUARD</t>
  </si>
  <si>
    <t>PHYSICA KNEE/PATELLARPROSTHESE</t>
  </si>
  <si>
    <t>PHYSICA KNEE/LEFT, FEMORALCOMP</t>
  </si>
  <si>
    <t>G7 ACETABULAR SYSTEM 36MM SZ E</t>
  </si>
  <si>
    <t>MODULAR HEAD COMPONENT STANDRD</t>
  </si>
  <si>
    <t>ALLOSYNC PURE, 5.0CC</t>
  </si>
  <si>
    <t>ALLOSYNC PURE 10.0CC</t>
  </si>
  <si>
    <t>GUIDE PIN ACCUFEX</t>
  </si>
  <si>
    <t>LOW PRO SCRW,TI,6.7X65MMCANN</t>
  </si>
  <si>
    <t>LOW PRO SCRW,TI,6.7X70MMCANN</t>
  </si>
  <si>
    <t>LOW PRO SCRW,TI,6.7X75CANN</t>
  </si>
  <si>
    <t>CANNULATED DRILL BIT, 4.0MM</t>
  </si>
  <si>
    <t>G-WIRE W/TRCR TIP,NON-THRDED</t>
  </si>
  <si>
    <t>K-WIRE ACCUMED</t>
  </si>
  <si>
    <t>INJECTABLE BONE SUBSTITUE DELI</t>
  </si>
  <si>
    <t>TACTO SET INJECTABLE BONE SUB</t>
  </si>
  <si>
    <t>PSN MC VE ASF R 10MM 6-7/CD</t>
  </si>
  <si>
    <t>ORTHOSORB K-WIRE</t>
  </si>
  <si>
    <t>PSN TIB STM 5 DEG SZ D R</t>
  </si>
  <si>
    <t>PSN FEM CR CMT CCR STD SZ7 R</t>
  </si>
  <si>
    <t>IMPLANT SYS,BIOCACHILLESSPEEDB</t>
  </si>
  <si>
    <t>QUADPRO HARVESTER, 11MM</t>
  </si>
  <si>
    <t>LO-PROO SCRW TM SS 2.7X12M</t>
  </si>
  <si>
    <t>LO-PRO SCRW TM SS 2.7 X 20MM</t>
  </si>
  <si>
    <t>LO-PRO SCRW TM SS 2.7 X 28MM</t>
  </si>
  <si>
    <t>K-WIRES THREADED</t>
  </si>
  <si>
    <t>LO-PRO SCRW TM SS 2.7 X 30MM</t>
  </si>
  <si>
    <t>LO-PRO LOCK SCRW,SS 2.7 X 18MM</t>
  </si>
  <si>
    <t>LO-PRO LOCK SCRW,SS 3.5 X 12MM</t>
  </si>
  <si>
    <t>LO-PRO LOCK SCRW,SS 3.5 X 14MM</t>
  </si>
  <si>
    <t>LO-PRO LOCK SCRW,SS 3.5 X 16MM</t>
  </si>
  <si>
    <t>LOCK DISTALFIBULA PLT,SSLFT,4H</t>
  </si>
  <si>
    <t>LOCK DISTALFIBULAPLT,SS LFT,5H</t>
  </si>
  <si>
    <t>LOCK DISTALFIBULAPLT,SS LFT,6H</t>
  </si>
  <si>
    <t>LOCK DISTALFIBULAPLT,SS RT, 5H</t>
  </si>
  <si>
    <t>CLAV FRACPLT,CENTRAL THIRD,LFT</t>
  </si>
  <si>
    <t>LO-PRO SCRW TM,SS 3.5X14MMCORT</t>
  </si>
  <si>
    <t>LOW PROF SCRW,SS4.0X42MMCANN L</t>
  </si>
  <si>
    <t>THRDED G-WIRE W/TRCRTIP,1.35MM</t>
  </si>
  <si>
    <t>LO-PRO SCRW TM SS 2.7X26MMCORT</t>
  </si>
  <si>
    <t>LOW PROF SCRW,SS4.0X42MMCANN S</t>
  </si>
  <si>
    <t>LIMA,PHYSICA KNEE/LFT,TIBLIN#6</t>
  </si>
  <si>
    <t>SCREW ACCUMED</t>
  </si>
  <si>
    <t>LIMA,PHYSICA KNEE/LFT,FEMCOM#7</t>
  </si>
  <si>
    <t>LIMA,PHYSICAKNEE/FIXEDTIBPLT#6</t>
  </si>
  <si>
    <t>PIN STEINMAN</t>
  </si>
  <si>
    <t>HS FIBER ULTRALOOPUHMWPEWH BLU</t>
  </si>
  <si>
    <t>HS FIBER ULTRALOOP UHMWPE BLU</t>
  </si>
  <si>
    <t>T-WRENCH</t>
  </si>
  <si>
    <t>PSN FEM CR CMT CCR NRW SZ7 R</t>
  </si>
  <si>
    <t>MICROPORT TKR MP CS W/FEMUR</t>
  </si>
  <si>
    <t>MICROPORT TKR KEELED TIBIAL BA</t>
  </si>
  <si>
    <t>MICROPORT TKR CS/CR FEMORAL CO</t>
  </si>
  <si>
    <t>MICROPORT TKR ALL-POLY PATELLA</t>
  </si>
  <si>
    <t>MINI DISTRACT NUT</t>
  </si>
  <si>
    <t>KNOWLES PIN</t>
  </si>
  <si>
    <t>39 +4 LAT/28 GLENOSPHERE</t>
  </si>
  <si>
    <t>BONE GROWTH STIMULA</t>
  </si>
  <si>
    <t>SURGI-SPRAY IRRIG. S</t>
  </si>
  <si>
    <t>INTRA CORTICAL SCRW</t>
  </si>
  <si>
    <t>TAP BONE</t>
  </si>
  <si>
    <t>SCREW BONE ZIMMER</t>
  </si>
  <si>
    <t>HS FIBER ULTRALOOP UHMWPE WH B</t>
  </si>
  <si>
    <t>MICRORAPTOR KNOTLESS DRILL 2.2</t>
  </si>
  <si>
    <t>MICRORAPTOR KNOTLESS SA PEEK</t>
  </si>
  <si>
    <t>UNIVERS VAULTLOCK GLENOIDSMALL</t>
  </si>
  <si>
    <t>PIN SET, UNIVERS II/ ECLIPSE</t>
  </si>
  <si>
    <t>ECLIPSE CAGE SCREW S, 30MM</t>
  </si>
  <si>
    <t>ECLIPSE TRUNION 37MM, SLOTTED</t>
  </si>
  <si>
    <t>ECLIPSE HUMERAL HEAD 37/16</t>
  </si>
  <si>
    <t>APOLLORF XL90,ASPIRATING ABLAT</t>
  </si>
  <si>
    <t>2.4 X 18MM VAL SCREW, TI</t>
  </si>
  <si>
    <t>2.4 X 20MM VAL SCREW, TI</t>
  </si>
  <si>
    <t>2.4 X 22MM VAL SCREW, TI</t>
  </si>
  <si>
    <t>LOW PROFILE SCREW,CORTICAL3.5X</t>
  </si>
  <si>
    <t>2.5MM DRILL BIT, CALIBRATED</t>
  </si>
  <si>
    <t>SCREW INTERFERENCE</t>
  </si>
  <si>
    <t>DRILL BIT, 1.7MM, SHORT</t>
  </si>
  <si>
    <t>DORSAL DISTAL RAD PLT,TI NAR</t>
  </si>
  <si>
    <t>SUTURE ANCHOR, BIOCOMPOSITE SW</t>
  </si>
  <si>
    <t>SUTURE ANCHOR,BIOCOMPOSITECORK</t>
  </si>
  <si>
    <t>FIBERTAG TIGHTROPE WFLIPCUTTER</t>
  </si>
  <si>
    <t>DISP KIT FOR 2.9MM SHORT PUSHL</t>
  </si>
  <si>
    <t>DISP KIT 2.8MM SHOULDER Q-FIX</t>
  </si>
  <si>
    <t>SCREW LAG</t>
  </si>
  <si>
    <t>2.8MM Q-FIX ALL SUTURE ANCHOR</t>
  </si>
  <si>
    <t>HEALICOIL PK 5.5MM W/UB2-BLUTP</t>
  </si>
  <si>
    <t>G7 SCREW 6.5MM X 30MM</t>
  </si>
  <si>
    <t>G7 VIT E NEUTRAL LNR 36MM E</t>
  </si>
  <si>
    <t>CER BIOLOXD OPTION HD 36MM</t>
  </si>
  <si>
    <t>CER OPT TYPE 1 TPR SLEVE OMM</t>
  </si>
  <si>
    <t>TPRLC 133 MP TYPE1 PPS HO 11.0</t>
  </si>
  <si>
    <t>SCREW HERBERT BONE</t>
  </si>
  <si>
    <t>PSN FEM CR CMT CCR NRW SZ8 R</t>
  </si>
  <si>
    <t>PSN TIB STM 5 DEG SZ E R</t>
  </si>
  <si>
    <t>PSN MC VE ASF R 10MM 8-11 EF</t>
  </si>
  <si>
    <t>G7 OSSEOTI 3 HOLE SHELL 50MM D</t>
  </si>
  <si>
    <t>G7 SCREW 6.5MM X 25MM</t>
  </si>
  <si>
    <t>G7 LONGEVITY NEUTRAL 36MM D</t>
  </si>
  <si>
    <t>TPRLC133 MP T1 PPS SO 6X97.5MM</t>
  </si>
  <si>
    <t>SCREW SCHANZ SYNTHS</t>
  </si>
  <si>
    <t>SPEEDBRIDGE IMPLANT SYSTEM W/B</t>
  </si>
  <si>
    <t>JUMPSTART</t>
  </si>
  <si>
    <t>KREULOCK COMPRESSION SCREW, SS</t>
  </si>
  <si>
    <t>K-LESS T-ROPE W/DRV, SYN REPR</t>
  </si>
  <si>
    <t>PSN PK ART SURF INS TIP</t>
  </si>
  <si>
    <t>MIS HEADED SCREW 33MM</t>
  </si>
  <si>
    <t>MIS HEADED SCREW 48MM</t>
  </si>
  <si>
    <t>PSN PK CMT FEM, LM, SZ 4</t>
  </si>
  <si>
    <t>PSN OK VE PLY, LM, SZ E, 9MM</t>
  </si>
  <si>
    <t>PSN PK CMT TIB, LM, SZ E</t>
  </si>
  <si>
    <t>SCREWS CANCELLOUS SN</t>
  </si>
  <si>
    <t>SCREW CANN KUROSAKO</t>
  </si>
  <si>
    <t>SCREW COMPRESN PLTE</t>
  </si>
  <si>
    <t>KREULOCK COMPRESSION SCREW 2.7</t>
  </si>
  <si>
    <t>KREULOCK COMPRESSION SCREW 16</t>
  </si>
  <si>
    <t>KREULOCK COMPRESSION SCREW 10</t>
  </si>
  <si>
    <t>SCREWDRIVER BIT ZIM</t>
  </si>
  <si>
    <t>KREULOCK COMPRESSION SCREW 14</t>
  </si>
  <si>
    <t>LNT IMPLANT SYSTEM, 4.75 BC SW</t>
  </si>
  <si>
    <t>PEEK SWIVELOCK SUTURE ANCHORDB</t>
  </si>
  <si>
    <t>CANCLUS SCRW FULLTHREAD 3X30MM</t>
  </si>
  <si>
    <t>TROCAR PIN SMOOTH TKA</t>
  </si>
  <si>
    <t>ACP KIT SERIES II</t>
  </si>
  <si>
    <t>LOANER TRAYS</t>
  </si>
  <si>
    <t>DRL PIN,ACL T-ROPE CLOSED EYEL</t>
  </si>
  <si>
    <t>REAMER, LOW PROFILE</t>
  </si>
  <si>
    <t>DELTA CERAMIC FEM HD 36/0MM</t>
  </si>
  <si>
    <t>LIMA, PHYSICA KR LEFT LINER #5</t>
  </si>
  <si>
    <t>TT-FIXED TIBIAL PLATE UNCEMT#4</t>
  </si>
  <si>
    <t>POROUS KR-FEMORAL COMPONENT #6</t>
  </si>
  <si>
    <t>LIMA, PHYSICA KR LEFT LINER #7</t>
  </si>
  <si>
    <t>POROUS KR-FEMORAL COMPONENT #7</t>
  </si>
  <si>
    <t>TT-FIXED TIBIAL PLATE UNCEME#7</t>
  </si>
  <si>
    <t>SUTR ANCH MINI BC S-TAK2.4X8.5</t>
  </si>
  <si>
    <t>DISP INSTRS KIT FOR MINI S-TAK</t>
  </si>
  <si>
    <t>REFOBACIN BONE CEMENT R 1X40US</t>
  </si>
  <si>
    <t>LIMA, PHYSICA KNEE/LEFT FEM CO</t>
  </si>
  <si>
    <t>LIMA, PHYSICA KNEE/LEFT TIBIAL</t>
  </si>
  <si>
    <t>PRE-CUT CARTIFORM TEMPLATES 4P</t>
  </si>
  <si>
    <t>20MM PREP SCORER, PRE-CUT CART</t>
  </si>
  <si>
    <t>MICRO SUTURELASSO, STRAIGHT</t>
  </si>
  <si>
    <t>CR 3 LEFT FEMUR</t>
  </si>
  <si>
    <t>UC TIBIA INSERT 2 +9</t>
  </si>
  <si>
    <t>TIBIA TRAY 2</t>
  </si>
  <si>
    <t>PATELLA 29</t>
  </si>
  <si>
    <t>INTERNAL BRACE LISFRANC REPAIR</t>
  </si>
  <si>
    <t>UNIVERSAL HOOK PLATE</t>
  </si>
  <si>
    <t>CANN INTLFER SCREW</t>
  </si>
  <si>
    <t>PSN STRAIGHT HYB ST 14 X +30 M</t>
  </si>
  <si>
    <t>BIOXPRESS GRAFT 15CM 45DEG TIP</t>
  </si>
  <si>
    <t>SUTURETAPE TIGERLINK</t>
  </si>
  <si>
    <t>LOW PROFILE SCREW,1.4X9MM,CORT</t>
  </si>
  <si>
    <t>LOW PROFILE SCREW,1.4X10MMCORT</t>
  </si>
  <si>
    <t>LOW PROFILE SCREW,1.4X12MMCORT</t>
  </si>
  <si>
    <t>LIMA, PHYSICA KNEE/RIGHT, FEMO</t>
  </si>
  <si>
    <t>PHYSICA LMC TIBIALLINER#3 H12R</t>
  </si>
  <si>
    <t>DRILL BIT, MINI AO, 1.1MM, CAL</t>
  </si>
  <si>
    <t>MAGNA-FX CANN SCREW</t>
  </si>
  <si>
    <t>UNIVERS REVERS HUMERAL STEM S6</t>
  </si>
  <si>
    <t>PIN SET, UNIVERS REVERS</t>
  </si>
  <si>
    <t>28MM BASEPLATE, MODULAR</t>
  </si>
  <si>
    <t>20MM CENTRAL POST, MODULAR</t>
  </si>
  <si>
    <t>SCREW BONE ABSORB</t>
  </si>
  <si>
    <t>TIBIA CANNULA</t>
  </si>
  <si>
    <t>SUTURE PIN</t>
  </si>
  <si>
    <t>SCREW PIN</t>
  </si>
  <si>
    <t>DRILL BIT, 5.0MM, CANN.</t>
  </si>
  <si>
    <t>PRFL DRL, 7.0MM CMPR FT</t>
  </si>
  <si>
    <t>COMPR FT SCRW, 7.0 XL,80MMLGTH</t>
  </si>
  <si>
    <t>G-WIRE W/TRCR TIP, 2.4MM X9.25</t>
  </si>
  <si>
    <t>TIGHTROPE XP BUTTRESS PLATE IM</t>
  </si>
  <si>
    <t>STRAIGHT PLATE, 2.0MM, 6 HOLE</t>
  </si>
  <si>
    <t>VAL SCREW, TI, 2.0 X 7MM</t>
  </si>
  <si>
    <t>VAL SCREW, TI, 2.0 X 8MM</t>
  </si>
  <si>
    <t>VAL SCREW, TI, 2.0 X 10MM</t>
  </si>
  <si>
    <t>VAL SCREW, TI, 2.0 X 12MM</t>
  </si>
  <si>
    <t>VAL SCREW, TI, 2.0 X 14MM</t>
  </si>
  <si>
    <t>PIN SMART PLLA</t>
  </si>
  <si>
    <t>ESMARK BANDAGE 4 DI</t>
  </si>
  <si>
    <t>PHYSICA KNEE/LEFT,TIBIAL LINER</t>
  </si>
  <si>
    <t>ESMARK BANDAGE 6 INCH</t>
  </si>
  <si>
    <t>SUCTION COAGULATOR</t>
  </si>
  <si>
    <t>LOCKING THIRD TUBULAR PLATE, S</t>
  </si>
  <si>
    <t>SUTURE ANCHOR, MINI CORKSCREW</t>
  </si>
  <si>
    <t>VOLAR DISTAL RAD PLT TI STD RT</t>
  </si>
  <si>
    <t>UNIVERS REVERS SUTURE CUP36+2L</t>
  </si>
  <si>
    <t>LOCK DISTAL FIBULA PLT,SSLT,4H</t>
  </si>
  <si>
    <t>LOCKING MEDIAL HOOK PLATE,SS5H</t>
  </si>
  <si>
    <t>5.5X20MM PERIPHERAL SCREW,LOCK</t>
  </si>
  <si>
    <t>36 +4 LAT/24 GLENOSPHERE</t>
  </si>
  <si>
    <t>DELTA TT PRO CUP D.56MM LARGE</t>
  </si>
  <si>
    <t>FEMORAL HEADS BIOLOX # DELTA</t>
  </si>
  <si>
    <t>IRRIVAC IRRGAT/EVAC</t>
  </si>
  <si>
    <t>MASTER SL COATED LATERALIZED</t>
  </si>
  <si>
    <t>DELTA NEUT LINER #INT.40MM #L+</t>
  </si>
  <si>
    <t>PSN REV TIB FIXED KEEL CMTSZER</t>
  </si>
  <si>
    <t>PSN MC VE ASF R 13MM 6-7/EF</t>
  </si>
  <si>
    <t>PSN REV TIB HALF BLOCKSZEFRM10</t>
  </si>
  <si>
    <t>PSN REV STRAIGHT SPLINE STEM</t>
  </si>
  <si>
    <t>HYSTERO-PUMP DISP</t>
  </si>
  <si>
    <t>DISPOSABLE INSTRUMENT KIT</t>
  </si>
  <si>
    <t>SELF BUNCHING KL 1.8 FIBERTAK</t>
  </si>
  <si>
    <t>FIBERTAK DISPOSABLES CURVEDKIT</t>
  </si>
  <si>
    <t>SP 2.6MM KNOTLESS FIBERTAK ANC</t>
  </si>
  <si>
    <t>25DEG TIGHT CURVELEFTQUICKPASS</t>
  </si>
  <si>
    <t>SUTURE ANCHOR,BIOCOMPOSITE PUS</t>
  </si>
  <si>
    <t>LATERAL REL PAD</t>
  </si>
  <si>
    <t>EAR VENT TUBE WIRLS</t>
  </si>
  <si>
    <t>EAR BUTN VNT T TITN</t>
  </si>
  <si>
    <t>EAR TUBE STAINLESS</t>
  </si>
  <si>
    <t>MULTIDEBRIDER TUBESET DECLOG</t>
  </si>
  <si>
    <t>EAR TUBE PLASTIC</t>
  </si>
  <si>
    <t>COLLAR BUTTON VENT T</t>
  </si>
  <si>
    <t>EAR DRAPES</t>
  </si>
  <si>
    <t>PEG DRIVER</t>
  </si>
  <si>
    <t>INJECTABLE CEMENT</t>
  </si>
  <si>
    <t>BUTTON INSERTER</t>
  </si>
  <si>
    <t>UNIVERS REVERS SPACER 36+9MM</t>
  </si>
  <si>
    <t>MICROSCOPE DRAPES</t>
  </si>
  <si>
    <t>SUTURETAPE FIBERLINK 1.3MM</t>
  </si>
  <si>
    <t>ECLIPSE HUMERAL HEAD, 41/16</t>
  </si>
  <si>
    <t>ECLIPSE CAGE SCREW M, 35MM</t>
  </si>
  <si>
    <t>SCREW CANULATED UNM</t>
  </si>
  <si>
    <t>ECLIPSE TRUNION 41MM, SLOTTED</t>
  </si>
  <si>
    <t>SCREW CORTEX UN MED</t>
  </si>
  <si>
    <t>DRILL BIT UN MED</t>
  </si>
  <si>
    <t>SCREW GUIDE UN MED</t>
  </si>
  <si>
    <t>INST DEL CHARG MISC</t>
  </si>
  <si>
    <t>SCREW CANN FUL TH 2</t>
  </si>
  <si>
    <t>MYRINGOTOMY SETS</t>
  </si>
  <si>
    <t>PIN SET, MODULAR GLENDOID SYST</t>
  </si>
  <si>
    <t>MYRINGOTMY KNIFE</t>
  </si>
  <si>
    <t>RIGHT, CR FEMUR SIZE 8</t>
  </si>
  <si>
    <t>PATELLA, VITAMIN E, 32MM 8.5TH</t>
  </si>
  <si>
    <t>CR PLUS TIBIAL INSERT,9MMTHICK</t>
  </si>
  <si>
    <t>PRIMARY TIBIAL BASEPLATE SIZEG</t>
  </si>
  <si>
    <t>1.35MM GUIDE WIRE, DUAL TROCAR</t>
  </si>
  <si>
    <t>LO-PRO SCW, CANN, BLUNTTIP4X28</t>
  </si>
  <si>
    <t>LO-PRO SCRW, CANN, BLUNT TIP30</t>
  </si>
  <si>
    <t>LO-PRO SCRW, CANN, BLUNT TIP32</t>
  </si>
  <si>
    <t>LATERAL HUMERUS PLATE 7-HOLE</t>
  </si>
  <si>
    <t>3.5 X 18 CORTICAL SCREW</t>
  </si>
  <si>
    <t>3.5 X 20 CORTICAL SCREW</t>
  </si>
  <si>
    <t>3.5 X 22 CORTICAL SCREW</t>
  </si>
  <si>
    <t>3.5 X 24 CORTICAL SCREW</t>
  </si>
  <si>
    <t>3.5 X 20 LOQTEQ SCREW</t>
  </si>
  <si>
    <t>3.5 X 22 LOQTEQ SCREW</t>
  </si>
  <si>
    <t>2.7 X 22 LOCK SCREW</t>
  </si>
  <si>
    <t>2.7 X 28 LOCK SCREW</t>
  </si>
  <si>
    <t>2.7 X 30 LOCK SCREW</t>
  </si>
  <si>
    <t>2.7 X 36 LOCK SCREW</t>
  </si>
  <si>
    <t>2.0 DRILL BIT</t>
  </si>
  <si>
    <t>2.7 DRILL BIT</t>
  </si>
  <si>
    <t>3.5 DRILL BIT</t>
  </si>
  <si>
    <t>PSN FEM CR CMT CCR STD SZ10 L</t>
  </si>
  <si>
    <t>LOOP ELECTRODE</t>
  </si>
  <si>
    <t>PSN MC VE ASF L 12MM 8-11 EF</t>
  </si>
  <si>
    <t>PSN TIB STM 5 DEG SZ F L</t>
  </si>
  <si>
    <t>FIBULOCK IMPLANT SYSTEM, STERI</t>
  </si>
  <si>
    <t>3.0X130MM FIBULA NAIL, RIGHT</t>
  </si>
  <si>
    <t>LEFT NARROW, CR FEMUR SIZE 6</t>
  </si>
  <si>
    <t>PATELLA VITAMIN E, 27MM 7.5 TH</t>
  </si>
  <si>
    <t>BIOINDUCTIVE IMPLANT W/ARTH DE</t>
  </si>
  <si>
    <t>SYMMETRIC PATELLA VIT E UHMWPE</t>
  </si>
  <si>
    <t>CR PLUS TIBIAL INSERT STN UHMW</t>
  </si>
  <si>
    <t>CR FEMUR COCR</t>
  </si>
  <si>
    <t>OWENS SURG DRSS</t>
  </si>
  <si>
    <t>SUTR ANCHBIO-COMP S-TAK KNOTL</t>
  </si>
  <si>
    <t>ARTHROFLEX 40X70X3.0</t>
  </si>
  <si>
    <t>RIGHT NARROW, CR FEMUR SIZE 6</t>
  </si>
  <si>
    <t>CR PLUS TIBIAL INSERT, 9MM THI</t>
  </si>
  <si>
    <t>PRIMARY TIBIAL BASEPLATE,SIZED</t>
  </si>
  <si>
    <t>PORP EAR IMPL</t>
  </si>
  <si>
    <t>TORP EAR IMPL</t>
  </si>
  <si>
    <t>NEEDLE ELECTRODE</t>
  </si>
  <si>
    <t>TWO DRAPES ZIMMER</t>
  </si>
  <si>
    <t>GRAFT BELT</t>
  </si>
  <si>
    <t>CARPAL CUTTER</t>
  </si>
  <si>
    <t>TENDON SPACER SIZER</t>
  </si>
  <si>
    <t>BIOTENEDESIS KIT</t>
  </si>
  <si>
    <t>CAUTERY DISP PEN BLA</t>
  </si>
  <si>
    <t>HIP TAPER ADAPTER</t>
  </si>
  <si>
    <t>BONE VOID FILLER</t>
  </si>
  <si>
    <t>TUNA PROBE</t>
  </si>
  <si>
    <t>DRAPE MAG SURGICAL</t>
  </si>
  <si>
    <t>PERS STIRRUP STRAP</t>
  </si>
  <si>
    <t>CELL WASH MACH SUPP</t>
  </si>
  <si>
    <t>CELL SAVER/WASH OVT</t>
  </si>
  <si>
    <t>CAUTERY CRYOPHAKE</t>
  </si>
  <si>
    <t>L-HOOK CAUTERY</t>
  </si>
  <si>
    <t>VERSAPORT TROCAR AS</t>
  </si>
  <si>
    <t>INTERPULSE HANDPIEC</t>
  </si>
  <si>
    <t>INTERPULSE TIP</t>
  </si>
  <si>
    <t>CAUTERY GROUNDING PA</t>
  </si>
  <si>
    <t>UNIV GUIDE PIN SET</t>
  </si>
  <si>
    <t>ENDOCLIP APP M/L AUT</t>
  </si>
  <si>
    <t>UNIV APEX SUTARE KT</t>
  </si>
  <si>
    <t>PROSTHESIS APEXSTEM</t>
  </si>
  <si>
    <t>DISPOSAMAG PAD</t>
  </si>
  <si>
    <t>AUTO PREMIUM CEEA</t>
  </si>
  <si>
    <t>AUTO PURSTRING INST</t>
  </si>
  <si>
    <t>VCS CLIP APPLIER</t>
  </si>
  <si>
    <t>PROSTHESIS GLENOID</t>
  </si>
  <si>
    <t>ETHICON STAPLER 35</t>
  </si>
  <si>
    <t>A/S ENDO GIA 30 STP</t>
  </si>
  <si>
    <t>ENDO BABCOCK</t>
  </si>
  <si>
    <t>A/S ENDO GIA 30 L/U</t>
  </si>
  <si>
    <t>SURGIGRIP</t>
  </si>
  <si>
    <t>EYE DRESSING PKG OR</t>
  </si>
  <si>
    <t>LOOP LIGATING</t>
  </si>
  <si>
    <t>SURGPRT CONVTR 10.5</t>
  </si>
  <si>
    <t>CLIP,ENDO,AUTOSUTUR</t>
  </si>
  <si>
    <t>TROCAR, DISP 5MM</t>
  </si>
  <si>
    <t>TROCAR KIT DISP 5MM</t>
  </si>
  <si>
    <t>PNEUMO-NEED/VRS/SRG</t>
  </si>
  <si>
    <t>SURGICLIP, DISP 13.0</t>
  </si>
  <si>
    <t>SURGICLIP, DISP 11.5</t>
  </si>
  <si>
    <t>AUTO S GIA 80 L/UNT</t>
  </si>
  <si>
    <t>HEMICLIPS</t>
  </si>
  <si>
    <t>AUTO S TA 90 STAPLR</t>
  </si>
  <si>
    <t>AUTO S TA 80 STAPLR</t>
  </si>
  <si>
    <t>STAPLER, SKIN 35 WID</t>
  </si>
  <si>
    <t>TROCAR, DISP 12.0 MM</t>
  </si>
  <si>
    <t>TROCAR, DISP 11 MM</t>
  </si>
  <si>
    <t>TROCAR, DISP 10.0 MM</t>
  </si>
  <si>
    <t>TROCAR, DISP 7.0 MM</t>
  </si>
  <si>
    <t>AUTO S GIA 50 STAPLR</t>
  </si>
  <si>
    <t>MESH MERSILENE</t>
  </si>
  <si>
    <t>AUTO S GIA 60 STAPLR</t>
  </si>
  <si>
    <t>AUTO S GIA 60 L/UNT</t>
  </si>
  <si>
    <t>STAPLER, LDS 15W</t>
  </si>
  <si>
    <t>AUTO S TA 55 STAPLR</t>
  </si>
  <si>
    <t>MULTIPACK/PKG 2</t>
  </si>
  <si>
    <t>ENDODISSECT</t>
  </si>
  <si>
    <t>ENDOGRASP</t>
  </si>
  <si>
    <t>AUTOSUT ENDO SHEARS</t>
  </si>
  <si>
    <t>ENDO CATCH</t>
  </si>
  <si>
    <t>AUTO S GIA 50 L/UNT</t>
  </si>
  <si>
    <t>SURGIPORT CONVERT 5</t>
  </si>
  <si>
    <t>SCP KNEE KIT 5CC ACCUPORTSIDE</t>
  </si>
  <si>
    <t>TROCAR AS THORAPORT</t>
  </si>
  <si>
    <t>TROCAR ET FLEXIPOTH</t>
  </si>
  <si>
    <t>SURGIWAND</t>
  </si>
  <si>
    <t>PROSTHESIS HUM HEAD</t>
  </si>
  <si>
    <t>CABLE GRIP SYSTEM</t>
  </si>
  <si>
    <t>SKIN CLIPS EA</t>
  </si>
  <si>
    <t>INSUFFLATION TUBE</t>
  </si>
  <si>
    <t>AUTO S GIA 90 STPLR</t>
  </si>
  <si>
    <t>5D CALIBRATOR</t>
  </si>
  <si>
    <t>ECLIPSE PIN SET</t>
  </si>
  <si>
    <t>STAINLESS SUTURES</t>
  </si>
  <si>
    <t>IOBAN DRAPE</t>
  </si>
  <si>
    <t>LAZER DRAPE</t>
  </si>
  <si>
    <t>CIRCULAR BONE REAMR</t>
  </si>
  <si>
    <t>AUTO S GIA 80 STPLR</t>
  </si>
  <si>
    <t>AUTO S GIA 90 L/UNT</t>
  </si>
  <si>
    <t>STERIDRAPES LARGE</t>
  </si>
  <si>
    <t>IMPERVOUS SHEET</t>
  </si>
  <si>
    <t>AUTO S TA 30 L/UNT</t>
  </si>
  <si>
    <t>SOLUTION DRAPE</t>
  </si>
  <si>
    <t>U DRAPE</t>
  </si>
  <si>
    <t>STERIDRPS ORTH 1015</t>
  </si>
  <si>
    <t>MITEK KIT</t>
  </si>
  <si>
    <t>ANKOR #2 MITEK</t>
  </si>
  <si>
    <t>DRILL MITEK #0</t>
  </si>
  <si>
    <t>ARTHROSCOPY DRAPE</t>
  </si>
  <si>
    <t>STERIDRAPES URO 1071</t>
  </si>
  <si>
    <t>MENISCAL CINCH</t>
  </si>
  <si>
    <t>DRILL MITEK #2</t>
  </si>
  <si>
    <t>PEEK PUSHLOCK</t>
  </si>
  <si>
    <t>SUTURE LASSO</t>
  </si>
  <si>
    <t>STERI. VAGINAL 1072</t>
  </si>
  <si>
    <t>FIBERLINK</t>
  </si>
  <si>
    <t>FIBERTAPE</t>
  </si>
  <si>
    <t>TIGERTAPE</t>
  </si>
  <si>
    <t>BIOCOMPOSITE SWIVEL</t>
  </si>
  <si>
    <t>STERI. MINOR 1040</t>
  </si>
  <si>
    <t>BICEPTOR KIT</t>
  </si>
  <si>
    <t>AVITENE</t>
  </si>
  <si>
    <t>SCREW, LISFRANC</t>
  </si>
  <si>
    <t>FLOUROSCAN DRAPE1013</t>
  </si>
  <si>
    <t>JUMPSTART DRESSING</t>
  </si>
  <si>
    <t>I.A. 90 AUTO SUTURES</t>
  </si>
  <si>
    <t>DERMABOND ADHESIVE</t>
  </si>
  <si>
    <t>IVC FILTER</t>
  </si>
  <si>
    <t>TRIMANO SLEEVE</t>
  </si>
  <si>
    <t>I.A. 50 AUTO SUTURES</t>
  </si>
  <si>
    <t>WAND, PLASMA HOOK</t>
  </si>
  <si>
    <t>WAND, EVAC 70</t>
  </si>
  <si>
    <t>HEEL/ELBOW/HEAD PAD</t>
  </si>
  <si>
    <t>TIBIAL INSERT</t>
  </si>
  <si>
    <t>UMBILICAL TAPE</t>
  </si>
  <si>
    <t>ADD'L VASC SUTR EA</t>
  </si>
  <si>
    <t>UVAC CURRET SWV HNDL</t>
  </si>
  <si>
    <t>MONOFILAMENT WIRE A</t>
  </si>
  <si>
    <t>WIRE/USE</t>
  </si>
  <si>
    <t>UVAC CURRETT DISP</t>
  </si>
  <si>
    <t>EXTERNAL FIXATOR</t>
  </si>
  <si>
    <t>ANDLE CLAMP EBI</t>
  </si>
  <si>
    <t>HELMET SURGICAL KIT</t>
  </si>
  <si>
    <t>TIPOLISHER</t>
  </si>
  <si>
    <t>NERVE STIMULIZER</t>
  </si>
  <si>
    <t>TIBIAL NAIL ZIMMER</t>
  </si>
  <si>
    <t>J-P SUCTION RESRVOR</t>
  </si>
  <si>
    <t>HUMERAL NAIL</t>
  </si>
  <si>
    <t>T-TUBE</t>
  </si>
  <si>
    <t>ENDOBRONCHIAL TUBE R</t>
  </si>
  <si>
    <t>ENDO BRONCO-CATH LEF</t>
  </si>
  <si>
    <t>REDI-VACETTE</t>
  </si>
  <si>
    <t>FOG REDUCTION ELM D</t>
  </si>
  <si>
    <t>JACKSON PRATT</t>
  </si>
  <si>
    <t>FRAZER SUCTION TIP</t>
  </si>
  <si>
    <t>STONE EXTRACTOR</t>
  </si>
  <si>
    <t>CHOLANGIO CATHER</t>
  </si>
  <si>
    <t>GASTROSTOMY BUTTON</t>
  </si>
  <si>
    <t>MALECOT CATH</t>
  </si>
  <si>
    <t>IRRIG. HYDROFLEX</t>
  </si>
  <si>
    <t>JEJUNAL FEEL TUBE</t>
  </si>
  <si>
    <t>CATH URT OLV/WH TIP</t>
  </si>
  <si>
    <t>DISTAL BICEP INPLANT</t>
  </si>
  <si>
    <t>OSTEO FLAP REPAIR</t>
  </si>
  <si>
    <t>URETHAL CATH CON TIP</t>
  </si>
  <si>
    <t>MUSHROOM CATH</t>
  </si>
  <si>
    <t>UROPASS STENT</t>
  </si>
  <si>
    <t>DOUBLE J STENTROS</t>
  </si>
  <si>
    <t>COIL STENT</t>
  </si>
  <si>
    <t>LAP SPONGE PKG</t>
  </si>
  <si>
    <t>BUTTON DRILL PIN</t>
  </si>
  <si>
    <t>RETROCUTTER</t>
  </si>
  <si>
    <t>BUTTON CANNULA</t>
  </si>
  <si>
    <t>SUTURE PASSING WIRE</t>
  </si>
  <si>
    <t>RAYTEC 4X4/PK OVR2</t>
  </si>
  <si>
    <t>SCREW LOCKING</t>
  </si>
  <si>
    <t>GAUZE SPONGE 4X4 10</t>
  </si>
  <si>
    <t>SCREW PEG</t>
  </si>
  <si>
    <t>RAYTEC 4X8PKG OVR2</t>
  </si>
  <si>
    <t>SPONGES 4X8</t>
  </si>
  <si>
    <t>NASAL TAMPON CANNULA</t>
  </si>
  <si>
    <t>NASAL SEPTAL BUTTON</t>
  </si>
  <si>
    <t>NASAL DENVER SPLINT</t>
  </si>
  <si>
    <t>NASAL RHINO ROCKET</t>
  </si>
  <si>
    <t>WECK-CELL SPEARS</t>
  </si>
  <si>
    <t>SINUS DRESSING MRCL</t>
  </si>
  <si>
    <t>SINUS FOAM DRESSING</t>
  </si>
  <si>
    <t>RETRO SCREW</t>
  </si>
  <si>
    <t>BRONCHIAL BRUSHING K</t>
  </si>
  <si>
    <t>BRUSH BRONC</t>
  </si>
  <si>
    <t>HUMERAL GUIDE WIRE</t>
  </si>
  <si>
    <t>LAZER UNIT</t>
  </si>
  <si>
    <t>YAG LASER/HANDPIECE</t>
  </si>
  <si>
    <t>BLADE DERMA/BROWN D</t>
  </si>
  <si>
    <t>GENESIS SAW BLADE</t>
  </si>
  <si>
    <t>BLADE INSTRUTEK</t>
  </si>
  <si>
    <t>ARTHROSCOPIC BOVIE</t>
  </si>
  <si>
    <t>BLADE TAPERED BURR</t>
  </si>
  <si>
    <t>ELECTRODE BLDE STND</t>
  </si>
  <si>
    <t>LASER PACKAGE USE</t>
  </si>
  <si>
    <t>WIRE PASS DRILL</t>
  </si>
  <si>
    <t>OVAL CUTTING CARBIDE</t>
  </si>
  <si>
    <t>BLADE RECIP SAW</t>
  </si>
  <si>
    <t>TUBING &amp; PROBE LASER</t>
  </si>
  <si>
    <t>SMOKE EVAC FILTER</t>
  </si>
  <si>
    <t>TINCTURE BENZOIN 2/3</t>
  </si>
  <si>
    <t>LOOPS SURGI/VESSEL</t>
  </si>
  <si>
    <t>LAZER RENTAL C02 35</t>
  </si>
  <si>
    <t>MAG PAK KIT</t>
  </si>
  <si>
    <t>LAP CART+INSTR LZR</t>
  </si>
  <si>
    <t>WAVE GUIDE SET LAZER</t>
  </si>
  <si>
    <t>PREP PADS OR</t>
  </si>
  <si>
    <t>YAG LASER/LAP CART</t>
  </si>
  <si>
    <t>LAP CHOLE INST/VIDEO</t>
  </si>
  <si>
    <t>LAP CHOLE MONITOR</t>
  </si>
  <si>
    <t>SKIN SCRIBE PEN</t>
  </si>
  <si>
    <t>INTEGRITY FRAC WALK</t>
  </si>
  <si>
    <t>LAP CHOLE TRAY DISP</t>
  </si>
  <si>
    <t>FIXATION PLATE</t>
  </si>
  <si>
    <t>STAPES INCUS JOINT</t>
  </si>
  <si>
    <t>SOFT TISSUE TRY</t>
  </si>
  <si>
    <t>CONT EPADURAL TRAY</t>
  </si>
  <si>
    <t>EPIDURAL TRAY REG</t>
  </si>
  <si>
    <t>STAPES</t>
  </si>
  <si>
    <t>GRAFTON BONE PUTTY</t>
  </si>
  <si>
    <t>WASHER SPIKED ALL</t>
  </si>
  <si>
    <t>DELIVERY NEEDLE</t>
  </si>
  <si>
    <t>HIP NECK 8</t>
  </si>
  <si>
    <t>SURGICAL SLEEVE</t>
  </si>
  <si>
    <t>PROSTHESIS TIB STEM</t>
  </si>
  <si>
    <t>SNARE POLYPECTOMY D</t>
  </si>
  <si>
    <t>TRU-CUT NEEDLE</t>
  </si>
  <si>
    <t>PNEUMOTHORAX SET</t>
  </si>
  <si>
    <t>ACROMIO CANNULA SET</t>
  </si>
  <si>
    <t>ARTHRO ACROMCOPLSTY</t>
  </si>
  <si>
    <t>LITE GLOVE HNDL CVR</t>
  </si>
  <si>
    <t>Z-DRAPES</t>
  </si>
  <si>
    <t>ACHILLES SPEEDBRIDGE</t>
  </si>
  <si>
    <t>TIBAL NAIL ENDCAPS</t>
  </si>
  <si>
    <t>PEANUT SPONGES</t>
  </si>
  <si>
    <t>IMPLANT MET. HEAD</t>
  </si>
  <si>
    <t>BLADE DIPS SHAVER</t>
  </si>
  <si>
    <t>SINUS SHAVER BLADE</t>
  </si>
  <si>
    <t>BLADE CUTTER 3606</t>
  </si>
  <si>
    <t>BLADE TORPEDO</t>
  </si>
  <si>
    <t>BLADE ABRADER</t>
  </si>
  <si>
    <t>MASK</t>
  </si>
  <si>
    <t>NASAL CANNULA</t>
  </si>
  <si>
    <t>PORTEX SWIVEL ADP</t>
  </si>
  <si>
    <t>NASAL TAMPON</t>
  </si>
  <si>
    <t>SUTURE RETRIVER</t>
  </si>
  <si>
    <t>SUTURE PASSER PIN</t>
  </si>
  <si>
    <t>IMPLANT ARTHRODESIS</t>
  </si>
  <si>
    <t>CHONDRAL DART</t>
  </si>
  <si>
    <t>DART INSERTION TRAY</t>
  </si>
  <si>
    <t>CHONDRAL MULTISHOT</t>
  </si>
  <si>
    <t>TOE JOINT REPLACE</t>
  </si>
  <si>
    <t>FLEXIBLE HINGE TOE</t>
  </si>
  <si>
    <t>IMPLANT SUBTALAR</t>
  </si>
  <si>
    <t>PROSTH REV FEMORAL</t>
  </si>
  <si>
    <t>PROSTH REV AUGBLOCK</t>
  </si>
  <si>
    <t>PROSTH REV STEM EXT</t>
  </si>
  <si>
    <t>STEAM EXT</t>
  </si>
  <si>
    <t>GREAT TOE SILICON</t>
  </si>
  <si>
    <t>GREAT TOE TITANIUM</t>
  </si>
  <si>
    <t>PROSTH REV PATELLA</t>
  </si>
  <si>
    <t>PROSTH REV TIBPLATE</t>
  </si>
  <si>
    <t>CANNULA KIT UNIVERS</t>
  </si>
  <si>
    <t>TOE(ALL SIZES)</t>
  </si>
  <si>
    <t>PROSTHESIS PENILE</t>
  </si>
  <si>
    <t>PROSTH REV ARTSRFC</t>
  </si>
  <si>
    <t>FEMORAL PEG</t>
  </si>
  <si>
    <t>BLADE SIZE 10-20</t>
  </si>
  <si>
    <t>BLADE BEAVER 64/67</t>
  </si>
  <si>
    <t>MICRO-AIRE DRILL BIT</t>
  </si>
  <si>
    <t>BLADE EXCALIBUR</t>
  </si>
  <si>
    <t>IRRIGATION CASSETTE</t>
  </si>
  <si>
    <t>I &amp; A PACK</t>
  </si>
  <si>
    <t>SCREW ACUTRAK B INM</t>
  </si>
  <si>
    <t>BLADE DOME CURRETTE</t>
  </si>
  <si>
    <t>BLADE SUPER/TOTAL K</t>
  </si>
  <si>
    <t>BLADE ROSETTE</t>
  </si>
  <si>
    <t>BLADE BANANA ARTHRO</t>
  </si>
  <si>
    <t>RING CURETTE</t>
  </si>
  <si>
    <t>ELECTRODE, KNIFE</t>
  </si>
  <si>
    <t>STERIL DRAPE 1020</t>
  </si>
  <si>
    <t>STERI-DRAPE 1018</t>
  </si>
  <si>
    <t>EYE PATCH METAL CRV</t>
  </si>
  <si>
    <t>INTRAMEDULLARY PLUG</t>
  </si>
  <si>
    <t>HUMERAL SLEEVE</t>
  </si>
  <si>
    <t>HUMERAL BONE CEMENT</t>
  </si>
  <si>
    <t>INTRAOCUL. LNS 22</t>
  </si>
  <si>
    <t>BIFARICTD GRAFT GT</t>
  </si>
  <si>
    <t>OSTEOSE RESORB BEAD</t>
  </si>
  <si>
    <t>FLEX DIGIT TOE IMPT</t>
  </si>
  <si>
    <t>TIBAL LOCKING BAR</t>
  </si>
  <si>
    <t>MODULAR FINNED STEM</t>
  </si>
  <si>
    <t>90731-INFUSION T</t>
  </si>
  <si>
    <t>TOTAL HIP KIT</t>
  </si>
  <si>
    <t>HIP MOLD</t>
  </si>
  <si>
    <t>FOGERTY INSERT SET</t>
  </si>
  <si>
    <t>GASTROSTOMY TUBE 18</t>
  </si>
  <si>
    <t>GORTEX GRAFT/100</t>
  </si>
  <si>
    <t>OASIS WOUND MATRIX</t>
  </si>
  <si>
    <t>GORTEX GRAFT HALF</t>
  </si>
  <si>
    <t>IRRIGATION CATH</t>
  </si>
  <si>
    <t>BAG-A-JET</t>
  </si>
  <si>
    <t>POOLE SUCTION INSTRU</t>
  </si>
  <si>
    <t>JAVID SHUNT</t>
  </si>
  <si>
    <t>LIG A LOOPS</t>
  </si>
  <si>
    <t>BIPOLAR CORD</t>
  </si>
  <si>
    <t>VASC. SUT. OVER 5</t>
  </si>
  <si>
    <t>WOVEN DACRON PROS</t>
  </si>
  <si>
    <t>GRAFT, FASCIA</t>
  </si>
  <si>
    <t>GORTEX GRAFT 6-8</t>
  </si>
  <si>
    <t>GRAFT,SKIN APLIGRAF</t>
  </si>
  <si>
    <t>GRAFT FRESH ALOGRAF</t>
  </si>
  <si>
    <t>GORTEX GRAFT RINGED</t>
  </si>
  <si>
    <t>GRAFT,COMPOSIX KUGL</t>
  </si>
  <si>
    <t>PATCH, VASCULAR</t>
  </si>
  <si>
    <t>GORTEX GRAFT #8 (80)</t>
  </si>
  <si>
    <t>TIBAL WEDGE</t>
  </si>
  <si>
    <t>GDS STANDARD KIT</t>
  </si>
  <si>
    <t>SPRAY APPLICATOR</t>
  </si>
  <si>
    <t>COUNTERSINK BONE SC</t>
  </si>
  <si>
    <t>VEIN STRIPPERS</t>
  </si>
  <si>
    <t>LIFENET GRAFT 10-CC</t>
  </si>
  <si>
    <t>COMPONENT BIPOLAR</t>
  </si>
  <si>
    <t>DERMACARRIERS 2</t>
  </si>
  <si>
    <t>FIBER WIRE</t>
  </si>
  <si>
    <t>MONO THERMS</t>
  </si>
  <si>
    <t>MICRO SPEC BRUSH</t>
  </si>
  <si>
    <t>FEMORAL KNEE MOLD</t>
  </si>
  <si>
    <t>AUTO SUTURES</t>
  </si>
  <si>
    <t>GRAFT PREP TRAY</t>
  </si>
  <si>
    <t>CYSTO APRON</t>
  </si>
  <si>
    <t>INTERNAL BRACE SYSTEM</t>
  </si>
  <si>
    <t>SURGIPEACE PN CNT S</t>
  </si>
  <si>
    <t>CHLORAPREP W/TINT</t>
  </si>
  <si>
    <t>STIMUBLAST NEEDLE</t>
  </si>
  <si>
    <t>TONSIL SPONGE/PLEDGE</t>
  </si>
  <si>
    <t>RETRO DRILL</t>
  </si>
  <si>
    <t>MIXING SYRINGE</t>
  </si>
  <si>
    <t>MARLEX MESH PLUGS</t>
  </si>
  <si>
    <t>MONITORNG KIT PMK</t>
  </si>
  <si>
    <t>MESH, MARLEX</t>
  </si>
  <si>
    <t>MESH PROLENE</t>
  </si>
  <si>
    <t>SICKLYE SINUS KNIFE</t>
  </si>
  <si>
    <t>ELECTRODE BLD EXTND</t>
  </si>
  <si>
    <t>PRUTT INFRA SHUNT</t>
  </si>
  <si>
    <t>TIBAL KNEE MOLD</t>
  </si>
  <si>
    <t>ULTRAFAST NEEDLE SY</t>
  </si>
  <si>
    <t>FIXATOR LEFT ANKLE</t>
  </si>
  <si>
    <t>COMP/DISTRACT MECH</t>
  </si>
  <si>
    <t>KNOT CUTTER/PUSHER</t>
  </si>
  <si>
    <t>MYRONGOTOMY BLADE</t>
  </si>
  <si>
    <t>FIBER STICK</t>
  </si>
  <si>
    <t>FIBER LOOP</t>
  </si>
  <si>
    <t>UTERINE SUCTION</t>
  </si>
  <si>
    <t>VENA JUGULAR FILTER</t>
  </si>
  <si>
    <t>VENA FILTER ENT KIT</t>
  </si>
  <si>
    <t>RETRO BUTTON</t>
  </si>
  <si>
    <t>MOSS TUBE</t>
  </si>
  <si>
    <t>DISP. ELECT NEEDLE</t>
  </si>
  <si>
    <t>BLADE OSTEOTOME</t>
  </si>
  <si>
    <t>SURGIFLEX SUCTN IRR</t>
  </si>
  <si>
    <t>ELECTRODE SP MICRO</t>
  </si>
  <si>
    <t>ELECTRODE MICR J HK</t>
  </si>
  <si>
    <t>PODIATRY PACK</t>
  </si>
  <si>
    <t>URTRL AMPLATZ GUIDE</t>
  </si>
  <si>
    <t>URTRL OLBERT CATH S</t>
  </si>
  <si>
    <t>PIN TIBIAL TEAM SRG</t>
  </si>
  <si>
    <t>PIN FEMORAL TEAM SRG</t>
  </si>
  <si>
    <t>KNEE RONGER TEAM SRG</t>
  </si>
  <si>
    <t>REAMER BONE TEAM SRG</t>
  </si>
  <si>
    <t>CANNULA BONE DSP TM</t>
  </si>
  <si>
    <t>SCREW BONE TEAM SRG</t>
  </si>
  <si>
    <t>SCREW W/SHEATH TEAM</t>
  </si>
  <si>
    <t>WIRE NITINOZ TEAM S</t>
  </si>
  <si>
    <t>FULL THREAD SCR TMS</t>
  </si>
  <si>
    <t>D5WNS 1000ML</t>
  </si>
  <si>
    <t>PMC PULSE GENERATOR</t>
  </si>
  <si>
    <t>PMC EXTENSION INLNE</t>
  </si>
  <si>
    <t>PMC IMPLANTABL PUMP</t>
  </si>
  <si>
    <t>PMC MAGNET</t>
  </si>
  <si>
    <t>PMC LEAD 3888</t>
  </si>
  <si>
    <t>PMC PORT PROGRAMMER</t>
  </si>
  <si>
    <t>SUTURE TAK</t>
  </si>
  <si>
    <t>STRAIGHT PLATE, 1.6MM, 6 HOLE</t>
  </si>
  <si>
    <t>VAL SCREW, TI, 1.6 X 10MM</t>
  </si>
  <si>
    <t>VAL SCREW, TI, 1.6 X 14MM</t>
  </si>
  <si>
    <t>DISP INSTR. KIT FOR TENO SCREW</t>
  </si>
  <si>
    <t>DRILL, CANNULATED,ACREPAIR2.4M</t>
  </si>
  <si>
    <t>PASSPORT BUTTON CANNULA</t>
  </si>
  <si>
    <t>DISSECTOR, 4.0MM X 13CM</t>
  </si>
  <si>
    <t>RASP 4.0MM</t>
  </si>
  <si>
    <t>FIBERTAPE, 17" W/ STR NDL</t>
  </si>
  <si>
    <t>TAPERES CRVD NDL 26MM 1/2 CIRC</t>
  </si>
  <si>
    <t>COMPACT PRO POSTOP KNEE QUICK</t>
  </si>
  <si>
    <t>VARICELLA-ZOSTER AB</t>
  </si>
  <si>
    <t>ALPHA FETOPROTEIN-90</t>
  </si>
  <si>
    <t>CPM - DAILY</t>
  </si>
  <si>
    <t>LR 1000 ML</t>
  </si>
  <si>
    <t>1/2 NS 1000 ML</t>
  </si>
  <si>
    <t>NS 1000ML</t>
  </si>
  <si>
    <t>ACTIVATED PROT C -90</t>
  </si>
  <si>
    <t>D5W 250CC</t>
  </si>
  <si>
    <t>OFFSET TIB TRAY ADT</t>
  </si>
  <si>
    <t>OFFSET TIBIAL TRAY</t>
  </si>
  <si>
    <t>SPLINED KNEE SYSTEM</t>
  </si>
  <si>
    <t>TIBIAL BEARING</t>
  </si>
  <si>
    <t>DISTAL AUGMENT PEG</t>
  </si>
  <si>
    <t>FEMORAL DISTAL AUG</t>
  </si>
  <si>
    <t>UNIVERS REVERS MOD GLEN 24MM</t>
  </si>
  <si>
    <t>UNIVERS REVERS MOD GLEN SYTEM</t>
  </si>
  <si>
    <t>TIGER TAPE CERCLAGE 2MM 48"</t>
  </si>
  <si>
    <t>NS 50 ML</t>
  </si>
  <si>
    <t>ALCOHOL-91</t>
  </si>
  <si>
    <t>CHARGE ADJUSTMENT</t>
  </si>
  <si>
    <t>MISC NON CHARGABLE</t>
  </si>
  <si>
    <t>URINE DRUG SCREEN</t>
  </si>
  <si>
    <t>JAK 2 EXON-12MUT-90</t>
  </si>
  <si>
    <t>G G T -90</t>
  </si>
  <si>
    <t>T3 UPTAKE</t>
  </si>
  <si>
    <t>ACTH - (90)</t>
  </si>
  <si>
    <t>SS-A SS-B SJOGREN 90</t>
  </si>
  <si>
    <t>PROSTATIC AG-90(PSA)</t>
  </si>
  <si>
    <t>BNP-BRAIN NATRIUR-90</t>
  </si>
  <si>
    <t>ALBUMIN</t>
  </si>
  <si>
    <t>ALCOHOL/SERUM (90)</t>
  </si>
  <si>
    <t>ALDOLASE - (90)</t>
  </si>
  <si>
    <t>ALDOSTERONE SERUM-90</t>
  </si>
  <si>
    <t>ALKPHOS</t>
  </si>
  <si>
    <t>AMIKACIN - (91) QVH</t>
  </si>
  <si>
    <t>ALK PHOS ISOENZYM-90</t>
  </si>
  <si>
    <t>INFLUENZA A+B ELA-90</t>
  </si>
  <si>
    <t>AMMONIA - 91</t>
  </si>
  <si>
    <t>AMP CYCLIC - (90)</t>
  </si>
  <si>
    <t>AMYLASE</t>
  </si>
  <si>
    <t>ANDROSTENED - (90)</t>
  </si>
  <si>
    <t>INFLUENZA A TITER-90</t>
  </si>
  <si>
    <t>INFLUENZA B TITER-90</t>
  </si>
  <si>
    <t>BARBITURATE-90</t>
  </si>
  <si>
    <t>BETA-2-MICRO - (90)</t>
  </si>
  <si>
    <t>BILIRUBIN D - 90</t>
  </si>
  <si>
    <t>BILIRUBIN TOTAL</t>
  </si>
  <si>
    <t>BACTERIAL ANTIGEN-90</t>
  </si>
  <si>
    <t>BUN</t>
  </si>
  <si>
    <t>CALCIUM</t>
  </si>
  <si>
    <t>CALCIUM 24H - 90</t>
  </si>
  <si>
    <t>STONE ANALYSIS-(90)</t>
  </si>
  <si>
    <t>CARBON DIOX</t>
  </si>
  <si>
    <t>CAROTENE - (90)</t>
  </si>
  <si>
    <t>BODY FLU ID=T PRO-90</t>
  </si>
  <si>
    <t>CATECHOLMES - (90)</t>
  </si>
  <si>
    <t>CHLORIDE</t>
  </si>
  <si>
    <t>CHLOR CSF-90</t>
  </si>
  <si>
    <t>CHLORIDE UR - 90</t>
  </si>
  <si>
    <t>CHOLESTEROL</t>
  </si>
  <si>
    <t>CHOLINES RB - (90)</t>
  </si>
  <si>
    <t>LIPID PANEL</t>
  </si>
  <si>
    <t>CORTISOL - 90</t>
  </si>
  <si>
    <t>CPK-CARDIAC PANEL</t>
  </si>
  <si>
    <t>CPK ISO - 90</t>
  </si>
  <si>
    <t>CREATININE SERUM</t>
  </si>
  <si>
    <t>CREAT CLEAR-90</t>
  </si>
  <si>
    <t>CYSTINE - (90)</t>
  </si>
  <si>
    <t>VANCOMYCIN - 91 QVH</t>
  </si>
  <si>
    <t>DESIPRAMINE BLOOD-90</t>
  </si>
  <si>
    <t>DIASTASE - 90</t>
  </si>
  <si>
    <t>DIGOXIN</t>
  </si>
  <si>
    <t>DILANTIN</t>
  </si>
  <si>
    <t>URINE COCAINE - 90</t>
  </si>
  <si>
    <t>SERUM DRUG SCREEN-90</t>
  </si>
  <si>
    <t>ELECTROLYTE</t>
  </si>
  <si>
    <t>URINE CHEM OPIATE-90</t>
  </si>
  <si>
    <t>ESTRADIOL- (90)</t>
  </si>
  <si>
    <t>ESTRIOL - (90)</t>
  </si>
  <si>
    <t>ESTROG FRAC - (90)</t>
  </si>
  <si>
    <t>ESTROG TOTAL - (90)</t>
  </si>
  <si>
    <t>GLUCOSE, FBS</t>
  </si>
  <si>
    <t>FAT FEC.QL. - (90)</t>
  </si>
  <si>
    <t>FAT FEC. QT.- (90)</t>
  </si>
  <si>
    <t>FAT ACIDS NON-RST-90</t>
  </si>
  <si>
    <t>FERRITIN - (90)</t>
  </si>
  <si>
    <t>FOLATE (FOLIC ACID) -90</t>
  </si>
  <si>
    <t>FSH - (90)</t>
  </si>
  <si>
    <t>GALACTOSE Q - (90)</t>
  </si>
  <si>
    <t>GASTRIN RIA - (90)</t>
  </si>
  <si>
    <t>HEPATITIS ACUTE PNL-90</t>
  </si>
  <si>
    <t>GENTAMYCIN</t>
  </si>
  <si>
    <t>HEPATITIS C AB - 90</t>
  </si>
  <si>
    <t>GLUCAGON RI - (90)</t>
  </si>
  <si>
    <t>MUMPS AB - (90)</t>
  </si>
  <si>
    <t>BMP METABIC BASIC PL</t>
  </si>
  <si>
    <t>GLUCOSE STK</t>
  </si>
  <si>
    <t>GLUCOSE TOL 3HR</t>
  </si>
  <si>
    <t>GLUCOSE TOL 5</t>
  </si>
  <si>
    <t>CHEM-G-6-PD - (90)</t>
  </si>
  <si>
    <t>HEMOGLOBIN A1C - 90</t>
  </si>
  <si>
    <t>HAPTOGLOBIN - (90)</t>
  </si>
  <si>
    <t>ANTI DNA - (90)</t>
  </si>
  <si>
    <t>HEAVY METAL - (90)</t>
  </si>
  <si>
    <t>HEMOG:ELECT - (90)</t>
  </si>
  <si>
    <t>HEMOSIDERIN - (90)</t>
  </si>
  <si>
    <t>HIVAGEN - (90)</t>
  </si>
  <si>
    <t>LITHIUM</t>
  </si>
  <si>
    <t>I G E - (90)</t>
  </si>
  <si>
    <t>INSULIN - (90)</t>
  </si>
  <si>
    <t>TIBC - 90</t>
  </si>
  <si>
    <t>IRON TOTAL - 90</t>
  </si>
  <si>
    <t>VIRAL ISOLATION - 90</t>
  </si>
  <si>
    <t>LACTATE(ACID) - (90)</t>
  </si>
  <si>
    <t>LACTOSE - (90)</t>
  </si>
  <si>
    <t>CRYPTOSPORIDIUM -90</t>
  </si>
  <si>
    <t>LDH</t>
  </si>
  <si>
    <t>LDH ISO - (90)</t>
  </si>
  <si>
    <t>LEAD - (90)</t>
  </si>
  <si>
    <t>LH - (90)</t>
  </si>
  <si>
    <t>LIDOCAINE L - (90)</t>
  </si>
  <si>
    <t>LIPASE - 90</t>
  </si>
  <si>
    <t>LIPOPROT EL - (90)</t>
  </si>
  <si>
    <t>LITHIUM - (90)</t>
  </si>
  <si>
    <t>LIVER PANEL</t>
  </si>
  <si>
    <t>MAGNESIUM - 90</t>
  </si>
  <si>
    <t>MEPROBAMATE - (90)</t>
  </si>
  <si>
    <t>METANEPHRIN FRACT-90</t>
  </si>
  <si>
    <t>MYOGLOBIN S - (91)</t>
  </si>
  <si>
    <t>MYSOLINE-PRIMIDONE 90</t>
  </si>
  <si>
    <t>NUCLEOTIDAS - (90)</t>
  </si>
  <si>
    <t>OSMOLAL S - (90)</t>
  </si>
  <si>
    <t>OSMOLAL U - (90)</t>
  </si>
  <si>
    <t>P C P - (90)</t>
  </si>
  <si>
    <t>PH ADULT</t>
  </si>
  <si>
    <t>LYMES DISEASE AB -90</t>
  </si>
  <si>
    <t>PHOSPHOROUS S -90</t>
  </si>
  <si>
    <t>PHOSPHORUS U - 90</t>
  </si>
  <si>
    <t>PORPHYRINS - (90)</t>
  </si>
  <si>
    <t>POTASSIUM S</t>
  </si>
  <si>
    <t>POTASSIUM U - 90</t>
  </si>
  <si>
    <t>PREGNANEDIO - (90)</t>
  </si>
  <si>
    <t>PREGNANETRIOL - (90)</t>
  </si>
  <si>
    <t>PROGESTERON - (90)</t>
  </si>
  <si>
    <t>CA15-3 -90</t>
  </si>
  <si>
    <t>PROLACTIN - (90)</t>
  </si>
  <si>
    <t>PORPHOBILIN - (90)</t>
  </si>
  <si>
    <t>PORPHYRIN/CPROP-90</t>
  </si>
  <si>
    <t>PROTEIN CSF - 90</t>
  </si>
  <si>
    <t>PROTEIN S</t>
  </si>
  <si>
    <t>PROTEIN URI-90</t>
  </si>
  <si>
    <t>PTH C TERMINAL - 90</t>
  </si>
  <si>
    <t>PTHN TERMINAL - 90</t>
  </si>
  <si>
    <t>PYRUVIC - 90</t>
  </si>
  <si>
    <t>QUINIDINE - 90</t>
  </si>
  <si>
    <t>RENIN RIA - 90</t>
  </si>
  <si>
    <t>SALICYLATE - 90</t>
  </si>
  <si>
    <t>SEROTONIN B -90</t>
  </si>
  <si>
    <t>SGOT AST</t>
  </si>
  <si>
    <t>SGPT ALT</t>
  </si>
  <si>
    <t>THYROID ANTIBODIES-90</t>
  </si>
  <si>
    <t>THYROID-90 STIM IMMUNO</t>
  </si>
  <si>
    <t>PROTEIN ELECTROP-90</t>
  </si>
  <si>
    <t>CMP - CHEM 20</t>
  </si>
  <si>
    <t>SODIUM</t>
  </si>
  <si>
    <t>SODIUM URIN - 90</t>
  </si>
  <si>
    <t>TSH - 90</t>
  </si>
  <si>
    <t>T4  (THYROXINE)</t>
  </si>
  <si>
    <t>T3 RIA TOTAL - 90</t>
  </si>
  <si>
    <t>TEGRETOL</t>
  </si>
  <si>
    <t>TESTOSTERON (S)-90</t>
  </si>
  <si>
    <t>THEOPHYLLIN</t>
  </si>
  <si>
    <t>THYROGLOBYL - 90</t>
  </si>
  <si>
    <t>THYROGLOB AB - 90</t>
  </si>
  <si>
    <t>TOBRAMYCIN - 91</t>
  </si>
  <si>
    <t>TOTAL ESTRADIOL - 90</t>
  </si>
  <si>
    <t>TRIGLYCERID</t>
  </si>
  <si>
    <t>TYLENOL - 90</t>
  </si>
  <si>
    <t>URIC ACID</t>
  </si>
  <si>
    <t>AMIKACIN 90</t>
  </si>
  <si>
    <t>TRAVEL ALLOWANCE</t>
  </si>
  <si>
    <t>VITAMIN B1(THIAMINE) 90</t>
  </si>
  <si>
    <t>VITAMIN C-90</t>
  </si>
  <si>
    <t>VITAMIN B6-90</t>
  </si>
  <si>
    <t>HEREDITARY HEMCHROMATOSISDNA90</t>
  </si>
  <si>
    <t>UROBIL FECE - 90</t>
  </si>
  <si>
    <t>RICKETTS 1A AB 1GG 1GM - 90</t>
  </si>
  <si>
    <t>V M A  - 90</t>
  </si>
  <si>
    <t>VITAMIN B12 - 90</t>
  </si>
  <si>
    <t>URINE EOINOPHIL-90</t>
  </si>
  <si>
    <t>XYLOSE TOL - 90</t>
  </si>
  <si>
    <t>ZINC - 90</t>
  </si>
  <si>
    <t>17HCORTICRD - 90</t>
  </si>
  <si>
    <t>5 HIAA - 90</t>
  </si>
  <si>
    <t>CHLAMYDIA ONLY DNA-90</t>
  </si>
  <si>
    <t>BLEED TIME SIMPLATE</t>
  </si>
  <si>
    <t>BLEEDING TIME (DUKE)</t>
  </si>
  <si>
    <t>CBC-AUTOMATED</t>
  </si>
  <si>
    <t>DRCT DON LEUKOPOOR RBC</t>
  </si>
  <si>
    <t>CLOZARIL(CLOZAPINE) 90</t>
  </si>
  <si>
    <t>EOSINOPHIL TOTA</t>
  </si>
  <si>
    <t>FACTOR V111 - (91)</t>
  </si>
  <si>
    <t>FACTOR IV - 91</t>
  </si>
  <si>
    <t>FDP - (91)</t>
  </si>
  <si>
    <t>FIBRINOGEN - 90</t>
  </si>
  <si>
    <t>WESTERN BLOT - 90</t>
  </si>
  <si>
    <t>HERPES CULTURE - 90</t>
  </si>
  <si>
    <t>LEUKALK PH - (90)</t>
  </si>
  <si>
    <t>PLATELET CT.</t>
  </si>
  <si>
    <t>PROTAMINE S - (90)</t>
  </si>
  <si>
    <t>PROTHROMBIN</t>
  </si>
  <si>
    <t>PT CONSUMPT - (90)</t>
  </si>
  <si>
    <t>PTT</t>
  </si>
  <si>
    <t>RBC FRAGILT - 90</t>
  </si>
  <si>
    <t>SEDIMENTATION RATE</t>
  </si>
  <si>
    <t>RETIC COUNT</t>
  </si>
  <si>
    <t>SICKLE CELL - 90</t>
  </si>
  <si>
    <t>THROMBIN TI - 90</t>
  </si>
  <si>
    <t>MANUAL DIFFERENTIAL</t>
  </si>
  <si>
    <t>ABO &amp; RH</t>
  </si>
  <si>
    <t>ABO TYPE ON</t>
  </si>
  <si>
    <t>ALPHA FETOPROTEIN90</t>
  </si>
  <si>
    <t>AFP (MATERI ORA)-90</t>
  </si>
  <si>
    <t>ALPHA-1 ANTITRYPS-90</t>
  </si>
  <si>
    <t>ANA - 90</t>
  </si>
  <si>
    <t>ANTI MITOCHON - (90)</t>
  </si>
  <si>
    <t>ANTI SMOOTH MSCL-90</t>
  </si>
  <si>
    <t>ASO STREPTOZYME-90</t>
  </si>
  <si>
    <t>ANTIBODY ID -(93)</t>
  </si>
  <si>
    <t>ANTIBOD SCN</t>
  </si>
  <si>
    <t>BLASTO CF - (90)</t>
  </si>
  <si>
    <t>CEA - (90)</t>
  </si>
  <si>
    <t>COLD AGG TI - 90</t>
  </si>
  <si>
    <t>COMPLEMENT-CH50 -90</t>
  </si>
  <si>
    <t>COOMBS INDI</t>
  </si>
  <si>
    <t>COOMBS DIR</t>
  </si>
  <si>
    <t>CRP QUAL</t>
  </si>
  <si>
    <t>ADENOVIRUS AB - (90)</t>
  </si>
  <si>
    <t>CHLAMYDIA TITER-(90)</t>
  </si>
  <si>
    <t>COMPLEMENT-C3 - 90</t>
  </si>
  <si>
    <t>COMPLEMENT-C4 - 90</t>
  </si>
  <si>
    <t>FEBRILE AGGLUTIN-90</t>
  </si>
  <si>
    <t>FTA -ABS</t>
  </si>
  <si>
    <t>LEGIONELLA TITER-90</t>
  </si>
  <si>
    <t>HEP BE AG/AG - (90)</t>
  </si>
  <si>
    <t>HEP A AB(IG G)1GM-90</t>
  </si>
  <si>
    <t>HIV AB SCREEN - (90)</t>
  </si>
  <si>
    <t>P24 AG - 90</t>
  </si>
  <si>
    <t>HISTOPLAS C.F. - 90</t>
  </si>
  <si>
    <t>PROTEIN ELEC W/IMM90</t>
  </si>
  <si>
    <t>IMUNOGL QUANT-(90)</t>
  </si>
  <si>
    <t>IMMUNOGL M (IGM)-90</t>
  </si>
  <si>
    <t>IMUNOGL E - (90)</t>
  </si>
  <si>
    <t>LYMPHOCYTE T-CE - 90</t>
  </si>
  <si>
    <t>ANTICARDIOLIPIN AB90</t>
  </si>
  <si>
    <t>LYPHOCYTE B-CEL - 90</t>
  </si>
  <si>
    <t>MONOTEST-90</t>
  </si>
  <si>
    <t>PLATELET AN - (90)</t>
  </si>
  <si>
    <t>PREG TEST URIN-SERUM</t>
  </si>
  <si>
    <t>R A TITER</t>
  </si>
  <si>
    <t>RA FACTOR</t>
  </si>
  <si>
    <t>RH FACTOR D</t>
  </si>
  <si>
    <t>RH TYPE DU</t>
  </si>
  <si>
    <t>RHOGAM</t>
  </si>
  <si>
    <t>RPR VDRL QL - 90</t>
  </si>
  <si>
    <t>RUBELLA SCR - 90</t>
  </si>
  <si>
    <t>RH TITER</t>
  </si>
  <si>
    <t>TOXOPLASMA_IGG - 90</t>
  </si>
  <si>
    <t>CROSSMATCH</t>
  </si>
  <si>
    <t>HANDLING-SEND OUT</t>
  </si>
  <si>
    <t>STOOL YERSINIS - 90</t>
  </si>
  <si>
    <t>AFB CULTURE - (90)</t>
  </si>
  <si>
    <t>AFB STAIN - (90)</t>
  </si>
  <si>
    <t>ANAEROBIC CULT</t>
  </si>
  <si>
    <t>BLOOD CULT</t>
  </si>
  <si>
    <t>STOOL CAMPYLOBACTER-90</t>
  </si>
  <si>
    <t>URINE CREATININE-90</t>
  </si>
  <si>
    <t>CULT URINE</t>
  </si>
  <si>
    <t>CULTURE STOOL</t>
  </si>
  <si>
    <t>FUNGUS CUL- (90)</t>
  </si>
  <si>
    <t>SS-A,SS-B SJOGREN90</t>
  </si>
  <si>
    <t>GRAM STAIN</t>
  </si>
  <si>
    <t>MALARIA SM - 90</t>
  </si>
  <si>
    <t>OVA&amp;PARASIT-90 SP ST</t>
  </si>
  <si>
    <t>CULT ROUTINE</t>
  </si>
  <si>
    <t>SENSITIVIT</t>
  </si>
  <si>
    <t>CMV CULTURE - (90)</t>
  </si>
  <si>
    <t>WET MOUNT</t>
  </si>
  <si>
    <t>STAT CHARGE</t>
  </si>
  <si>
    <t>CELL CNT BODY FLD-90</t>
  </si>
  <si>
    <t>FAT STAIN - 90</t>
  </si>
  <si>
    <t>VENIPUNCTURE</t>
  </si>
  <si>
    <t>CRYSTALS SYNOV FL-90</t>
  </si>
  <si>
    <t>AS[ERGILLUS AB</t>
  </si>
  <si>
    <t>NASAL SMEAR</t>
  </si>
  <si>
    <t>CHROMOSOME STUDY- 90</t>
  </si>
  <si>
    <t>ALDOSTERONE URINE-90</t>
  </si>
  <si>
    <t>CA 19-9 - 90</t>
  </si>
  <si>
    <t>OCCULT BLOO</t>
  </si>
  <si>
    <t>VONWILLEBRAND AG-90</t>
  </si>
  <si>
    <t>URINE ELECTROPHOR-90</t>
  </si>
  <si>
    <t>D-DIMER - 90</t>
  </si>
  <si>
    <t>VONWILLEBRAND MULT90</t>
  </si>
  <si>
    <t>RISTOCETIN COFACT-90</t>
  </si>
  <si>
    <t>THROMBIN TIME - 91</t>
  </si>
  <si>
    <t>EUGLOBULIN CLOT-90</t>
  </si>
  <si>
    <t>FACTOR XIII ASSAY-90</t>
  </si>
  <si>
    <t>BLOOD DELIV</t>
  </si>
  <si>
    <t>SCABIES EXAM-90</t>
  </si>
  <si>
    <t>URIN-MICRO ONLY</t>
  </si>
  <si>
    <t>URIN-ROUTINE UA</t>
  </si>
  <si>
    <t>URIN-SPECIFIC GR</t>
  </si>
  <si>
    <t>URIN-SUGAR</t>
  </si>
  <si>
    <t>HEP. A.AB - (90)</t>
  </si>
  <si>
    <t>HEP.BE AB - (90)</t>
  </si>
  <si>
    <t>COCCIDIOID.AB (CF)90</t>
  </si>
  <si>
    <t>HEP B COREAB 1GM(90)</t>
  </si>
  <si>
    <t>RSV - 90</t>
  </si>
  <si>
    <t>PNEUMOCYTOSIS STN-90</t>
  </si>
  <si>
    <t>CRYPTOCOCCAL AG - 90</t>
  </si>
  <si>
    <t>EPSTEIN BARR VIR-90</t>
  </si>
  <si>
    <t>HEP. BSAB - (90)</t>
  </si>
  <si>
    <t>MYCOPLASMA TITER-90</t>
  </si>
  <si>
    <t>CMV IGG - (90)</t>
  </si>
  <si>
    <t>HEP. BSAG - (90)</t>
  </si>
  <si>
    <t>HERPES I &amp; II IGG-90</t>
  </si>
  <si>
    <t>PARATHYROID HORM-90</t>
  </si>
  <si>
    <t>STOOL-WBC</t>
  </si>
  <si>
    <t>CYSTICERCOSIS - 92</t>
  </si>
  <si>
    <t>HCG QUANTITATIVE-90</t>
  </si>
  <si>
    <t>FACTOR VII-WILLS-91</t>
  </si>
  <si>
    <t>CKMB - (90)</t>
  </si>
  <si>
    <t>CHLAMYDIA-GC DNA-90</t>
  </si>
  <si>
    <t>H INFLUENZA B AG -90</t>
  </si>
  <si>
    <t>RENAL CALC ANAL -90</t>
  </si>
  <si>
    <t>AMINO ACID SCREEN-90</t>
  </si>
  <si>
    <t>IONIZED CALCIUM - 90</t>
  </si>
  <si>
    <t>ANCA-NEUT-CYTO AB-90</t>
  </si>
  <si>
    <t>CLONAZEPAM LEVEL-90</t>
  </si>
  <si>
    <t>GFR (ESTIMATED)</t>
  </si>
  <si>
    <t>C2 - (90)</t>
  </si>
  <si>
    <t>C1 - (90)</t>
  </si>
  <si>
    <t>MEASLES AB - (90)</t>
  </si>
  <si>
    <t>VALPROIC ACID</t>
  </si>
  <si>
    <t>PHENOBARBITAL - (91)</t>
  </si>
  <si>
    <t>PLATELET ASSC IGG-90</t>
  </si>
  <si>
    <t>ANTI-PLAT AB -(90)</t>
  </si>
  <si>
    <t>CERULOPLASMIN-90</t>
  </si>
  <si>
    <t>BRUCELLA ANTIBODY-90</t>
  </si>
  <si>
    <t>DENGUE FEVER AB - 90</t>
  </si>
  <si>
    <t>H. PYLORI-SCREEN</t>
  </si>
  <si>
    <t>CD-8 - (90)</t>
  </si>
  <si>
    <t>CD-4 - (90)</t>
  </si>
  <si>
    <t>ANGIOTENSIN CONV-90</t>
  </si>
  <si>
    <t>CA-125 - (90)</t>
  </si>
  <si>
    <t>PLATLET PHERESIS</t>
  </si>
  <si>
    <t>FFP</t>
  </si>
  <si>
    <t>COPPER-90</t>
  </si>
  <si>
    <t>METHAQUALONE-UX 90</t>
  </si>
  <si>
    <t>AMMONIA-90</t>
  </si>
  <si>
    <t>THAWING FFP</t>
  </si>
  <si>
    <t>PREALBUMIN</t>
  </si>
  <si>
    <t>PROCAINAMIDE - (90)</t>
  </si>
  <si>
    <t>BUPRENORPHINE X CONFIRM -90</t>
  </si>
  <si>
    <t>HDL</t>
  </si>
  <si>
    <t>ACETONE SERUM/URINE</t>
  </si>
  <si>
    <t>TROPONIN T - 91</t>
  </si>
  <si>
    <t>AMOEBIC AB BY IHA-90</t>
  </si>
  <si>
    <t>PRE ALBUMIN -90</t>
  </si>
  <si>
    <t>TRANSFERRIN - 90</t>
  </si>
  <si>
    <t>NEURONTIN - 90</t>
  </si>
  <si>
    <t>STOOL C-DIFFICILE-90</t>
  </si>
  <si>
    <t>TOPIRAMATE-90</t>
  </si>
  <si>
    <t>C-PEPTIDE - 90</t>
  </si>
  <si>
    <t>HEPATITIS B-DNA - 90</t>
  </si>
  <si>
    <t>DHEA - 90</t>
  </si>
  <si>
    <t>BODY FLUID AMYLAS-90</t>
  </si>
  <si>
    <t>BODY FLUID ALBUM-90</t>
  </si>
  <si>
    <t>BODY FLUID GLUCOS-90</t>
  </si>
  <si>
    <t>VIT D 25HYDROXY</t>
  </si>
  <si>
    <t>JAK2 MUT REFLEX JAK2 EXON12-90</t>
  </si>
  <si>
    <t>BARTON HENS 1GC/1GM</t>
  </si>
  <si>
    <t>MICRO ALBUMIN - UX 90</t>
  </si>
  <si>
    <t>INTRINSIC FACT AB-90</t>
  </si>
  <si>
    <t>PLATELET FUNCITON-90</t>
  </si>
  <si>
    <t>KEPPRA-LEVETIRACE-90</t>
  </si>
  <si>
    <t>AMIKACIN-90</t>
  </si>
  <si>
    <t>LUPUS ANTICOAG -90</t>
  </si>
  <si>
    <t>ANTI-PHOSPHOLIPID-90</t>
  </si>
  <si>
    <t>MAGNESIUM</t>
  </si>
  <si>
    <t>TRILEPTAL-90</t>
  </si>
  <si>
    <t>HEPATITIS C VIR G 90</t>
  </si>
  <si>
    <t>HEPA C VIR RNA PCR90</t>
  </si>
  <si>
    <t>IMMUNOGLOBULIN A-90</t>
  </si>
  <si>
    <t>PAP-SMEAR-90</t>
  </si>
  <si>
    <t>PARIETAL CEL AUTO-90</t>
  </si>
  <si>
    <t>ANTI DSDNA AB 90</t>
  </si>
  <si>
    <t>1G-G  90</t>
  </si>
  <si>
    <t>ALCOHOL-URINE-90</t>
  </si>
  <si>
    <t>BNP-BRAIN NATRIURTIC</t>
  </si>
  <si>
    <t>METHADONE URINE 90</t>
  </si>
  <si>
    <t>FREE T4-90</t>
  </si>
  <si>
    <t>PLATELET FUNCTION-91</t>
  </si>
  <si>
    <t>CMV-1G-M  90</t>
  </si>
  <si>
    <t>VANCOMYCIN-90</t>
  </si>
  <si>
    <t>CRP-CARDIO-91</t>
  </si>
  <si>
    <t>FUNGAL STAIN (KOH)90</t>
  </si>
  <si>
    <t>FREE T3 - 90</t>
  </si>
  <si>
    <t>HERP SIMP I/II 1GM90</t>
  </si>
  <si>
    <t>TOBRAMYCIN-90</t>
  </si>
  <si>
    <t>STOOL VIBRIO-90</t>
  </si>
  <si>
    <t>PROTEIN C ANNTIGEN-90</t>
  </si>
  <si>
    <t>HEPARIN INDUCED PLT-AB-90</t>
  </si>
  <si>
    <t>ANAEROBE ID/SYSCEPT-90</t>
  </si>
  <si>
    <t>SOMATOMEDINC IGF1 - 90</t>
  </si>
  <si>
    <t>ANTI-SMITH AB 90</t>
  </si>
  <si>
    <t>UR PROT IMMUNO FIX -90</t>
  </si>
  <si>
    <t>PHOSPHORUS</t>
  </si>
  <si>
    <t>FACTOR V LEIDEN MUT - 90</t>
  </si>
  <si>
    <t>BUPRENORPHINE UX SCR-90</t>
  </si>
  <si>
    <t>SER PROT IMMUNO FIX-90</t>
  </si>
  <si>
    <t>AMMONIA</t>
  </si>
  <si>
    <t>HEMOGLOBIN AIC</t>
  </si>
  <si>
    <t>PROPOXYPHENE-UX 90</t>
  </si>
  <si>
    <t>LUPUS PANEL-90</t>
  </si>
  <si>
    <t>FECAL IMMUNO TEST (FIT)</t>
  </si>
  <si>
    <t>THYROID STIM IMMU-90</t>
  </si>
  <si>
    <t>CRPQT-HIGH SENSITIVE</t>
  </si>
  <si>
    <t>LEVETIRACEM-KEPRA-90</t>
  </si>
  <si>
    <t>PROTHROM G20210A-90</t>
  </si>
  <si>
    <t>ANTI-THROMB III-90</t>
  </si>
  <si>
    <t>FACTOR VIII-90</t>
  </si>
  <si>
    <t>ACTIVATED PROT C-90</t>
  </si>
  <si>
    <t>PROTEIN S ANTIGEN-90</t>
  </si>
  <si>
    <t>HOMOCYSTEINE-90</t>
  </si>
  <si>
    <t>PLATELET FUNCTION-90</t>
  </si>
  <si>
    <t>TRANSFERRIN RECPT-90</t>
  </si>
  <si>
    <t>TROPONIN 1 - 90</t>
  </si>
  <si>
    <t>CHARGE CORRECTION</t>
  </si>
  <si>
    <t>HOMOCYSTEINE - 90</t>
  </si>
  <si>
    <t>ANTI J0-1  90</t>
  </si>
  <si>
    <t>TRANS RIN-RECEPTOR90</t>
  </si>
  <si>
    <t>HBSAG NEUTRALIZAT-90</t>
  </si>
  <si>
    <t>VANCOMYCIN</t>
  </si>
  <si>
    <t>CRP QUANTITATIVE</t>
  </si>
  <si>
    <t>PHENOBARBITAL-90</t>
  </si>
  <si>
    <t>CRYOGLOBULIN-90</t>
  </si>
  <si>
    <t>COXSACKIE TITER 90</t>
  </si>
  <si>
    <t>PLATELET-AB DIR-90</t>
  </si>
  <si>
    <t>ERYTHROPOIETIN-90</t>
  </si>
  <si>
    <t>PLATELET-AB INDIR-90</t>
  </si>
  <si>
    <t>METHYLMALONIC ACID-90</t>
  </si>
  <si>
    <t>FREE PSA-90</t>
  </si>
  <si>
    <t>CRP-QTANTITATIVE-90</t>
  </si>
  <si>
    <t>CYCLIC CITRUL PEP-90</t>
  </si>
  <si>
    <t>HLA-B27 - 90</t>
  </si>
  <si>
    <t>H PYLORI AB IGG-90</t>
  </si>
  <si>
    <t>VARICELL AB1GG 1GM90</t>
  </si>
  <si>
    <t>ANTISCLERODERMA-70 -90</t>
  </si>
  <si>
    <t>ANTIEXTRACT NUC AG-90</t>
  </si>
  <si>
    <t>LAMOTRIGINE - 90</t>
  </si>
  <si>
    <t>VANCOMYCIN RESISTANT ENTEROCOC</t>
  </si>
  <si>
    <t>CYSTIKIGY-SPUTUM-90</t>
  </si>
  <si>
    <t>URINE HEMOSIDERIN-90</t>
  </si>
  <si>
    <t>HIV VIRAL LOAD-90</t>
  </si>
  <si>
    <t>STAT PICK UP BIOLAB</t>
  </si>
  <si>
    <t>HLA-1502-90</t>
  </si>
  <si>
    <t>QUANTIFERON-TB GOLD-90</t>
  </si>
  <si>
    <t>FIBROSURE TEST 90</t>
  </si>
  <si>
    <t>CA 27-29  90</t>
  </si>
  <si>
    <t>CMV QUANT BY PCR-90</t>
  </si>
  <si>
    <t>EBV QUANT BY PCR90</t>
  </si>
  <si>
    <t>JC VIRUS AB-90</t>
  </si>
  <si>
    <t>PT/PTT MIXING STUDY 90</t>
  </si>
  <si>
    <t>24 HR URINE CORTISOL-90</t>
  </si>
  <si>
    <t>AMIODARONE-90</t>
  </si>
  <si>
    <t>TSH      INHOUSE</t>
  </si>
  <si>
    <t>RED CROSS STAT DELIVERY</t>
  </si>
  <si>
    <t>REVERSE T3-90</t>
  </si>
  <si>
    <t>URINE CALCIUM-90</t>
  </si>
  <si>
    <t>CI-ESTERASE (INHIBIT-90</t>
  </si>
  <si>
    <t>THYROID PEROXIDASE-90</t>
  </si>
  <si>
    <t>KAPPA LAMBDA LIGHT-90 CHAINS</t>
  </si>
  <si>
    <t>ASPERGILLUS AB</t>
  </si>
  <si>
    <t>T-LYMPHOCYTE SUBPNL 90</t>
  </si>
  <si>
    <t>BETA GLUCAN-90</t>
  </si>
  <si>
    <t>BLASTOMYCES AB</t>
  </si>
  <si>
    <t>TACROLIMUS-90</t>
  </si>
  <si>
    <t>HEPATITIS BE AG -90</t>
  </si>
  <si>
    <t>URINE CYSTOLOGY-90</t>
  </si>
  <si>
    <t>COVID-19 90</t>
  </si>
  <si>
    <t>LEGIONELL AG UX-90</t>
  </si>
  <si>
    <t>MYCOPLASMA AB IGM-90</t>
  </si>
  <si>
    <t>PROCALCITONIN-90</t>
  </si>
  <si>
    <t>PRO BNP-90</t>
  </si>
  <si>
    <t>5-HIAAIUX-90</t>
  </si>
  <si>
    <t>CHROMOGRANIN-A-90</t>
  </si>
  <si>
    <t>CAL PROTECTIN ST-90</t>
  </si>
  <si>
    <t>AMYLASE BFL-90</t>
  </si>
  <si>
    <t>CYTOLOGY FLUIDS-90</t>
  </si>
  <si>
    <t>CALCITONIN-90</t>
  </si>
  <si>
    <t>COLLECTION-COVID</t>
  </si>
  <si>
    <t>COVID-19 IGM-IGG 90</t>
  </si>
  <si>
    <t>SPUTTUM MTB-PCR 90</t>
  </si>
  <si>
    <t>COVID-19 IGM IGG-90</t>
  </si>
  <si>
    <t>VON WILLEBRAND FACTOR AG-90</t>
  </si>
  <si>
    <t>VON WILLEBRAND RISTOCETIN-90</t>
  </si>
  <si>
    <t>ANTICADIOLIPIN AB-90(ACA)</t>
  </si>
  <si>
    <t>QUANTIFERON-TBGOLD-90</t>
  </si>
  <si>
    <t>PHENOTYPIC DETECTION OF CARB</t>
  </si>
  <si>
    <t>24HR UX AMMONIUM-90</t>
  </si>
  <si>
    <t>OUTPATIENT CLINIC</t>
  </si>
  <si>
    <t>CARNITINE-90</t>
  </si>
  <si>
    <t>AUTOIMMUNE LIVERDSE PANEL</t>
  </si>
  <si>
    <t>PRIMBILIARYCHIRHOSIS RDL</t>
  </si>
  <si>
    <t>JAK2V617FMUT-ANA ONT-90</t>
  </si>
  <si>
    <t>BCR-ABL1-90</t>
  </si>
  <si>
    <t>ACETYLCHOL RECP ABS PNL COMP90</t>
  </si>
  <si>
    <t>LIVER-KIDNEY (LKM)AB-90</t>
  </si>
  <si>
    <t>JAK2V617FMUTANQNTW REFLX CALR</t>
  </si>
  <si>
    <t>FLOW CYTOMETRY B-CELL CLL-90</t>
  </si>
  <si>
    <t>YEAST/FUNGUS ID-90</t>
  </si>
  <si>
    <t>VITAMAIN A-90</t>
  </si>
  <si>
    <t>VITAMIN E-90</t>
  </si>
  <si>
    <t>VITAMIN A&amp;E-90</t>
  </si>
  <si>
    <t>VITAMIN K-90</t>
  </si>
  <si>
    <t>HIPYLORI STOOL AG-90</t>
  </si>
  <si>
    <t>ANTIPANCREATIC ISLET CELLS 90</t>
  </si>
  <si>
    <t>INSULIN C-PEPTIDE-90</t>
  </si>
  <si>
    <t>IA2AUTOANTIBODIES-90</t>
  </si>
  <si>
    <t>ORGANSM ID MALD-TOF-90</t>
  </si>
  <si>
    <t>HEREDITARY ANGIOEDEMA</t>
  </si>
  <si>
    <t>LAB PATHOLOGY IP L/C</t>
  </si>
  <si>
    <t>CONSULT REPORT</t>
  </si>
  <si>
    <t>CONSULT/SURGERY</t>
  </si>
  <si>
    <t>CYTOL TRANSC FEE</t>
  </si>
  <si>
    <t>FROZ SECT EA ADDL.</t>
  </si>
  <si>
    <t>FROZEN SECTION</t>
  </si>
  <si>
    <t>GROSS EXAM</t>
  </si>
  <si>
    <t>GROSS AND MICRO</t>
  </si>
  <si>
    <t>PATH HANDLING FEE</t>
  </si>
  <si>
    <t>SPEC STAIN GP I</t>
  </si>
  <si>
    <t>MISC PATHOLOGY</t>
  </si>
  <si>
    <t>SPEC STAIN GP II</t>
  </si>
  <si>
    <t>LAB PATHOLOGY OP L/C</t>
  </si>
  <si>
    <t>SCREENING EXAM SPECIMEN CELLS</t>
  </si>
  <si>
    <t>EXAM MICRO MOD LOW COMPLEXITY</t>
  </si>
  <si>
    <t>PATH EXAM MICRO INTER COMPLEX</t>
  </si>
  <si>
    <t>EXAM TISSUE MICR MOD HIGH COMP</t>
  </si>
  <si>
    <t>EXAM TISSUE MICRO HIGH COMPLEX</t>
  </si>
  <si>
    <t>PREP TISSUE EXM REMOVE CALCIUM</t>
  </si>
  <si>
    <t>SIMPLE SPIRO</t>
  </si>
  <si>
    <t>ANALYSIS ARTERIAL BL</t>
  </si>
  <si>
    <t>OXYGEN SATURATION MO</t>
  </si>
  <si>
    <t>DISP OXIMETRY PROBE</t>
  </si>
  <si>
    <t>SPIROMETRY BEFORE&amp;AF</t>
  </si>
  <si>
    <t>PEAK FLOW</t>
  </si>
  <si>
    <t>ABG DRAW</t>
  </si>
  <si>
    <t>CRYOPRECIPITATE</t>
  </si>
  <si>
    <t>FFP UNIT</t>
  </si>
  <si>
    <t>PROC FEE DRCT DON</t>
  </si>
  <si>
    <t>BLOOD X STAT PICK UP</t>
  </si>
  <si>
    <t>PIH HAND FEE</t>
  </si>
  <si>
    <t>CRYOPRE PROCESS FEE</t>
  </si>
  <si>
    <t>PLATLET PROCESS FEE</t>
  </si>
  <si>
    <t>FFP THAWING FEE</t>
  </si>
  <si>
    <t>TRANS RXN WORK UP</t>
  </si>
  <si>
    <t>FACTOR VIII UNIT_-RE</t>
  </si>
  <si>
    <t>AUTOLOGOUS UNIT</t>
  </si>
  <si>
    <t>LEUKOPOOR RBC</t>
  </si>
  <si>
    <t>FILTER LEUKO POOR</t>
  </si>
  <si>
    <t>WORK UP COMPLEX</t>
  </si>
  <si>
    <t>WORK UP MULTIPLE ABS</t>
  </si>
  <si>
    <t>BB DIFF ADSORTION-90</t>
  </si>
  <si>
    <t>BB ENZYME PRE TREAT MEVT</t>
  </si>
  <si>
    <t>BLOOD BANK ELUTION RC 90</t>
  </si>
  <si>
    <t>ANTIBODY SCR-90 RC</t>
  </si>
  <si>
    <t>ANTIBODY ID-90 RC</t>
  </si>
  <si>
    <t>ANTIGUEN SCREEN-90 RC</t>
  </si>
  <si>
    <t>WORK UP EVAL ABO</t>
  </si>
  <si>
    <t>EKG</t>
  </si>
  <si>
    <t>M MODE ECHOCARDIOGRA</t>
  </si>
  <si>
    <t>HOLTER 12</t>
  </si>
  <si>
    <t>HOLTER 24</t>
  </si>
  <si>
    <t>RHYTHM STRIP</t>
  </si>
  <si>
    <t>ADVANCE STAT</t>
  </si>
  <si>
    <t>COLOR FLOW DOPPLER</t>
  </si>
  <si>
    <t>EMG IP L/C</t>
  </si>
  <si>
    <t>EMG 1</t>
  </si>
  <si>
    <t>EMG 2</t>
  </si>
  <si>
    <t>EMG 3</t>
  </si>
  <si>
    <t>EMG 4</t>
  </si>
  <si>
    <t>NERV COND ST 1</t>
  </si>
  <si>
    <t>NERVE COND STUDIE</t>
  </si>
  <si>
    <t>NERV COND ST 2</t>
  </si>
  <si>
    <t>NERV COND ST 3</t>
  </si>
  <si>
    <t>NERV COND ST 4</t>
  </si>
  <si>
    <t>NERV COND ST 8</t>
  </si>
  <si>
    <t>EMG OP L/C</t>
  </si>
  <si>
    <t>ELECTROENCEPHALOG</t>
  </si>
  <si>
    <t>EEG - 12 HOUR</t>
  </si>
  <si>
    <t>EEG INTERPRETATION</t>
  </si>
  <si>
    <t>EEG STAT</t>
  </si>
  <si>
    <t>ABDOMEN COMPLETE</t>
  </si>
  <si>
    <t>ABDOMEN FLAT KUB</t>
  </si>
  <si>
    <t>ABDOMEN SERIES 2</t>
  </si>
  <si>
    <t>ACROMIO-CLAV JOI</t>
  </si>
  <si>
    <t>ANKLE COMPLETE</t>
  </si>
  <si>
    <t>ANKLE LTD</t>
  </si>
  <si>
    <t>BONE AGE STUDY</t>
  </si>
  <si>
    <t>BONE METABOLIC S</t>
  </si>
  <si>
    <t>BRAIN MRI W/CONTRAST</t>
  </si>
  <si>
    <t>CHEST 1V (AP)NF/ADLT</t>
  </si>
  <si>
    <t>CHEST 2 V -AP  L</t>
  </si>
  <si>
    <t>CHEST 3 V</t>
  </si>
  <si>
    <t>CHEST 4 V</t>
  </si>
  <si>
    <t>CHOLANGIOGRAM SU</t>
  </si>
  <si>
    <t>CHLANGIOGRAM T-TUBE</t>
  </si>
  <si>
    <t>CLAVICLE</t>
  </si>
  <si>
    <t>DUPLICATIONS EA</t>
  </si>
  <si>
    <t>ELBOW COMPLETE</t>
  </si>
  <si>
    <t>ELBOW LTD</t>
  </si>
  <si>
    <t>ESOPHAGUS</t>
  </si>
  <si>
    <t>EXTENDED C-ARM / MIN</t>
  </si>
  <si>
    <t>EXTENDED RM TIME</t>
  </si>
  <si>
    <t>EXTREMTY VENOGRM BLT</t>
  </si>
  <si>
    <t>FACIAL &amp; NASAL BONE</t>
  </si>
  <si>
    <t>FACIAL BONES COMP</t>
  </si>
  <si>
    <t>FACIAL BONES ORB</t>
  </si>
  <si>
    <t>FEMUR (THIGH) 1</t>
  </si>
  <si>
    <t>FINGERS</t>
  </si>
  <si>
    <t>FISTULA SINUS ST</t>
  </si>
  <si>
    <t>FLUOROSCOPY</t>
  </si>
  <si>
    <t>FLUOROSCOPIC GUIDED SPINAL TAP</t>
  </si>
  <si>
    <t>FOOT COMPLETE</t>
  </si>
  <si>
    <t>FOOT LTD</t>
  </si>
  <si>
    <t>FOREARM</t>
  </si>
  <si>
    <t>HAND COMPLETE-3 VIW</t>
  </si>
  <si>
    <t>HAND LTD (2 VIEW)</t>
  </si>
  <si>
    <t>HIP COMP + AP PE</t>
  </si>
  <si>
    <t>HIP LTD</t>
  </si>
  <si>
    <t>HIPS BOTH</t>
  </si>
  <si>
    <t>HUMERUS +1 JOINT</t>
  </si>
  <si>
    <t>DRIP INFUSI</t>
  </si>
  <si>
    <t>INTERNAL AUDITOR</t>
  </si>
  <si>
    <t>KNEE COMPLETE 3V</t>
  </si>
  <si>
    <t>KNEE LTD 2 VIEW</t>
  </si>
  <si>
    <t>MRI LOWER EXTREMITY</t>
  </si>
  <si>
    <t>LUMBAR SPINE LTD</t>
  </si>
  <si>
    <t>LUMBOSACRAL COMP</t>
  </si>
  <si>
    <t>MANDIBLE COMPLET</t>
  </si>
  <si>
    <t>MANDIBLE LTD UNI</t>
  </si>
  <si>
    <t>MASTOIDS COMPLET</t>
  </si>
  <si>
    <t>MASTOIDS LTD &amp; U</t>
  </si>
  <si>
    <t>NASAL BONES</t>
  </si>
  <si>
    <t>NECK-SOFT TISSUE</t>
  </si>
  <si>
    <t>OS CALCIS HEEL</t>
  </si>
  <si>
    <t>PRNL SINUS COMP</t>
  </si>
  <si>
    <t>PELVIS COMPLETE</t>
  </si>
  <si>
    <t>PELVIS 1 VIEW</t>
  </si>
  <si>
    <t>RETROGRADE PYELO</t>
  </si>
  <si>
    <t>RIBS BILATERAL</t>
  </si>
  <si>
    <t>RIBS UNILATERAL</t>
  </si>
  <si>
    <t>SACRO-ILIAC JOIN</t>
  </si>
  <si>
    <t>SACRUM &amp; COCCYX</t>
  </si>
  <si>
    <t>SALPINGOGRAM</t>
  </si>
  <si>
    <t>SCAPULA</t>
  </si>
  <si>
    <t>SCOLIOSIS STUDY</t>
  </si>
  <si>
    <t>SELLA TURCICA</t>
  </si>
  <si>
    <t>SHOULDER COMPLET</t>
  </si>
  <si>
    <t>SHOULDER LTD</t>
  </si>
  <si>
    <t>SINUS 1 VIEW</t>
  </si>
  <si>
    <t>SKULL COMPLETE</t>
  </si>
  <si>
    <t>SKULL LTD 2V</t>
  </si>
  <si>
    <t>SMALL BOWEL SERI</t>
  </si>
  <si>
    <t>CERVICAL SPINE 3 VIEWS</t>
  </si>
  <si>
    <t>CERVICAL SPINE 5 VIEWS</t>
  </si>
  <si>
    <t>CERVICAL SPINE 7 VIEWS</t>
  </si>
  <si>
    <t>SPINE ENTIRE STU</t>
  </si>
  <si>
    <t>SPINE THORACO LU</t>
  </si>
  <si>
    <t>SPINE TRORACIC</t>
  </si>
  <si>
    <t>STERNOCLAVICLAR</t>
  </si>
  <si>
    <t>STERNUM</t>
  </si>
  <si>
    <t>T M JOINTS</t>
  </si>
  <si>
    <t>TIBIA &amp; FIBULA+1</t>
  </si>
  <si>
    <t>TOES</t>
  </si>
  <si>
    <t>PTC STUDY</t>
  </si>
  <si>
    <t>UNLISTED VENOGRAM</t>
  </si>
  <si>
    <t>UPPER GI</t>
  </si>
  <si>
    <t>WRIST COMPLETE</t>
  </si>
  <si>
    <t>WRIST LTD</t>
  </si>
  <si>
    <t>X-RAY DRUGS</t>
  </si>
  <si>
    <t>X-RAY CALL</t>
  </si>
  <si>
    <t>X-RAY PORTABLE CHG</t>
  </si>
  <si>
    <t>DPLX SCAN CAROTID AR</t>
  </si>
  <si>
    <t>DIGITAL PHLETSMOGRAP</t>
  </si>
  <si>
    <t>DIGITAL PHLETS W/SCN</t>
  </si>
  <si>
    <t>STAT CHARGE MRI</t>
  </si>
  <si>
    <t>EEG AWAKE-OUTPATIENT</t>
  </si>
  <si>
    <t>EEG AWAKE-INPATIENT</t>
  </si>
  <si>
    <t>KNEE 4 VIEW</t>
  </si>
  <si>
    <t>ELBOW 3 VIEW</t>
  </si>
  <si>
    <t>SHOULDER 3 VIEW</t>
  </si>
  <si>
    <t>KNEE 5 VIEWS</t>
  </si>
  <si>
    <t>PROSTATE TRANSAB U/S</t>
  </si>
  <si>
    <t>MRI CERVICAL SPINE</t>
  </si>
  <si>
    <t>TTUBE CHOLANGIOGRAM</t>
  </si>
  <si>
    <t>CHOLANGIOGRAM T-TUBE</t>
  </si>
  <si>
    <t>CYSTOGRAM</t>
  </si>
  <si>
    <t>BONE SCAN LTD AR</t>
  </si>
  <si>
    <t>BONE SCAN MULTIP</t>
  </si>
  <si>
    <t>BONE SCAN WHOLE</t>
  </si>
  <si>
    <t>BRAIN SCAN COMP</t>
  </si>
  <si>
    <t>BRAIN SCAN STATI</t>
  </si>
  <si>
    <t>BRAIN SCAN-FLOW</t>
  </si>
  <si>
    <t>CARDIAC BLOOD PO</t>
  </si>
  <si>
    <t>GALLIUM SCAN LTD</t>
  </si>
  <si>
    <t>GALLIUM SCAN MUL</t>
  </si>
  <si>
    <t>GALLIUM SCN WHOL BDY</t>
  </si>
  <si>
    <t>GATED BLD POOL I</t>
  </si>
  <si>
    <t>HEPATOBILIARY SCAN</t>
  </si>
  <si>
    <t>GI BLOOD LOSS ST</t>
  </si>
  <si>
    <t>ISOTOPE C057</t>
  </si>
  <si>
    <t>ISOTOPE-DTPA IV</t>
  </si>
  <si>
    <t>ISOTOPE-GA67 6MC</t>
  </si>
  <si>
    <t>ISOTOPE-HIPPURAN</t>
  </si>
  <si>
    <t>ISOTOPE-I 123</t>
  </si>
  <si>
    <t>ISOTOPE-I 131 DX</t>
  </si>
  <si>
    <t>ISOTOPE-I 131 HI</t>
  </si>
  <si>
    <t>ISOTOPE-I 131 R</t>
  </si>
  <si>
    <t>ISOTOPE-INT FAC</t>
  </si>
  <si>
    <t>ISOTOPE-TC 99 D</t>
  </si>
  <si>
    <t>ISOTOPE-TC PP H</t>
  </si>
  <si>
    <t>ISOTOPE-TC99 CO</t>
  </si>
  <si>
    <t>ISOTOPE-TC99 GL</t>
  </si>
  <si>
    <t>ISOTOPE-TC99 MA</t>
  </si>
  <si>
    <t>ISOTOPE-TC99 M SULFER COLLOID</t>
  </si>
  <si>
    <t>ISOTOPE-TC99 MD</t>
  </si>
  <si>
    <t>ISOTOPE-TC99 MI</t>
  </si>
  <si>
    <t>ISOTOPE-TC99-PY</t>
  </si>
  <si>
    <t>ISOTOPE-THALLIU</t>
  </si>
  <si>
    <t>ISOTOPE-EX 133</t>
  </si>
  <si>
    <t>KIDNEY SCAN FLO</t>
  </si>
  <si>
    <t>KIDNEY SCAN STA</t>
  </si>
  <si>
    <t>KIDNEY&amp;FUNC STA</t>
  </si>
  <si>
    <t>LIVER&amp;LUNG SCAN</t>
  </si>
  <si>
    <t>LIVER&amp;SPLEEN SC</t>
  </si>
  <si>
    <t>LIVER FUNCT R BE</t>
  </si>
  <si>
    <t>LIVER SCAN STATI</t>
  </si>
  <si>
    <t>LIVER SCAN W/FLO</t>
  </si>
  <si>
    <t>LIVER/SPLEEN W/F</t>
  </si>
  <si>
    <t>LUNG PERFUSNEVEN</t>
  </si>
  <si>
    <t>LUNG SCAN PERFUS</t>
  </si>
  <si>
    <t>LUNG VENTILTION</t>
  </si>
  <si>
    <t>LUNG SCAN V&amp;P</t>
  </si>
  <si>
    <t>MYOCARDIUM SCAN</t>
  </si>
  <si>
    <t>ISOTOPES/DRUGS</t>
  </si>
  <si>
    <t>RENOGRAM SCAN/CL</t>
  </si>
  <si>
    <t>RENOGRAM SCAN/SE</t>
  </si>
  <si>
    <t>TESTICULAR IMG</t>
  </si>
  <si>
    <t>SPLEEN SCAN_WITH FLO</t>
  </si>
  <si>
    <t>SPLEEN SCAN</t>
  </si>
  <si>
    <t>THYRD UPTAKE/SCAN MU</t>
  </si>
  <si>
    <t>THYRD UPTAKE/SCAN 1</t>
  </si>
  <si>
    <t>THYROID UPTAKE 6&amp;24</t>
  </si>
  <si>
    <t>VASCULAR FLOW</t>
  </si>
  <si>
    <t>CALL-BACK-NM</t>
  </si>
  <si>
    <t>STAT CHARGE NUC/MED</t>
  </si>
  <si>
    <t>INDIUM SCAN</t>
  </si>
  <si>
    <t>TRI-PHASE BONE SCAN</t>
  </si>
  <si>
    <t>GASTRIC EMPTYING STUDY</t>
  </si>
  <si>
    <t>LOKELMA 10GM PKT</t>
  </si>
  <si>
    <t>PHARM IP LABEL FEE</t>
  </si>
  <si>
    <t>PPD TUBERSOL 0.1ML</t>
  </si>
  <si>
    <t>ZYPREXA 7.5MG TAB EA</t>
  </si>
  <si>
    <t>ZYPREXA 15MG TAB</t>
  </si>
  <si>
    <t>EMLA CREAM 5GRAMS</t>
  </si>
  <si>
    <t>EFFEXOR 75MG TABLET</t>
  </si>
  <si>
    <t>PRAVACHOL 40MG TAB</t>
  </si>
  <si>
    <t>ACULAR EYE GTT 10ML</t>
  </si>
  <si>
    <t>MISC PHARMACY</t>
  </si>
  <si>
    <t>ZOFRAN 4MG TAB</t>
  </si>
  <si>
    <t>TAPAZOLE 5MG TABLET</t>
  </si>
  <si>
    <t>OMNIPAQUE INJ DOSE</t>
  </si>
  <si>
    <t>KADIAN 20MG CAP</t>
  </si>
  <si>
    <t>JANUVIA 50MG TAB</t>
  </si>
  <si>
    <t>CUBICIN 500MG IV</t>
  </si>
  <si>
    <t>ABILIFY 5MG TAB</t>
  </si>
  <si>
    <t>ACTOS 15MG TAB</t>
  </si>
  <si>
    <t>NOVOLOG UNITS</t>
  </si>
  <si>
    <t>MUCINEX 600MG TAB</t>
  </si>
  <si>
    <t>AVELOX 400MG TABLET</t>
  </si>
  <si>
    <t>HHN TOBRAMICIN 300MG</t>
  </si>
  <si>
    <t>AMARYL 2MG TAB</t>
  </si>
  <si>
    <t>ADVAIR DISK 250/50</t>
  </si>
  <si>
    <t>ADVAIR DISK 100/50</t>
  </si>
  <si>
    <t>SYNTHROID 88 MCG TAB</t>
  </si>
  <si>
    <t>ACTIDOSE WITH SORBIT</t>
  </si>
  <si>
    <t>ACTOS 30MG TAB</t>
  </si>
  <si>
    <t>COZAAR 25MG TAB</t>
  </si>
  <si>
    <t>ACCUPRIL 20MG TABLET</t>
  </si>
  <si>
    <t>ACTOS 45MG TAB</t>
  </si>
  <si>
    <t>VIT D 5000IU CAP</t>
  </si>
  <si>
    <t>ACTIFED C 5ML</t>
  </si>
  <si>
    <t>AVANDIA 4MG TABLET</t>
  </si>
  <si>
    <t>ACTIFED TABLET</t>
  </si>
  <si>
    <t>ADERNAL 1:1000 1C</t>
  </si>
  <si>
    <t>ADRIAMY 10MG IV</t>
  </si>
  <si>
    <t>ACCUZYME 30GM OINT</t>
  </si>
  <si>
    <t>AVITENE / SMALL</t>
  </si>
  <si>
    <t>AFRIN NASAL SPY</t>
  </si>
  <si>
    <t>ALBUM 25% 50CC</t>
  </si>
  <si>
    <t>ALDACTONE 25MG TAB</t>
  </si>
  <si>
    <t>ALDACTONE 50MG TAB</t>
  </si>
  <si>
    <t>CARDIZEM 25MG/5ML IN</t>
  </si>
  <si>
    <t>ALDOMET 250MG TAB</t>
  </si>
  <si>
    <t>ALDOMET 500MG TABLET</t>
  </si>
  <si>
    <t>KEPRA 250MG TABLET</t>
  </si>
  <si>
    <t>RISPERDAL 1MG TABLET</t>
  </si>
  <si>
    <t>ROBAXIN 750 MG TAB</t>
  </si>
  <si>
    <t>CALMOSEPTINE OINT</t>
  </si>
  <si>
    <t>AVANDIA 8MG TAB</t>
  </si>
  <si>
    <t>ARICEPT 5MG TABLET</t>
  </si>
  <si>
    <t>CARDIZEM 50MG/10ML</t>
  </si>
  <si>
    <t>AMBIEN 5MG TAB</t>
  </si>
  <si>
    <t>AMIKACIN 400MG IV</t>
  </si>
  <si>
    <t>ALTERNAGEL</t>
  </si>
  <si>
    <t>AMBIEN 10 MG TABLET</t>
  </si>
  <si>
    <t>ALUPENT INH 14GM</t>
  </si>
  <si>
    <t>ALUPENT LIQUID/DOSE</t>
  </si>
  <si>
    <t>ALUPENT 10MG TABLET</t>
  </si>
  <si>
    <t>AMIKACIN 500MG IV</t>
  </si>
  <si>
    <t>GLUCOPHAGE 850MG TAB</t>
  </si>
  <si>
    <t>500CC D5W</t>
  </si>
  <si>
    <t>AMINOPHYL 250M IV</t>
  </si>
  <si>
    <t>AMINOPHYL 500M IV</t>
  </si>
  <si>
    <t>AMINO ACID 8.5%</t>
  </si>
  <si>
    <t>NIZORAL 60 GM CRM</t>
  </si>
  <si>
    <t>NEXIUM 20MG SUSP</t>
  </si>
  <si>
    <t>PHENOBARBITAL 97.2MG TABLET</t>
  </si>
  <si>
    <t>AMICAR TAB 500MG O</t>
  </si>
  <si>
    <t>AMOXIL 250MG CAPS</t>
  </si>
  <si>
    <t>AMOXIL 500MG CAPS</t>
  </si>
  <si>
    <t>AMPHOJEL/DOSE</t>
  </si>
  <si>
    <t>AMPHOTERICIN 50MG IV</t>
  </si>
  <si>
    <t>REVIA 50MG TAB</t>
  </si>
  <si>
    <t>AMPICILLIN 250MG IM</t>
  </si>
  <si>
    <t>AMPICILLIN 250MG IV</t>
  </si>
  <si>
    <t>AMPICILLIN 500MG IV</t>
  </si>
  <si>
    <t>AMPICILLIN 500MG IM</t>
  </si>
  <si>
    <t>AMPICILLIN 1GM IV</t>
  </si>
  <si>
    <t>AMPICILLIN 1GM IM</t>
  </si>
  <si>
    <t>AMPICILLIN 2GM IV</t>
  </si>
  <si>
    <t>AMPICILLIN 250MG CAP</t>
  </si>
  <si>
    <t>AMPICILLIN 500MG CAP</t>
  </si>
  <si>
    <t>ANCEF 1GM IV</t>
  </si>
  <si>
    <t>ULTRACAL 32OZ</t>
  </si>
  <si>
    <t>ANCEF 500MG IV</t>
  </si>
  <si>
    <t>ISOCAL 32OZ</t>
  </si>
  <si>
    <t>ANECTINE 20MG IV</t>
  </si>
  <si>
    <t>AMIKACIN 450MG IV</t>
  </si>
  <si>
    <t>AMIKACIN 300MG IV</t>
  </si>
  <si>
    <t>ANTILIRIUM 1MG INJ</t>
  </si>
  <si>
    <t>ANTIVERT 12.5MG TAB</t>
  </si>
  <si>
    <t>ANTIVERT 25MG TAB</t>
  </si>
  <si>
    <t>ANUSOL HC 30GM</t>
  </si>
  <si>
    <t>ANTABUSE 500MG TAB</t>
  </si>
  <si>
    <t>PROMOD POWDER 1 SCOOP PO</t>
  </si>
  <si>
    <t>ANUSOL HC SUPP</t>
  </si>
  <si>
    <t>CETACAINE SPRAY DS</t>
  </si>
  <si>
    <t>APRESOLINE 20MG IV</t>
  </si>
  <si>
    <t>APRESOLINE 10MG TAB</t>
  </si>
  <si>
    <t>APRESOLINE 25MG TAB</t>
  </si>
  <si>
    <t>APRESOLINE 100MG TAB</t>
  </si>
  <si>
    <t>VITAMIN K 1MG INJ</t>
  </si>
  <si>
    <t>ARISTO 1% 15GM</t>
  </si>
  <si>
    <t>ARISTOCORT A 15MG</t>
  </si>
  <si>
    <t>DELIVER 2.0 8OZ</t>
  </si>
  <si>
    <t>ARTANE TAB</t>
  </si>
  <si>
    <t>ARTIFICIAL TEARS</t>
  </si>
  <si>
    <t>ASA TAB</t>
  </si>
  <si>
    <t>ASPIRIN 325MG TABLET</t>
  </si>
  <si>
    <t>ASPIRIN 81MG TAB</t>
  </si>
  <si>
    <t>ATARAX LIQ-DOSE</t>
  </si>
  <si>
    <t>ATARAX TAB 25MG</t>
  </si>
  <si>
    <t>AMIKACIN 250MG IV</t>
  </si>
  <si>
    <t>ATIVAN TAB 1MG</t>
  </si>
  <si>
    <t>ATIVAN TAB 0.5MG TAB</t>
  </si>
  <si>
    <t>ATRACURIUM 50MG/5ML</t>
  </si>
  <si>
    <t>ATIVAN 2MG INJ</t>
  </si>
  <si>
    <t>ASA COL 400 MG TAB</t>
  </si>
  <si>
    <t>ATROP ABBOTT</t>
  </si>
  <si>
    <t>ATROPIN 0.4MG/ML INJ</t>
  </si>
  <si>
    <t>ATROPINE OPTH 1% OINT</t>
  </si>
  <si>
    <t>ATROVENT INHALER</t>
  </si>
  <si>
    <t>AURALGAN EAR DROP</t>
  </si>
  <si>
    <t>AUGMENTIN 250MG TABS</t>
  </si>
  <si>
    <t>AUGMENTIN 500MG TABS</t>
  </si>
  <si>
    <t>PHARM OP LABEL FEE</t>
  </si>
  <si>
    <t>DURAGESIC 25MCG/HR</t>
  </si>
  <si>
    <t>DURAGESIC 100MCG/HR</t>
  </si>
  <si>
    <t>AVITENE IGM</t>
  </si>
  <si>
    <t>AZACTAM 1GM IV</t>
  </si>
  <si>
    <t>AMIKACIN 700 MG IV</t>
  </si>
  <si>
    <t>AZMACORT INHALER</t>
  </si>
  <si>
    <t>AZULFIDINE TAB</t>
  </si>
  <si>
    <t>B &amp; O SUPP</t>
  </si>
  <si>
    <t>B-12 TAB 100 MCG</t>
  </si>
  <si>
    <t>B-12 INJ</t>
  </si>
  <si>
    <t>BACITRACIN 50,000 IRRIGATION</t>
  </si>
  <si>
    <t>BACITRACIN ONT 15GM</t>
  </si>
  <si>
    <t>ALTACE 10MG CAP</t>
  </si>
  <si>
    <t>DURAGESIC 75MCG/HR</t>
  </si>
  <si>
    <t>AMIKACIN 350MG IV</t>
  </si>
  <si>
    <t>BACTRIM SUSP</t>
  </si>
  <si>
    <t>DURAGESIC 50MCG/HR</t>
  </si>
  <si>
    <t>AZACTAM 2 GMS IV</t>
  </si>
  <si>
    <t>BACLOFEN 20MG TAB</t>
  </si>
  <si>
    <t>BACTRIM DS</t>
  </si>
  <si>
    <t>BACLOFEN 10MG TAB</t>
  </si>
  <si>
    <t>BACTRIM IV 5ML</t>
  </si>
  <si>
    <t>ALPHAGAN EYE SOLN</t>
  </si>
  <si>
    <t>BCNU 100MG H</t>
  </si>
  <si>
    <t>BIAXIN 500MG TABLET</t>
  </si>
  <si>
    <t>ALLEGRA-D 60MG TAB</t>
  </si>
  <si>
    <t>BEN-GAY 5OZ</t>
  </si>
  <si>
    <t>B COMPLEX CAPUSLE</t>
  </si>
  <si>
    <t>BENADRYL CR 30GM</t>
  </si>
  <si>
    <t>BENADRYL ELIX/DOSE</t>
  </si>
  <si>
    <t>BACTROBAN 22GM OINT</t>
  </si>
  <si>
    <t>ALLEGRA 60MG CAP</t>
  </si>
  <si>
    <t>BENADRYL 25MG CAP</t>
  </si>
  <si>
    <t>BENADRYL 50MG TAB</t>
  </si>
  <si>
    <t>BENADRYL 50MG INJ</t>
  </si>
  <si>
    <t>BENTYL 20MG CAPSULE</t>
  </si>
  <si>
    <t>BETOPTIC OPTH 5ML</t>
  </si>
  <si>
    <t>BETADINE 10Z</t>
  </si>
  <si>
    <t>BETADINE 16OZ</t>
  </si>
  <si>
    <t>BICIL CR 900/300</t>
  </si>
  <si>
    <t>BICIL LA 1.2M INJ</t>
  </si>
  <si>
    <t>BICILLIN CR 600 INJ</t>
  </si>
  <si>
    <t>BICIL CR 2.4</t>
  </si>
  <si>
    <t>BICIL LA 600 INJ</t>
  </si>
  <si>
    <t>BICIL LA 2.4</t>
  </si>
  <si>
    <t>BICITRA</t>
  </si>
  <si>
    <t>BICARB ABBO</t>
  </si>
  <si>
    <t>BICILLIN CR 1.2</t>
  </si>
  <si>
    <t>CARAFATE LIQ/DOSE</t>
  </si>
  <si>
    <t>BENZOYL PEROX CREAM</t>
  </si>
  <si>
    <t>REMINYL 8MG TABLET</t>
  </si>
  <si>
    <t>BRETHINE 2.5MG TAB</t>
  </si>
  <si>
    <t>MOBIC 7.5MG TAB</t>
  </si>
  <si>
    <t>BRETHINE 5MG TAB</t>
  </si>
  <si>
    <t>BSS SOLUTION 15CC</t>
  </si>
  <si>
    <t>BUFFERIN TAB</t>
  </si>
  <si>
    <t>BUSPAR 5MG TAB</t>
  </si>
  <si>
    <t>BUSPAR 10MG TAB</t>
  </si>
  <si>
    <t>CARNITOR 1GRAM/10ML</t>
  </si>
  <si>
    <t>ULTRACAL 8OZ</t>
  </si>
  <si>
    <t>SPIRIVA INHALE CAP</t>
  </si>
  <si>
    <t>SUBTEX 2MG TABLET</t>
  </si>
  <si>
    <t>PLETAL 100MG TAB</t>
  </si>
  <si>
    <t>CALADRYL 6OZ</t>
  </si>
  <si>
    <t>CA GLUCONATE 500MF TAB</t>
  </si>
  <si>
    <t>CALAN 80MG TAB</t>
  </si>
  <si>
    <t>CALAN 120MG</t>
  </si>
  <si>
    <t>JEVITY 8OZ</t>
  </si>
  <si>
    <t>CAL CL ABBO</t>
  </si>
  <si>
    <t>CAL-GLUCO 10ML IV</t>
  </si>
  <si>
    <t>CALCIUM CARB</t>
  </si>
  <si>
    <t>CALCIUM GLUCO 10ML</t>
  </si>
  <si>
    <t>CALCIUM TAB</t>
  </si>
  <si>
    <t>CALCIUM LACTATE TAB</t>
  </si>
  <si>
    <t>CALCIMAR 200IU</t>
  </si>
  <si>
    <t>CALCIUM PLUS</t>
  </si>
  <si>
    <t>CALAMINE LOTION</t>
  </si>
  <si>
    <t>CORDARONE 200MG TAB</t>
  </si>
  <si>
    <t>CAPOTEN 12.5MG</t>
  </si>
  <si>
    <t>CAPOTEN 25 MG TAB</t>
  </si>
  <si>
    <t>CAPOTEN 50MG TAB</t>
  </si>
  <si>
    <t>CARAFATE 1 GM TAB</t>
  </si>
  <si>
    <t>CARAFATE COCKTAIL</t>
  </si>
  <si>
    <t>ROZEREM 8MG TAB</t>
  </si>
  <si>
    <t>CELEXA 40MG TABLET</t>
  </si>
  <si>
    <t>BETAMETHASONE 50GM</t>
  </si>
  <si>
    <t>CARDIZEM TAB 30MG</t>
  </si>
  <si>
    <t>CARDIZEM TAB 60MG</t>
  </si>
  <si>
    <t>CASCARA DOSE</t>
  </si>
  <si>
    <t>REQUIP 0.25MG TAB</t>
  </si>
  <si>
    <t>CATAPRES TAB 0.1</t>
  </si>
  <si>
    <t>CATAPRES TAB 0.2</t>
  </si>
  <si>
    <t>CARDURA 2MG TAB</t>
  </si>
  <si>
    <t>CATAPRES PATCH</t>
  </si>
  <si>
    <t>CECLOR 250MG CAP</t>
  </si>
  <si>
    <t>CECLOR 500</t>
  </si>
  <si>
    <t>CARDIZEM CD 240MG</t>
  </si>
  <si>
    <t>BOOST 8OZ</t>
  </si>
  <si>
    <t>AUGMENTIN 875MG TAB</t>
  </si>
  <si>
    <t>TOBREX OPTH OINT</t>
  </si>
  <si>
    <t>COREG 25MG TABLET</t>
  </si>
  <si>
    <t>EPOGEN 1000 U</t>
  </si>
  <si>
    <t>CEFTIN 250MG TAB</t>
  </si>
  <si>
    <t>CEFTIN 500MG</t>
  </si>
  <si>
    <t>CARDIZEM CD 300MG</t>
  </si>
  <si>
    <t>CEFUROXIME 750MG INJ</t>
  </si>
  <si>
    <t>CELEXA 20MG TAB</t>
  </si>
  <si>
    <t>LOPID 600MG TABLET</t>
  </si>
  <si>
    <t>PANCREAZE CAPSULE</t>
  </si>
  <si>
    <t>PHENERGAN SUPP 25 MG</t>
  </si>
  <si>
    <t>KCL 2MEQ IV</t>
  </si>
  <si>
    <t>ZESTRIL 5MG TABLET</t>
  </si>
  <si>
    <t>PROTONIX 40MG PACKET</t>
  </si>
  <si>
    <t>HHN AMIKACIN 500MG</t>
  </si>
  <si>
    <t>CHL HYD 500MG/5CC</t>
  </si>
  <si>
    <t>CHLOR HYD 500MG CAP</t>
  </si>
  <si>
    <t>CHLOROSEPTIC LOZ</t>
  </si>
  <si>
    <t>CHLOROSEPTIC SPRAY</t>
  </si>
  <si>
    <t>MYCAMINE 100MG IV</t>
  </si>
  <si>
    <t>ROCEPHIN 500 MG IV</t>
  </si>
  <si>
    <t>ZINC OXIDE OINT 1LB</t>
  </si>
  <si>
    <t>SEROQUEL 200MG TAB</t>
  </si>
  <si>
    <t>METHENAMINE 1MG TAB</t>
  </si>
  <si>
    <t>DIGESTIVE ENZYME CAPSULE</t>
  </si>
  <si>
    <t>XARELTO 20MG TAB</t>
  </si>
  <si>
    <t>CIPRO 500MG TAB</t>
  </si>
  <si>
    <t>CIPRO 400MG INJ</t>
  </si>
  <si>
    <t>CITRATE OF MAGNESIA 8OZ PO</t>
  </si>
  <si>
    <t>CLEOCIN 150MG CAP</t>
  </si>
  <si>
    <t>CLEOCIN 300MG IV</t>
  </si>
  <si>
    <t>CLEOCIN 600MG IV</t>
  </si>
  <si>
    <t>CLEOCIN 900MG</t>
  </si>
  <si>
    <t>CLEOCIM 150MG IV</t>
  </si>
  <si>
    <t>CLINICAL FEE</t>
  </si>
  <si>
    <t>CONSULTANT FEE PHARM</t>
  </si>
  <si>
    <t>COCAINE 4% TOP 4 ML</t>
  </si>
  <si>
    <t>COCAINE</t>
  </si>
  <si>
    <t>COLACE 100MG CAP</t>
  </si>
  <si>
    <t>DAKINS SOLUTION</t>
  </si>
  <si>
    <t>SUBOXONE 8MG TAB</t>
  </si>
  <si>
    <t>COZAAR 50MG TABLET</t>
  </si>
  <si>
    <t>COCAINE 312.5MG CAP</t>
  </si>
  <si>
    <t>COGENTIN AMP</t>
  </si>
  <si>
    <t>COGENTIN 1MG TABLET</t>
  </si>
  <si>
    <t>COLACE 250MG CAPSULE</t>
  </si>
  <si>
    <t>COLACE 100MG/10ML LIQUID PO</t>
  </si>
  <si>
    <t>COLCHICINE TAB</t>
  </si>
  <si>
    <t>COMPAZINE 5MG TABLET</t>
  </si>
  <si>
    <t>COMPAZINE SUPP 25MG</t>
  </si>
  <si>
    <t>COMPAZINE 10MG IM</t>
  </si>
  <si>
    <t>COMPOUNDING FEE</t>
  </si>
  <si>
    <t>COMBIVENT INHALER</t>
  </si>
  <si>
    <t>CORTISPORN OT SUSP</t>
  </si>
  <si>
    <t>CORTISP OPHT</t>
  </si>
  <si>
    <t>CORTISPORN OPHT OINT</t>
  </si>
  <si>
    <t>CORTISPORIN CREAM</t>
  </si>
  <si>
    <t>COUMADIN 1MG TABLET</t>
  </si>
  <si>
    <t>CORTEF 10MG TABLET</t>
  </si>
  <si>
    <t>CORTEF 20 MG TABLET</t>
  </si>
  <si>
    <t>CELEBREX 200MG CAPSULE</t>
  </si>
  <si>
    <t>CELEBREX 100MG CAP</t>
  </si>
  <si>
    <t>CLARITIN 10MG TABLET</t>
  </si>
  <si>
    <t>HURRICANE GEL</t>
  </si>
  <si>
    <t>CLARITIN-D TAB</t>
  </si>
  <si>
    <t>OSMOLITE 32OZ-CAN</t>
  </si>
  <si>
    <t>ISMO 20MG</t>
  </si>
  <si>
    <t>CYTOTEC 100MCG TAB</t>
  </si>
  <si>
    <t>DALMANE 15MG CAP</t>
  </si>
  <si>
    <t>DEMEROL 100MG INJ</t>
  </si>
  <si>
    <t>DEMEROL 75MG INJ</t>
  </si>
  <si>
    <t>DEMEROL 50MG INJ</t>
  </si>
  <si>
    <t>DANTRIUM 20MG IV</t>
  </si>
  <si>
    <t>DANTRIUM 25MG CAP</t>
  </si>
  <si>
    <t>DANTRIUM 50MG CAP</t>
  </si>
  <si>
    <t>DANTRIUM 100MG CAP</t>
  </si>
  <si>
    <t>DARVOCET N</t>
  </si>
  <si>
    <t>CARDURA 8MG TAB</t>
  </si>
  <si>
    <t>DEBROX EAR DROPS</t>
  </si>
  <si>
    <t>DECADRON EYE SOLUTION</t>
  </si>
  <si>
    <t>DETROL 2MG TABLET</t>
  </si>
  <si>
    <t>DECADRON 4MG TABLET</t>
  </si>
  <si>
    <t>DEPAKENE 250MG/5ML ORAL SOLN</t>
  </si>
  <si>
    <t>DECADRON 1MG INJ</t>
  </si>
  <si>
    <t>SANDOSTATIN 50MCG IV</t>
  </si>
  <si>
    <t>DESMOPRESSIN 0.1MG TAB</t>
  </si>
  <si>
    <t>DEMEROL 25MG INJ</t>
  </si>
  <si>
    <t>DEMEROL 50MG TABLET</t>
  </si>
  <si>
    <t>SANDOSTATIN 100MCG IV</t>
  </si>
  <si>
    <t>DEPAKENE CAPS 250MG</t>
  </si>
  <si>
    <t>DEPO-MEDROL 40MG</t>
  </si>
  <si>
    <t>EVISTA 60MG TABLET</t>
  </si>
  <si>
    <t>DEXTROSE 10% INJ</t>
  </si>
  <si>
    <t>DESYREL 50MG TAB</t>
  </si>
  <si>
    <t>DESYREL 100MG TABLET</t>
  </si>
  <si>
    <t>DESYREL 150MG TABLET</t>
  </si>
  <si>
    <t>DEXTROSE 50% ABBOJEL</t>
  </si>
  <si>
    <t>DEXTROSE 50% 50CC VIAL</t>
  </si>
  <si>
    <t>DHE AMP 1MG</t>
  </si>
  <si>
    <t>DEPAKOTE DR 250MG TAB</t>
  </si>
  <si>
    <t>DIABETA TAB</t>
  </si>
  <si>
    <t>DIABINESE TAB 250</t>
  </si>
  <si>
    <t>DDVAP 1MCG INJ</t>
  </si>
  <si>
    <t>DIAMOX 250MG TAB</t>
  </si>
  <si>
    <t>DIAMOX 500MG IV</t>
  </si>
  <si>
    <t>DICLOXACILLIN 250</t>
  </si>
  <si>
    <t>DIFLUCAN 100MG TAB</t>
  </si>
  <si>
    <t>DIFLUCAN 200MG TAB</t>
  </si>
  <si>
    <t>DIGOXIN 0.5MG INJ</t>
  </si>
  <si>
    <t>DIFLUCAN 200MG IV</t>
  </si>
  <si>
    <t>DIGOXIN TAB</t>
  </si>
  <si>
    <t>DILANTIN 100MG/5ML SUSPENSION</t>
  </si>
  <si>
    <t>EXELON 3MG CAP 51991-0794</t>
  </si>
  <si>
    <t>EXELON 45 MG CAP 51991-0795 06</t>
  </si>
  <si>
    <t>FIXODENT CREAM 2 4 07</t>
  </si>
  <si>
    <t>DILANTIN 100MG CAP</t>
  </si>
  <si>
    <t>DILATIN 50MG INJ</t>
  </si>
  <si>
    <t>FLUCONAZOLE 100 MG T</t>
  </si>
  <si>
    <t>DILATIN 250MG IV</t>
  </si>
  <si>
    <t>MIVACRON 2MG/ML INJ</t>
  </si>
  <si>
    <t>PREVACID 30MG IV</t>
  </si>
  <si>
    <t>PREVNAR 13 0.5ML IV</t>
  </si>
  <si>
    <t>KEPPRA 750MG TABLET</t>
  </si>
  <si>
    <t>DILAUDID 4MG INJ</t>
  </si>
  <si>
    <t>ARANESP 25 MCG IV</t>
  </si>
  <si>
    <t>DILAUDID 2MG TABLET</t>
  </si>
  <si>
    <t>NIZORAL SHAMPOO</t>
  </si>
  <si>
    <t>CIPRODEX OTIC 0.3/0.0% SUSP</t>
  </si>
  <si>
    <t>COLACE 100MG TAB</t>
  </si>
  <si>
    <t>DIPYRIDAMOLE TAB</t>
  </si>
  <si>
    <t>DIP/TET/TOX/PED .5ML</t>
  </si>
  <si>
    <t>DIP/TET/TOX/ADULE</t>
  </si>
  <si>
    <t>DIPYRIDAMOLE 75MG</t>
  </si>
  <si>
    <t>DIP/TETANUS INJ/DOSE</t>
  </si>
  <si>
    <t>DITROPAN 5MG TABLET</t>
  </si>
  <si>
    <t>DOBUTREX 250MG IV</t>
  </si>
  <si>
    <t>DOMEBORO OTIC 60ML</t>
  </si>
  <si>
    <t>DOMEBORO PACK/TAB</t>
  </si>
  <si>
    <t>THROMBIN 5000M UNITS</t>
  </si>
  <si>
    <t>DONNAGEL PG</t>
  </si>
  <si>
    <t>DONNATAL ELIX-DOSE</t>
  </si>
  <si>
    <t>DONNATAL EXTENTAB</t>
  </si>
  <si>
    <t>DIFLUCAN 100MG IV</t>
  </si>
  <si>
    <t>DONNATAL TAB</t>
  </si>
  <si>
    <t>DOPAMINE 40MG INJ</t>
  </si>
  <si>
    <t>DOPAMINE 800MG IV</t>
  </si>
  <si>
    <t>DOPRAM 20MG 2CC</t>
  </si>
  <si>
    <t>DOXIDAN CAPS</t>
  </si>
  <si>
    <t>DOXYCYCLINE 100MG IN</t>
  </si>
  <si>
    <t>DOXYCYCLINE 200MG IN</t>
  </si>
  <si>
    <t>DOXYCYCLINE 100MG CP</t>
  </si>
  <si>
    <t>AVODART 0.5MG CAP</t>
  </si>
  <si>
    <t>NORCO 5/325 MG TAB</t>
  </si>
  <si>
    <t>DSS 250 MG COLACE</t>
  </si>
  <si>
    <t>QUESTRAN PACKET</t>
  </si>
  <si>
    <t>ALIGN CAPSULE</t>
  </si>
  <si>
    <t>DULCOLAX SUPP 10MG</t>
  </si>
  <si>
    <t>DULCOLAX 5MG TABLET PO</t>
  </si>
  <si>
    <t>XARELTO 15MG TAB</t>
  </si>
  <si>
    <t>LOVENOX 40MG IV</t>
  </si>
  <si>
    <t>NORCO 7.5MG/325 TAB</t>
  </si>
  <si>
    <t>LOPESSOR 5MG IV</t>
  </si>
  <si>
    <t>DYAZIDE CAPS</t>
  </si>
  <si>
    <t>DYNAPEN 250MG</t>
  </si>
  <si>
    <t>EES 400MG/5ML DOSE</t>
  </si>
  <si>
    <t>ECOTRIN 81MG TABLET</t>
  </si>
  <si>
    <t>EES 400 TAB</t>
  </si>
  <si>
    <t>DIVALPROEX CAPSULE 125MG</t>
  </si>
  <si>
    <t>COGENTIN 2MG TABLET</t>
  </si>
  <si>
    <t>ELAVIL 10MG TAB</t>
  </si>
  <si>
    <t>ELAVIL 100MG TAB</t>
  </si>
  <si>
    <t>ENSURE PLUS HN 8OZ</t>
  </si>
  <si>
    <t>ELIXOPH SR</t>
  </si>
  <si>
    <t>ELAVIL 25MG TAB</t>
  </si>
  <si>
    <t>DESMOPRESSIN 4MCG INMJ</t>
  </si>
  <si>
    <t>REMERON 15MG TABLET</t>
  </si>
  <si>
    <t>MORPHINE 2MG/ML IV</t>
  </si>
  <si>
    <t>EFFEXOR XR 150MG CP</t>
  </si>
  <si>
    <t>RISPERDAL 2MG TAB</t>
  </si>
  <si>
    <t>EXELON 1.5M CAP</t>
  </si>
  <si>
    <t>CARDURA 4MG TABLET</t>
  </si>
  <si>
    <t>ENSURE 8OZ</t>
  </si>
  <si>
    <t>ENSURE PLUZ 8OZ</t>
  </si>
  <si>
    <t>ENTEX LA</t>
  </si>
  <si>
    <t>ENSURE W/FIBER 8OZ</t>
  </si>
  <si>
    <t>ENSURE 32OZ CAN</t>
  </si>
  <si>
    <t>ENLON 150MG INJ</t>
  </si>
  <si>
    <t>ENSURE PLUS 32OZ-CAN</t>
  </si>
  <si>
    <t>ELOCON 0.1% 45GM TOPICAL CREAM</t>
  </si>
  <si>
    <t>EPHEDRINE 50 MG IV</t>
  </si>
  <si>
    <t>EPIFOAM</t>
  </si>
  <si>
    <t>EPINEPHRINE 1MG/ML IV</t>
  </si>
  <si>
    <t>EPINEPHRINE 1:10000 SYR 10ML</t>
  </si>
  <si>
    <t>EPSOM SALTS</t>
  </si>
  <si>
    <t>VANCOMYCIN 1 GM IV</t>
  </si>
  <si>
    <t>ERYTHROMYCIN 0.5% EYS OINTMENT</t>
  </si>
  <si>
    <t>ERYTHROMYCIN 250MG TAB</t>
  </si>
  <si>
    <t>ERYTHRO 200 5ML</t>
  </si>
  <si>
    <t>ERYTHRO 400 5ML</t>
  </si>
  <si>
    <t>ERYTHRO 250 SUS</t>
  </si>
  <si>
    <t>ERYTHRO 333MG TAB</t>
  </si>
  <si>
    <t>ERYTHRO 1GM IV</t>
  </si>
  <si>
    <t>ERYTHRO 2% TOPICAL</t>
  </si>
  <si>
    <t>ERYTHROCIN 250MG IV</t>
  </si>
  <si>
    <t>ERYTHROMYCIN 500MG IV</t>
  </si>
  <si>
    <t>ERYTHRO 500MG TAB</t>
  </si>
  <si>
    <t>ERYTHRO 250MG IV</t>
  </si>
  <si>
    <t>ESKALITH CAP</t>
  </si>
  <si>
    <t>ETHAMBUTOL 400MG TABLET</t>
  </si>
  <si>
    <t>EXCEDRIN TAB</t>
  </si>
  <si>
    <t>FELDENE 10 MG</t>
  </si>
  <si>
    <t>FELDENE 20 MG</t>
  </si>
  <si>
    <t>FEMSTAT VAG CREAM</t>
  </si>
  <si>
    <t>FEOSOL CAPS</t>
  </si>
  <si>
    <t>EARWAX REMOVER</t>
  </si>
  <si>
    <t>FERROUS SULFATE 220MG/5ML PO</t>
  </si>
  <si>
    <t>FEOSOL PLUS</t>
  </si>
  <si>
    <t>FER-IN-SOL DROPS</t>
  </si>
  <si>
    <t>FERROUS GLUCONATE 324MG TABLET</t>
  </si>
  <si>
    <t>FERROUS SULFATE 5GR</t>
  </si>
  <si>
    <t>FIORINAL COD</t>
  </si>
  <si>
    <t>FIORINAL TAB</t>
  </si>
  <si>
    <t>FIORICET TAB</t>
  </si>
  <si>
    <t>FLAGYL 500MG TAB</t>
  </si>
  <si>
    <t>FLAGYL 250MG TAB</t>
  </si>
  <si>
    <t>FLAGYL 500MG IV</t>
  </si>
  <si>
    <t>FLEET ENEMA</t>
  </si>
  <si>
    <t>ETHAMOLIN 5% 1ML</t>
  </si>
  <si>
    <t>PHOS SODA 45ML PO</t>
  </si>
  <si>
    <t>FLAGYL 250 MG IV</t>
  </si>
  <si>
    <t>FLEXERIL 10MG TAB</t>
  </si>
  <si>
    <t>CARBOCAINE 10ML</t>
  </si>
  <si>
    <t>FUNGOLD TINCTURE</t>
  </si>
  <si>
    <t>FLUOROURACIL 500MG</t>
  </si>
  <si>
    <t>NEPHROCAP VITAMIN</t>
  </si>
  <si>
    <t>FOLIC ACID IV</t>
  </si>
  <si>
    <t>FOLIC ACID TAB</t>
  </si>
  <si>
    <t>FLORINEF 0.1MG TAB</t>
  </si>
  <si>
    <t>FOLIC ACID 10CC H</t>
  </si>
  <si>
    <t>DEPO-MEDROL 80MG INJ</t>
  </si>
  <si>
    <t>FORTAZ 500MG IV</t>
  </si>
  <si>
    <t>FOSAMAX 70MG TABLET</t>
  </si>
  <si>
    <t>FLONASE INH 16GM</t>
  </si>
  <si>
    <t>FOSAMAX 10MG TAB</t>
  </si>
  <si>
    <t>DIOVAN 80MG TABLET</t>
  </si>
  <si>
    <t>GAMMAR IML/INJ</t>
  </si>
  <si>
    <t>NORVASC 2.5MG TAB</t>
  </si>
  <si>
    <t>GANTRISIN 0.5GM TAB</t>
  </si>
  <si>
    <t>GARAMY CR 15MG</t>
  </si>
  <si>
    <t>GENTAMYCIN 0.3% EYE OINT 3.GM</t>
  </si>
  <si>
    <t>GAVISCON TAB</t>
  </si>
  <si>
    <t>GELFOAM 100</t>
  </si>
  <si>
    <t>GAMMAR IV 5GMS</t>
  </si>
  <si>
    <t>GELFOAM 50</t>
  </si>
  <si>
    <t>GELFOAM 12.7</t>
  </si>
  <si>
    <t>GENTAMYCIN 80MG H</t>
  </si>
  <si>
    <t>GLUCOTROL 10MG</t>
  </si>
  <si>
    <t>PULMOCARE 8OZ</t>
  </si>
  <si>
    <t>GLUCOTROL 5MG</t>
  </si>
  <si>
    <t>GLUCAGON 1MG INJ</t>
  </si>
  <si>
    <t>GLYCERIN SUPP</t>
  </si>
  <si>
    <t>GINKGO BILOBA TABLET</t>
  </si>
  <si>
    <t>GLUCOVANCE 5/500 MG</t>
  </si>
  <si>
    <t>GO-LIGHTLY PAK</t>
  </si>
  <si>
    <t>XANAX 0.5MG TABLET</t>
  </si>
  <si>
    <t>GYN LOTRIMIN CR 45GM</t>
  </si>
  <si>
    <t>GYN LOTRIMIN TAB</t>
  </si>
  <si>
    <t>HALCION 0.125MG TAB</t>
  </si>
  <si>
    <t>LANOXIN 0.25MG TAB</t>
  </si>
  <si>
    <t>DALMANE 30MG CAPSULE</t>
  </si>
  <si>
    <t>HALDOL 1MG TAB</t>
  </si>
  <si>
    <t>HALDOL 5MG INJ IV</t>
  </si>
  <si>
    <t>HALDOL 5MG TAB</t>
  </si>
  <si>
    <t>HEPATITIS B IMMN</t>
  </si>
  <si>
    <t>HEPARIN 1,000IV</t>
  </si>
  <si>
    <t>HYTONE 2.5% OINT</t>
  </si>
  <si>
    <t>NS HEPLOCK FLUSH 10ML</t>
  </si>
  <si>
    <t>NS FLUSH 10ML</t>
  </si>
  <si>
    <t>D5 1/2 NS 1L</t>
  </si>
  <si>
    <t>HEPATITIS B VAC</t>
  </si>
  <si>
    <t>HEPLOCK FLUSH 100U</t>
  </si>
  <si>
    <t>HALDOL 0.5MG TABLET</t>
  </si>
  <si>
    <t>HUMIBID LA</t>
  </si>
  <si>
    <t>HYDROCORTISON 25MG H</t>
  </si>
  <si>
    <t>HYCODAN COUGH SYRP</t>
  </si>
  <si>
    <t>HYCOMINE COUGH SYP</t>
  </si>
  <si>
    <t>HUMIBID DM TAB</t>
  </si>
  <si>
    <t>HYDREA</t>
  </si>
  <si>
    <t>HYDERGINE 0.5MG TAB</t>
  </si>
  <si>
    <t>HYDERGINE TAB</t>
  </si>
  <si>
    <t>LOVENOX 80MG IV</t>
  </si>
  <si>
    <t>HYDRALAZINE 20MG IV</t>
  </si>
  <si>
    <t>HYDROCHLOROTHIAZIDE TAB</t>
  </si>
  <si>
    <t>CORTEF 5 MG</t>
  </si>
  <si>
    <t>HYDROCOR LOT 30ML</t>
  </si>
  <si>
    <t>VIT E 400U CAP</t>
  </si>
  <si>
    <t>TORADOL 15MG INJ</t>
  </si>
  <si>
    <t>HYDROCORTISONE CR</t>
  </si>
  <si>
    <t>NEPRO 1 LITER</t>
  </si>
  <si>
    <t>NAMENDA 10 MG TAB</t>
  </si>
  <si>
    <t>HYDROCORT 100MG IM</t>
  </si>
  <si>
    <t>ARANESP 40MCG ING</t>
  </si>
  <si>
    <t>HYDRODIURIL 5CC LIQ</t>
  </si>
  <si>
    <t>HYDRODIURIL 50MG</t>
  </si>
  <si>
    <t>HYDROGEN PER 16 OZ</t>
  </si>
  <si>
    <t>HYDROGEN PER 4OZ</t>
  </si>
  <si>
    <t>CARDIZEM 90MG TAB</t>
  </si>
  <si>
    <t>IN-FED 2CC IM</t>
  </si>
  <si>
    <t>IMODIUM CAPS</t>
  </si>
  <si>
    <t>IMIPRAMINE TAB</t>
  </si>
  <si>
    <t>IMURAN 50MG TAB</t>
  </si>
  <si>
    <t>INASPINE 2ML INJ</t>
  </si>
  <si>
    <t>INDERAL 1MG IV</t>
  </si>
  <si>
    <t>GLUCOSAMINE TABLET</t>
  </si>
  <si>
    <t>INDERAL TAB</t>
  </si>
  <si>
    <t>IMDUR 60MG TAB</t>
  </si>
  <si>
    <t>INDIGO CARMINE 10ML</t>
  </si>
  <si>
    <t>INDOCIN CAPS 25</t>
  </si>
  <si>
    <t>INDOCIN CAPS 50</t>
  </si>
  <si>
    <t>INH TAB</t>
  </si>
  <si>
    <t>INSULIN REGULAR 5 UNITS</t>
  </si>
  <si>
    <t>INSULIN HUMULIN 10ML</t>
  </si>
  <si>
    <t>BOOST PLUS 802</t>
  </si>
  <si>
    <t>URSODIOL 300G CAP</t>
  </si>
  <si>
    <t>ISOCAL 8OZ</t>
  </si>
  <si>
    <t>ISONIAZID 300MG</t>
  </si>
  <si>
    <t>ZINC OXIDE UNG 20Z</t>
  </si>
  <si>
    <t>ISOPTO CARPIN 1% OPH</t>
  </si>
  <si>
    <t>ISOPTO CARPIN 4% OPH</t>
  </si>
  <si>
    <t>ISORDIL 5MG TAB</t>
  </si>
  <si>
    <t>OCCUVITE TABLET</t>
  </si>
  <si>
    <t>FLOVENT 44MCG INH</t>
  </si>
  <si>
    <t>ISORDIL 10MG TAB</t>
  </si>
  <si>
    <t>HYZAAR 50/12.5MG TAB</t>
  </si>
  <si>
    <t>FLOVENT 110MCG INH</t>
  </si>
  <si>
    <t>IRON DEXTRAN 50MG IV</t>
  </si>
  <si>
    <t>FLOVENT 220MCG INH</t>
  </si>
  <si>
    <t>ISOCAL HN 32OZ</t>
  </si>
  <si>
    <t>ISUPREL MISTO 15ML</t>
  </si>
  <si>
    <t>ISUPREL 1CC INJ</t>
  </si>
  <si>
    <t>ISUPREL 10MG TAB</t>
  </si>
  <si>
    <t>ISUPREL 5CC INJ</t>
  </si>
  <si>
    <t>KCL 20MEQ TABLET</t>
  </si>
  <si>
    <t>ISORDIL 20MG TAB</t>
  </si>
  <si>
    <t>KANTREX 0.5MG CAP</t>
  </si>
  <si>
    <t>KANTREX 500MG INJ</t>
  </si>
  <si>
    <t>KANTREX IGM</t>
  </si>
  <si>
    <t>KCL 20MEQ TAB</t>
  </si>
  <si>
    <t>IV SYRINGE FEE PED</t>
  </si>
  <si>
    <t>KAOPECTATE 30ML</t>
  </si>
  <si>
    <t>JEVITY 32 OZ CAN</t>
  </si>
  <si>
    <t>KAYEXLTE ENEMA 50GM</t>
  </si>
  <si>
    <t>KAYEXLTE ENMA 30GM</t>
  </si>
  <si>
    <t>KAYEXALATE 15GM/60ML</t>
  </si>
  <si>
    <t>POTASSIUM CHLORIDE 10MEQ TAB</t>
  </si>
  <si>
    <t>KCL 10%  15ML LIQUID</t>
  </si>
  <si>
    <t>KCL 20MEQ IV</t>
  </si>
  <si>
    <t>ENLON 10MG/ML</t>
  </si>
  <si>
    <t>MOTRIN 600MG TAB</t>
  </si>
  <si>
    <t>ADMINISTRATION OF FLU VACCINE</t>
  </si>
  <si>
    <t>FLU VACCINE</t>
  </si>
  <si>
    <t>MOTRIN 200MG TAB</t>
  </si>
  <si>
    <t>MOTRIN 400MG TAB</t>
  </si>
  <si>
    <t>INFLUENZA 0.5ML VACCINE</t>
  </si>
  <si>
    <t>MOTRIN 800MG TAB</t>
  </si>
  <si>
    <t>KEFLEX 250MG CAPS</t>
  </si>
  <si>
    <t>KEFLEX 500MG CAPS</t>
  </si>
  <si>
    <t>SORBSAN PATCH</t>
  </si>
  <si>
    <t>KENALOG CR 0.025%</t>
  </si>
  <si>
    <t>KENALOG ORALBASE CR</t>
  </si>
  <si>
    <t>KENALOG CR .1% 80GM</t>
  </si>
  <si>
    <t>KENALOG SPRAY 23GM</t>
  </si>
  <si>
    <t>KENALOG 40MG/ML</t>
  </si>
  <si>
    <t>KENALOG 10MG IV</t>
  </si>
  <si>
    <t>KETAMINE 100MG 5ML</t>
  </si>
  <si>
    <t>XYLOCAINE 0.5% 50ML</t>
  </si>
  <si>
    <t>KETOCONAZOL 200MG TB</t>
  </si>
  <si>
    <t>KLONOPIN 1MG TABLET</t>
  </si>
  <si>
    <t>K-PHOS 500MG TAB</t>
  </si>
  <si>
    <t>POTASSIUM PHOSPHATE IV</t>
  </si>
  <si>
    <t>KWELL LOTION 2OZ</t>
  </si>
  <si>
    <t>KWELL SHAMPOO 2 OZ</t>
  </si>
  <si>
    <t>LACRILUBE OPTH</t>
  </si>
  <si>
    <t>LIPITOR 10MG TABLET</t>
  </si>
  <si>
    <t>LACTINEX TAB</t>
  </si>
  <si>
    <t>LACTULOSE 30CC</t>
  </si>
  <si>
    <t>LANOXIN 250MCG/5ML PO</t>
  </si>
  <si>
    <t>LIPITOR 20MG TABLET</t>
  </si>
  <si>
    <t>LANOXON 0.5MG/2CC</t>
  </si>
  <si>
    <t>LANOXIN 0.125MG TAB</t>
  </si>
  <si>
    <t>NITRODUR PATCH 15MG</t>
  </si>
  <si>
    <t>NITRODUR PATCH 10MG</t>
  </si>
  <si>
    <t>NITRODUR PATCH 7.5MG</t>
  </si>
  <si>
    <t>NITRODUR PATCH 2.5MG</t>
  </si>
  <si>
    <t>LACTAID TABLET</t>
  </si>
  <si>
    <t>LASIX 20MG/2CC IV</t>
  </si>
  <si>
    <t>LASIX 20MG TABLET</t>
  </si>
  <si>
    <t>LASIX 40MG/5ML PO</t>
  </si>
  <si>
    <t>LACTINEX GRANULES</t>
  </si>
  <si>
    <t>LASIX 40MG TAB</t>
  </si>
  <si>
    <t>LASIX 80MG TAB</t>
  </si>
  <si>
    <t>VOLTAREN 25MG TAB</t>
  </si>
  <si>
    <t>ASTRAMORH INJ/DOSE</t>
  </si>
  <si>
    <t>M9 HOLLISTER</t>
  </si>
  <si>
    <t>LAMICTAL 25MG TAB</t>
  </si>
  <si>
    <t>LOTREL 5/20 MG CAP</t>
  </si>
  <si>
    <t>LEVOPHED 4ML IV</t>
  </si>
  <si>
    <t>LEVSINEX ER 0.375 MG</t>
  </si>
  <si>
    <t>LEVSIN SL 0.125MG TABLET</t>
  </si>
  <si>
    <t>LIBRIUM 50MG CAPSULE</t>
  </si>
  <si>
    <t>LIBRIUM 25MG CAPSULE</t>
  </si>
  <si>
    <t>LIDOCANIE 100MG ABOJECT IV</t>
  </si>
  <si>
    <t>LIDOCAINE JELLY 2%</t>
  </si>
  <si>
    <t>LIDEX CREAM 15GM</t>
  </si>
  <si>
    <t>LIDEX 30GM CREAM</t>
  </si>
  <si>
    <t>NYSTATIN 60GM CREAM</t>
  </si>
  <si>
    <t>KLONOPIN 0.5MG TAB</t>
  </si>
  <si>
    <t>HALDOL DECANOATE 50</t>
  </si>
  <si>
    <t>LITHIUM CARBONATE 300MG TAB</t>
  </si>
  <si>
    <t>LOPRESSOR 1MG/ML IV</t>
  </si>
  <si>
    <t>LO-PRESSOR TAB 50</t>
  </si>
  <si>
    <t>LOPRESSOR 100MG TAB</t>
  </si>
  <si>
    <t>ALTACE 2.5MG CAP</t>
  </si>
  <si>
    <t>LOMOTIL LIQ-DOSE</t>
  </si>
  <si>
    <t>NTG 50MG PREMADE INT</t>
  </si>
  <si>
    <t>LOMOTIL 2.5MG TAB</t>
  </si>
  <si>
    <t>LOTRISONE 45GM CREAM</t>
  </si>
  <si>
    <t>LOTENSIN 20MG TAB</t>
  </si>
  <si>
    <t>LOTRIMIN CRM 15GM</t>
  </si>
  <si>
    <t>LOTENSIN 10MG TAB</t>
  </si>
  <si>
    <t>LOTRISONE CR 15GM</t>
  </si>
  <si>
    <t>LTA KIT</t>
  </si>
  <si>
    <t>PNEUMOVAX 0.5 ML</t>
  </si>
  <si>
    <t>PROCARDIA XL 30MG TABLET</t>
  </si>
  <si>
    <t>ALBUMIN 5% 50 ML</t>
  </si>
  <si>
    <t>TERAZOL VAG CREAM</t>
  </si>
  <si>
    <t>CURASOL GEL</t>
  </si>
  <si>
    <t>PHENOL 12% DOSE</t>
  </si>
  <si>
    <t>LUGOLS 15CC</t>
  </si>
  <si>
    <t>M V I 5ML</t>
  </si>
  <si>
    <t>M V I 12ML</t>
  </si>
  <si>
    <t>MAALOX PLUS 30 ML PO</t>
  </si>
  <si>
    <t>MACROBID 100MG CAP</t>
  </si>
  <si>
    <t>LEVAQUIN 500MG TAB</t>
  </si>
  <si>
    <t>MAALOX 30ML PO</t>
  </si>
  <si>
    <t>MACRODANTIN 100MG CAPSULE</t>
  </si>
  <si>
    <t>MACRODANTIN 50MG CAPSULE</t>
  </si>
  <si>
    <t>MAG CRYSTALS 1LB</t>
  </si>
  <si>
    <t>LOTENSIN 40MG TAB</t>
  </si>
  <si>
    <t>MAG SULFATE 500MG</t>
  </si>
  <si>
    <t>MAG SULF 10% TOPICA</t>
  </si>
  <si>
    <t>MANNITOL 25% 50CC</t>
  </si>
  <si>
    <t>LEVAQUIN 250MG IV</t>
  </si>
  <si>
    <t>MARCAINE 0.25 DOSE</t>
  </si>
  <si>
    <t>MARCAINE W/EPI DOSE</t>
  </si>
  <si>
    <t>MARCAINE 0.5 DOSE</t>
  </si>
  <si>
    <t>MAXITROL OPTH DROP</t>
  </si>
  <si>
    <t>MAXITROL EYE OINTMENT 3.5GM</t>
  </si>
  <si>
    <t>MAXZIDE</t>
  </si>
  <si>
    <t>MAXIDEX EYE SUSP</t>
  </si>
  <si>
    <t>MED/DRUG EVAL</t>
  </si>
  <si>
    <t>COMTAN 200MG TAB</t>
  </si>
  <si>
    <t>DIOVAN HCT 160/12.5 TABLET</t>
  </si>
  <si>
    <t>NEURONTIN 400MG CAP</t>
  </si>
  <si>
    <t>SEROQUEL 25MG TAB</t>
  </si>
  <si>
    <t>MEDROL 4MG TAB</t>
  </si>
  <si>
    <t>NIZORAL CR. 30GM</t>
  </si>
  <si>
    <t>MELATONIN</t>
  </si>
  <si>
    <t>MEFOXIN 1GM 1V/IM</t>
  </si>
  <si>
    <t>MEGACE 40 MG/ML LIQ</t>
  </si>
  <si>
    <t>OXACILLIN 250 MG IV</t>
  </si>
  <si>
    <t>ZOSYN 1.125GM IV</t>
  </si>
  <si>
    <t>MEGACE TAB 20</t>
  </si>
  <si>
    <t>MEGACE TAB 40</t>
  </si>
  <si>
    <t>AMBIEN CR 6.25MG TAB</t>
  </si>
  <si>
    <t>LYRICA 100MG CAP</t>
  </si>
  <si>
    <t>MELLARIL 25MG TABLET</t>
  </si>
  <si>
    <t>MEPHYTON 5MG TAB</t>
  </si>
  <si>
    <t>FLOMAX 0.4MG CAP</t>
  </si>
  <si>
    <t>MELLARIL 100MG TAB</t>
  </si>
  <si>
    <t>METOCLOPRAMIDE 10MG</t>
  </si>
  <si>
    <t>METOCLOPRAMIDE LIQ</t>
  </si>
  <si>
    <t>METAMUCIL PACKET</t>
  </si>
  <si>
    <t>METAPREL 20MG TAB</t>
  </si>
  <si>
    <t>METHADONE 10MG</t>
  </si>
  <si>
    <t>METHERGINE 0.2MG INJ</t>
  </si>
  <si>
    <t>METHERGINE 0.2MG TAB</t>
  </si>
  <si>
    <t>MIRALAX / DOSE</t>
  </si>
  <si>
    <t>METHOTREX 2.5MG TAB</t>
  </si>
  <si>
    <t>METHOTREXATE 50MG IV</t>
  </si>
  <si>
    <t>METHYLENE BLUE</t>
  </si>
  <si>
    <t>MEXITIL 150MG CAPS</t>
  </si>
  <si>
    <t>MEXITIL 200MG</t>
  </si>
  <si>
    <t>MEVACOR 20MG</t>
  </si>
  <si>
    <t>METHYLERGONOVINE.2MG</t>
  </si>
  <si>
    <t>MICONAZOLE VAG CREAM</t>
  </si>
  <si>
    <t>MICRONASE 5MG TABLET</t>
  </si>
  <si>
    <t>MIDRIN CAPS</t>
  </si>
  <si>
    <t>MICRO K 10MEQ CAP</t>
  </si>
  <si>
    <t>METRONIDAZOLE 250MG TABLET</t>
  </si>
  <si>
    <t>METRONIDAZOLE 500MG TABLET</t>
  </si>
  <si>
    <t>MINERAL OIL DOSE</t>
  </si>
  <si>
    <t>CHLORTHALIDONE 50MG TAB</t>
  </si>
  <si>
    <t>MINIPRESS 1MG CAP</t>
  </si>
  <si>
    <t>MINIPRESS 2MG CAP</t>
  </si>
  <si>
    <t>MINIPRESS 5MG CAP</t>
  </si>
  <si>
    <t>MINOCIN 100MG CAP</t>
  </si>
  <si>
    <t>TYLENOL CHEW 80MG</t>
  </si>
  <si>
    <t>ACCUCHEK</t>
  </si>
  <si>
    <t>MISC TOPIC</t>
  </si>
  <si>
    <t>MINOXIDIL 2.5 MG TAB</t>
  </si>
  <si>
    <t>IV PREP FEE</t>
  </si>
  <si>
    <t>MISC. ORA</t>
  </si>
  <si>
    <t>LV PREP FEE</t>
  </si>
  <si>
    <t>MEFOXIN 500MG IV</t>
  </si>
  <si>
    <t>MILK OF MAGNESIA 30ML PO</t>
  </si>
  <si>
    <t>MOM 1 DOSE</t>
  </si>
  <si>
    <t>MONOCID 1GM</t>
  </si>
  <si>
    <t>MONISTAT VAG CR</t>
  </si>
  <si>
    <t>MONISTAT 3D VAG SUPPOSITORY</t>
  </si>
  <si>
    <t>MONISTAT 7 VAG CREAM</t>
  </si>
  <si>
    <t>MORPHINE 10MG INJ</t>
  </si>
  <si>
    <t>M S CONTIN</t>
  </si>
  <si>
    <t>MONOKET 20MG TAB</t>
  </si>
  <si>
    <t>MORPHINE IV DRIP</t>
  </si>
  <si>
    <t>MORPHINE TAB</t>
  </si>
  <si>
    <t>SODIUM BICARB 1AMP</t>
  </si>
  <si>
    <t>SYNTHROID 137 MCG TAB</t>
  </si>
  <si>
    <t>MONOPRIL 20MG TAB</t>
  </si>
  <si>
    <t>JEVITY 1.0 LITER</t>
  </si>
  <si>
    <t>NYSTATIN 30GM CREAM</t>
  </si>
  <si>
    <t>MS PF 50M6/ML 20ML</t>
  </si>
  <si>
    <t>MULTIVITAMIN IV 10ML</t>
  </si>
  <si>
    <t>MYCELEX CRM</t>
  </si>
  <si>
    <t>MYCELEX TROUCHES</t>
  </si>
  <si>
    <t>PAXIL 20MG TAB</t>
  </si>
  <si>
    <t>MYCOSTATI LIQ 60C</t>
  </si>
  <si>
    <t>MYCOSTATIN 5ML PO</t>
  </si>
  <si>
    <t>MYCOLOG 15GM CREAM</t>
  </si>
  <si>
    <t>MYCOLOG CR 30GM</t>
  </si>
  <si>
    <t>NYSTATIN SUSP/DOSE</t>
  </si>
  <si>
    <t>LORTAB 5MG TABLET</t>
  </si>
  <si>
    <t>MYCOSTAT VAG. SUPP</t>
  </si>
  <si>
    <t>PAXIL 30MG TAB</t>
  </si>
  <si>
    <t>MYCOSTATIN CR 15G</t>
  </si>
  <si>
    <t>MYCOSTATIN CR 30G</t>
  </si>
  <si>
    <t>MIACALCIN NASAL SPRA</t>
  </si>
  <si>
    <t>NORVASC 10MG TAB</t>
  </si>
  <si>
    <t>MYCOSTATIN POWDER 15GM TOPICAL</t>
  </si>
  <si>
    <t>MYSOLINE 250MG TAB</t>
  </si>
  <si>
    <t>MICATIN 2% CR 30G</t>
  </si>
  <si>
    <t>HIBICLENS / DOSE</t>
  </si>
  <si>
    <t>HEPARIN 5000 UNITS</t>
  </si>
  <si>
    <t>MYLANTA 30 ML PO</t>
  </si>
  <si>
    <t>PHENERGAN DM 5ML PO</t>
  </si>
  <si>
    <t>MYLICON 80MG TABLET</t>
  </si>
  <si>
    <t>FORTAZ 1 GM IV</t>
  </si>
  <si>
    <t>MYSOLINE 50MG TABLET</t>
  </si>
  <si>
    <t>NEUTRA-PHOS CAPS</t>
  </si>
  <si>
    <t>SODIUM CHLORIDE 23.4% IV</t>
  </si>
  <si>
    <t>SOD BICARB 50 ML</t>
  </si>
  <si>
    <t>NAFCILLIN 1 GM IV</t>
  </si>
  <si>
    <t>NAFCILLIN 2GM IV</t>
  </si>
  <si>
    <t>NALTREXONE 50MG TAB</t>
  </si>
  <si>
    <t>NAFCILLIN 500GM</t>
  </si>
  <si>
    <t>SODIUM BICARB 4.2% 10ML IV</t>
  </si>
  <si>
    <t>VIMPAT 100MG TAB</t>
  </si>
  <si>
    <t>ELIQUIS 5MG TAB</t>
  </si>
  <si>
    <t>NAPROSYN 250MG TABLET</t>
  </si>
  <si>
    <t>NAPROSYN 375MG TABLET</t>
  </si>
  <si>
    <t>NAPROSYN 500MG TABLET</t>
  </si>
  <si>
    <t>NARCAN 0.4MG IV</t>
  </si>
  <si>
    <t>NAVANE 10MG CAP</t>
  </si>
  <si>
    <t>ABELCET 100MG IV</t>
  </si>
  <si>
    <t>NEBCIN 80MG IV</t>
  </si>
  <si>
    <t>NEBCIN 80MG IM</t>
  </si>
  <si>
    <t>NEBCIN 1.26M IV</t>
  </si>
  <si>
    <t>ZONEGRAN 100MG CAP</t>
  </si>
  <si>
    <t>NAPROSYN-EC 500MG T</t>
  </si>
  <si>
    <t>NEOSPORIN EYE OINT 3.5GM</t>
  </si>
  <si>
    <t>NEOSPORIN IM IRRIGATION</t>
  </si>
  <si>
    <t>NEOSPORIN TOPICAL OINT 15GM</t>
  </si>
  <si>
    <t>NEOSPORIN EYE SOLUTION</t>
  </si>
  <si>
    <t>PREVACID 15 MG CAP</t>
  </si>
  <si>
    <t>NEOSPORIN 60GM OINT TOPICAL</t>
  </si>
  <si>
    <t>EFFEXOR XR 75MG CAP</t>
  </si>
  <si>
    <t>NEOSNEPHRINE SPRAY</t>
  </si>
  <si>
    <t>NEURONTIN 100MG CAP</t>
  </si>
  <si>
    <t>NEUPOGEN 300MCG INJ</t>
  </si>
  <si>
    <t>NEURONTIN 300MG CAP</t>
  </si>
  <si>
    <t>PHENYLEPHRINE 10MG IV</t>
  </si>
  <si>
    <t>MAGNACAL 8OZ</t>
  </si>
  <si>
    <t>NEPHRO-VITE TAB</t>
  </si>
  <si>
    <t>NIACIN 100MG TAB</t>
  </si>
  <si>
    <t>NIACIN SR 250MG</t>
  </si>
  <si>
    <t>NEUPOGEN 480MCG IV</t>
  </si>
  <si>
    <t>NICORETTE GUM</t>
  </si>
  <si>
    <t>NICODERM PATCH</t>
  </si>
  <si>
    <t>NEPRO LIQUID 8 OZ</t>
  </si>
  <si>
    <t>NIPRIDE IV</t>
  </si>
  <si>
    <t>TORADOL 30MG IV</t>
  </si>
  <si>
    <t>NITROBID CAP</t>
  </si>
  <si>
    <t>NTG PATCH 5MG</t>
  </si>
  <si>
    <t>COUMADIN 10MG TABLET</t>
  </si>
  <si>
    <t>COUMADIN 7.5MG TAB</t>
  </si>
  <si>
    <t>COUMADIN 5MG TABLET</t>
  </si>
  <si>
    <t>COUMADIN 2.5MG TAB</t>
  </si>
  <si>
    <t>OXYCONTIN 20MG TAB</t>
  </si>
  <si>
    <t>COUMADIN 2MG TABLET</t>
  </si>
  <si>
    <t>NTG 0.4MG TAB</t>
  </si>
  <si>
    <t>NTG AMP</t>
  </si>
  <si>
    <t>NITRO-BID 2% 30GM</t>
  </si>
  <si>
    <t>NITROL 60GM</t>
  </si>
  <si>
    <t>NIZORAL 200MG TAB</t>
  </si>
  <si>
    <t>NYSTATIN POW 150MU</t>
  </si>
  <si>
    <t>HHN MUCOMYST 10 %</t>
  </si>
  <si>
    <t>NOLVADEX 10MG</t>
  </si>
  <si>
    <t>EULEXIN 125MG CAP</t>
  </si>
  <si>
    <t>ZOLOFT 50MG TAB</t>
  </si>
  <si>
    <t>N.S.ALBN 25% 50CC</t>
  </si>
  <si>
    <t>NORPRAMINE 25MG</t>
  </si>
  <si>
    <t>NORPRAMINE 50MG</t>
  </si>
  <si>
    <t>NORVASC 5MG TAB</t>
  </si>
  <si>
    <t>NUBAIN 10MG INJECT</t>
  </si>
  <si>
    <t>OCEAN NASAL SPRAY</t>
  </si>
  <si>
    <t>GLUCERNA 8OZ CAN</t>
  </si>
  <si>
    <t>CHOICE DM 8 OZ</t>
  </si>
  <si>
    <t>CHOICE DM 32 OZ</t>
  </si>
  <si>
    <t>ORABASE HCL 56M</t>
  </si>
  <si>
    <t>OS CAL</t>
  </si>
  <si>
    <t>PATANOL EYE SOLN</t>
  </si>
  <si>
    <t>PREMARIN 0.9MG TAB</t>
  </si>
  <si>
    <t>OXISTAT CRM 15 GMS</t>
  </si>
  <si>
    <t>OXISTAT CRM 15GMS</t>
  </si>
  <si>
    <t>PAMELOR 10MG CAP</t>
  </si>
  <si>
    <t>PAMELOR 25MG</t>
  </si>
  <si>
    <t>OSMOLITE HN 32 OZ</t>
  </si>
  <si>
    <t>PARAFON FORTE TAB</t>
  </si>
  <si>
    <t>HEAD &amp; SHOULD SHAMPO</t>
  </si>
  <si>
    <t>GLUCOPHAGE 500MG TAB</t>
  </si>
  <si>
    <t>INVANZ 1GM IVPB</t>
  </si>
  <si>
    <t>CYMBALTA 30MG CAP</t>
  </si>
  <si>
    <t>PROVIGIL 100MG TAB</t>
  </si>
  <si>
    <t>THORAZINE 25MG TAB</t>
  </si>
  <si>
    <t>OXCILLIN 250MG IV</t>
  </si>
  <si>
    <t>TOPROL XL 25MG TAB</t>
  </si>
  <si>
    <t>PARLODEL 2.5MG TAB</t>
  </si>
  <si>
    <t>CIPRO 200 MG INJ</t>
  </si>
  <si>
    <t>ZITHROMAX 1GM TAB</t>
  </si>
  <si>
    <t>MAXIPIME 500 MG IV</t>
  </si>
  <si>
    <t>BUSPAR 15MG TABLET</t>
  </si>
  <si>
    <t>DEXILANT 60MG CAP</t>
  </si>
  <si>
    <t>SERVOQUEL 50 MG TAB</t>
  </si>
  <si>
    <t>PCE 500MG TABLET</t>
  </si>
  <si>
    <t>MOTRIN 100MG/5ML ORAL SOL</t>
  </si>
  <si>
    <t>FML 0.1% EYE SUSP 5ML</t>
  </si>
  <si>
    <t>PEN VK/500MG TAB</t>
  </si>
  <si>
    <t>PEN VK/250MG TAB</t>
  </si>
  <si>
    <t>PEN G 1 MILLION U</t>
  </si>
  <si>
    <t>PENCIL G 2 MILLIO</t>
  </si>
  <si>
    <t>PEN G 60000 IM</t>
  </si>
  <si>
    <t>FEMSTAT VAG CR 286M</t>
  </si>
  <si>
    <t>PEN G 5 MILLION U</t>
  </si>
  <si>
    <t>PEPCID 20MG TABS</t>
  </si>
  <si>
    <t>PEPCID 20MG/2ML IV</t>
  </si>
  <si>
    <t>PERCOCET 5MG/325MG TAB</t>
  </si>
  <si>
    <t>PERCODAN TAB</t>
  </si>
  <si>
    <t>PERI-COLACE CAP</t>
  </si>
  <si>
    <t>PERIACTIN 4MG TAB</t>
  </si>
  <si>
    <t>PERICOLACE LIQ/DOSE</t>
  </si>
  <si>
    <t>PERSANTIN 25MG TAB</t>
  </si>
  <si>
    <t>PERSANTIN 50MG TAB</t>
  </si>
  <si>
    <t>LEXAPRO 10MG TABLET</t>
  </si>
  <si>
    <t>GRANULEX SPRAY 4OZ</t>
  </si>
  <si>
    <t>GLUCOPHAGE 1GM TAB</t>
  </si>
  <si>
    <t>MICARDIS 40MG TAB</t>
  </si>
  <si>
    <t>PHENERGAN 5ML PO</t>
  </si>
  <si>
    <t>LOPROX 30GM CREAM</t>
  </si>
  <si>
    <t>PHENERGAN W/CODEINE 5ML PO</t>
  </si>
  <si>
    <t>PROMETH 25MG TAB</t>
  </si>
  <si>
    <t>PHENERGAN 25MG INJ</t>
  </si>
  <si>
    <t>PHENERGAN 100MG INJ</t>
  </si>
  <si>
    <t>VISTARIL LIQUID/DOSE</t>
  </si>
  <si>
    <t>PHENERGAN 50MG INJ</t>
  </si>
  <si>
    <t>PHENOBARB 65MG INJ</t>
  </si>
  <si>
    <t>PHENOBARB LIQ/DOSE</t>
  </si>
  <si>
    <t>PHENOBARB 30MG TAB</t>
  </si>
  <si>
    <t>ROWASA ENEMA</t>
  </si>
  <si>
    <t>PILOCARPINE 2% 15ML</t>
  </si>
  <si>
    <t>PILOCARPINE 1% 15ML</t>
  </si>
  <si>
    <t>PILOCARPINE 4% DROPS</t>
  </si>
  <si>
    <t>PITOCIN 10 UNITS</t>
  </si>
  <si>
    <t>PROCARDIA 20MG CAP</t>
  </si>
  <si>
    <t>PLACEBO IM</t>
  </si>
  <si>
    <t>PLAQUINL 200MG TB</t>
  </si>
  <si>
    <t>PLASMA PROT 250CC</t>
  </si>
  <si>
    <t>PLASMA PROT 500CC</t>
  </si>
  <si>
    <t>PHOSLO 667MG CAP</t>
  </si>
  <si>
    <t>PONTOCAN 0.50 PLH</t>
  </si>
  <si>
    <t>PONTOCAINE 1% 2ML</t>
  </si>
  <si>
    <t>PONTOCAI 2% TOPICL</t>
  </si>
  <si>
    <t>PREMPRO 0.625/2.5 MG</t>
  </si>
  <si>
    <t>POT IODIDE 30ML</t>
  </si>
  <si>
    <t>PROSCAR 5MG TAB</t>
  </si>
  <si>
    <t>POTASSIUM ACETA IV</t>
  </si>
  <si>
    <t>PROVENTIL 2MG TABLET</t>
  </si>
  <si>
    <t>PREDNISONE 5MG TAB</t>
  </si>
  <si>
    <t>PENLAC 8% TOP SOLN</t>
  </si>
  <si>
    <t>INSULIN NPH 5 UNITS</t>
  </si>
  <si>
    <t>PREMARIN 1.25MG TAB</t>
  </si>
  <si>
    <t>PREDNISONE 10MG TAB</t>
  </si>
  <si>
    <t>PRILOSEC 20MG CAP</t>
  </si>
  <si>
    <t>PREMARN CREAM VAG.</t>
  </si>
  <si>
    <t>PREP H OINT</t>
  </si>
  <si>
    <t>PRIMAXIM 250MG IV</t>
  </si>
  <si>
    <t>PREMARIN 0.625MG TAB</t>
  </si>
  <si>
    <t>PREMARIN 0.3MG TAB</t>
  </si>
  <si>
    <t>PROBANTHINE TAB</t>
  </si>
  <si>
    <t>PROCAN SR</t>
  </si>
  <si>
    <t>PROCAN SR 750-1000</t>
  </si>
  <si>
    <t>PROCARDIA 10MG TAB</t>
  </si>
  <si>
    <t>ZOSYN 3.37 GM IV</t>
  </si>
  <si>
    <t>PROCARDIA XL 60MG TABLET</t>
  </si>
  <si>
    <t>NYSTATIN VAG. TABLET</t>
  </si>
  <si>
    <t>PREDNISONE 20MG TAB</t>
  </si>
  <si>
    <t>NASACORT INH 106M</t>
  </si>
  <si>
    <t>PROLIXIN 1MG TABLET</t>
  </si>
  <si>
    <t>ACIPHEX 20MG TAB</t>
  </si>
  <si>
    <t>PROLIXIN 10MG TAB</t>
  </si>
  <si>
    <t>PREVACID 30MG CAP</t>
  </si>
  <si>
    <t>METROGEL 0.75% 45GM TOPICAL</t>
  </si>
  <si>
    <t>PROTONIX ER 40MG TAB</t>
  </si>
  <si>
    <t>PROPOFOL 200/20 ML</t>
  </si>
  <si>
    <t>PRONESTYL CAP</t>
  </si>
  <si>
    <t>BIAXIN 250MG TAB</t>
  </si>
  <si>
    <t>BLAXIN 500MG TAB</t>
  </si>
  <si>
    <t>PTU 50MG TABLET</t>
  </si>
  <si>
    <t>PROTONIX 40MG IV</t>
  </si>
  <si>
    <t>PHENERGAN VC 5ML PO</t>
  </si>
  <si>
    <t>PROSTIGMIN 1MG IV</t>
  </si>
  <si>
    <t>PROTAMINE 10MG IV</t>
  </si>
  <si>
    <t>PROVENTIL INHALER HFA</t>
  </si>
  <si>
    <t>CARDIZEM CD 120MG</t>
  </si>
  <si>
    <t>PROVENTIL 4MG TABLET</t>
  </si>
  <si>
    <t>PROVENTIL REP 4MG</t>
  </si>
  <si>
    <t>PROVENTIL 2MG/5ML LIQ PO</t>
  </si>
  <si>
    <t>VITAMIN B12 INJ</t>
  </si>
  <si>
    <t>PROVERA 10MG TAB</t>
  </si>
  <si>
    <t>PROZAC 20MG CAPSULE</t>
  </si>
  <si>
    <t>IODIPINE EYE DRP 5ML</t>
  </si>
  <si>
    <t>PANAFIL 30GM OINT</t>
  </si>
  <si>
    <t>PYRIDIUM 100MG TAB</t>
  </si>
  <si>
    <t>PYRIDIUM 200MG TAB</t>
  </si>
  <si>
    <t>PYRIDIUM PLUS</t>
  </si>
  <si>
    <t>PYRIDOXIN 50MG TAB</t>
  </si>
  <si>
    <t>QUINAGLUTE DURATAB</t>
  </si>
  <si>
    <t>QUINAMM TAB</t>
  </si>
  <si>
    <t>QUINIDINE IM 1CC</t>
  </si>
  <si>
    <t>QUINIDINE 200MG TAB</t>
  </si>
  <si>
    <t>QUINIDINE 300MG TAB</t>
  </si>
  <si>
    <t>RANITIDINE 50MG INJ</t>
  </si>
  <si>
    <t>RANITIDINE 150MG TAB</t>
  </si>
  <si>
    <t>REGLAN 10MG INJ</t>
  </si>
  <si>
    <t>REGLAN LIQ/DOSE</t>
  </si>
  <si>
    <t>REGLAN 10MG TAB</t>
  </si>
  <si>
    <t>REGLAN 5MG TABLET</t>
  </si>
  <si>
    <t>RELAFEN 500MG TAB</t>
  </si>
  <si>
    <t>REGLAN 100MG IV</t>
  </si>
  <si>
    <t>RESTORIL 30MG CAPSUL</t>
  </si>
  <si>
    <t>REGITINE 5 MG IN</t>
  </si>
  <si>
    <t>PHENERGAN VC CODEINE 5ML PO</t>
  </si>
  <si>
    <t>RIFAMPIN 600MG IV</t>
  </si>
  <si>
    <t>RESTORIL 15MG CAP</t>
  </si>
  <si>
    <t>RIFADIN 300MG CAP</t>
  </si>
  <si>
    <t>RIFAMPIN 150MG CAP</t>
  </si>
  <si>
    <t>RITALIN 5MG TABLET</t>
  </si>
  <si>
    <t>REMERON 30MG TABLET</t>
  </si>
  <si>
    <t>ROBAXIN 500MG TABLET</t>
  </si>
  <si>
    <t>ROBITUSSIN W/CODEINE 5ML PO</t>
  </si>
  <si>
    <t>ROBITUSSIN DM 5ML PO</t>
  </si>
  <si>
    <t>ROBITUSSIN 5ML PO</t>
  </si>
  <si>
    <t>RUBELLA VACCINE</t>
  </si>
  <si>
    <t>ROBITUSSIN CF 5ML PO</t>
  </si>
  <si>
    <t>ROBINUL IML IV</t>
  </si>
  <si>
    <t>RISPERDAL 1MG/ML LIQ PO</t>
  </si>
  <si>
    <t>RYTHMOL 150MG TAB</t>
  </si>
  <si>
    <t>ROBINUL 2MG TAB</t>
  </si>
  <si>
    <t>RISPERDAL 0.5MG TABLET</t>
  </si>
  <si>
    <t>ROCALTROL 0.25MG CAPSULE</t>
  </si>
  <si>
    <t>ROMAZICON 0.5MG/5ML IV</t>
  </si>
  <si>
    <t>SELENIUM LOTION 4OZ</t>
  </si>
  <si>
    <t>LEXAPRO 20MG TABLET</t>
  </si>
  <si>
    <t>ZONEGRAN 50MG TAB</t>
  </si>
  <si>
    <t>SUBUTEX 8MG TABLET</t>
  </si>
  <si>
    <t>CYMBALTA 60MG CAP</t>
  </si>
  <si>
    <t>PROVIGIL 200MG TAB</t>
  </si>
  <si>
    <t>RILUTEK 50MG TAB</t>
  </si>
  <si>
    <t>IMITREX 100MG TAB</t>
  </si>
  <si>
    <t>LIDODERM 5% PATCH</t>
  </si>
  <si>
    <t>HEPARIN 1000 UNITS</t>
  </si>
  <si>
    <t>ROCEPHIN 250MG IV</t>
  </si>
  <si>
    <t>COLISTIN 75MG IV</t>
  </si>
  <si>
    <t>CEFDOMOR 300MG CAP</t>
  </si>
  <si>
    <t>TEMOVATE 60GM CRM</t>
  </si>
  <si>
    <t>COSOPT 10ML EYE GTT</t>
  </si>
  <si>
    <t>MERREM 1GRAM IV</t>
  </si>
  <si>
    <t>TINACTIN POWDER</t>
  </si>
  <si>
    <t>PEPTAMEN 250 ML</t>
  </si>
  <si>
    <t>SENOKOT TAB</t>
  </si>
  <si>
    <t>SEPTRA BACTRIM TAB</t>
  </si>
  <si>
    <t>SEPTRA DS TAB</t>
  </si>
  <si>
    <t>SERZONE 100MG TAB</t>
  </si>
  <si>
    <t>SEPTRA SUSP 20ML</t>
  </si>
  <si>
    <t>SSD CREAM 400GMS</t>
  </si>
  <si>
    <t>SERZONE 150MG TABLET</t>
  </si>
  <si>
    <t>BUMEX 1 MG</t>
  </si>
  <si>
    <t>MIDAMOR 5MG</t>
  </si>
  <si>
    <t>SILVADENE 50GM</t>
  </si>
  <si>
    <t>TRAZODONE 50MG TAB</t>
  </si>
  <si>
    <t>TRAZODONE 100MG TAB</t>
  </si>
  <si>
    <t>SINEMET 25/100MG TAB</t>
  </si>
  <si>
    <t>SINEMET 10/100MG TABLET</t>
  </si>
  <si>
    <t>SINEQUAN 10-25-50 CAPSULE</t>
  </si>
  <si>
    <t>SSD CREAM 50GM</t>
  </si>
  <si>
    <t>SLOW K TAB</t>
  </si>
  <si>
    <t>SINGULAIR 10MG TAB</t>
  </si>
  <si>
    <t>SLOBID 50MG CAP</t>
  </si>
  <si>
    <t>SLOBID 100MG CAP</t>
  </si>
  <si>
    <t>SLOBID 200MG CAP</t>
  </si>
  <si>
    <t>SLOBID 300MG CAP</t>
  </si>
  <si>
    <t>SOD CHLORIDE H</t>
  </si>
  <si>
    <t>SOD PHOSHPATE AMP</t>
  </si>
  <si>
    <t>SODIUM ACETATE IV</t>
  </si>
  <si>
    <t>LAMISIL 250MG TAB</t>
  </si>
  <si>
    <t>SANTYL 30GM OINTMENT</t>
  </si>
  <si>
    <t>SODIUM CHLORIDE 1 GRAM TABLET</t>
  </si>
  <si>
    <t>REGRANEX 15GM</t>
  </si>
  <si>
    <t>SODIUM CHLOR 3% INJ</t>
  </si>
  <si>
    <t>SOLU-CORTEF 100MG IN</t>
  </si>
  <si>
    <t>SOLU-CORTEF 250MG</t>
  </si>
  <si>
    <t>SOLU-CORTEF 500MG</t>
  </si>
  <si>
    <t>SOLU-CORTEF 1GM</t>
  </si>
  <si>
    <t>SOLU-CORTEF IV</t>
  </si>
  <si>
    <t>SOLU-MEDROL 125MG</t>
  </si>
  <si>
    <t>SOLU-MEDROL 40MG</t>
  </si>
  <si>
    <t>SOLU-MEDROL 500MG</t>
  </si>
  <si>
    <t>SOLU-MEDROL 1GM</t>
  </si>
  <si>
    <t>SORBSAN 4X4</t>
  </si>
  <si>
    <t>SODIUM BICARB TAB</t>
  </si>
  <si>
    <t>SORBSAN 3X3</t>
  </si>
  <si>
    <t>SOMA 350MG TAB</t>
  </si>
  <si>
    <t>LANOXICAP 0.1MG CAP</t>
  </si>
  <si>
    <t>LEVOTHYROXINE IV 100MCG</t>
  </si>
  <si>
    <t>SSKI 30CC</t>
  </si>
  <si>
    <t>ERYTHRO 100ML SUSP</t>
  </si>
  <si>
    <t>STELAZINE 5MG TAB</t>
  </si>
  <si>
    <t>PRAVACHOL 20MG</t>
  </si>
  <si>
    <t>SUBLIMAZE 0.1MG IV</t>
  </si>
  <si>
    <t>SUDAFED LIQ-DOSE</t>
  </si>
  <si>
    <t>SUDAFED 30MG TAB</t>
  </si>
  <si>
    <t>SUDAFED 60MG TAB</t>
  </si>
  <si>
    <t>SORBITOL 70% DOSE</t>
  </si>
  <si>
    <t>SYNTHROID 75MCG TAB</t>
  </si>
  <si>
    <t>SUDAFED 12HR TAB</t>
  </si>
  <si>
    <t>SULFADIAZINE TAB</t>
  </si>
  <si>
    <t>SORBSAN 12 INCHES</t>
  </si>
  <si>
    <t>SULAMYD OPTH</t>
  </si>
  <si>
    <t>SULTRIN VAGINAL CR</t>
  </si>
  <si>
    <t>SURGILUBE DOSE</t>
  </si>
  <si>
    <t>SURFAK CAP</t>
  </si>
  <si>
    <t>PROZAC 20MG/5ML LIQ PO</t>
  </si>
  <si>
    <t>OSMOLITE 8 OZ.</t>
  </si>
  <si>
    <t>PROZAC 10MG CAP</t>
  </si>
  <si>
    <t>SYMMETRL 100MG CAP</t>
  </si>
  <si>
    <t>SYNALAR CR 0.1% GM</t>
  </si>
  <si>
    <t>SYNALAR CR 0.025 15G</t>
  </si>
  <si>
    <t>SYNTHROID 50MCG TAB</t>
  </si>
  <si>
    <t>VASOTEC 2.5MG INJ</t>
  </si>
  <si>
    <t>SYNTHROID 150MCG TAB</t>
  </si>
  <si>
    <t>MIDODRINE 10MG TAB</t>
  </si>
  <si>
    <t>ESTRACE 1MG TAB</t>
  </si>
  <si>
    <t>TRILAFON 4MG TAB</t>
  </si>
  <si>
    <t>MAXIPIME 1 GM IV</t>
  </si>
  <si>
    <t>SYNTHROID IV 200MCG</t>
  </si>
  <si>
    <t>SYNTHROID 125 MCG TB</t>
  </si>
  <si>
    <t>SYNTHROID 100MCG TAB</t>
  </si>
  <si>
    <t>PRADAXA 150 MG CAP</t>
  </si>
  <si>
    <t>TAGEMET 300MG IV</t>
  </si>
  <si>
    <t>TAGAMET 300MG TAB</t>
  </si>
  <si>
    <t>TAGAMET 400MG TAB</t>
  </si>
  <si>
    <t>TENORMIN 25MG TAB</t>
  </si>
  <si>
    <t>SILDENAFIL 20 MG TAB</t>
  </si>
  <si>
    <t>TENEX 1MG TAB</t>
  </si>
  <si>
    <t>TEGRETOL LIQ/DOSE</t>
  </si>
  <si>
    <t>TEGRETOL 200MG TAB</t>
  </si>
  <si>
    <t>TENORMIN 50MG TAB</t>
  </si>
  <si>
    <t>TENORMIN 100MG</t>
  </si>
  <si>
    <t>TENSILON</t>
  </si>
  <si>
    <t>HYTRIN 1MG TAB</t>
  </si>
  <si>
    <t>TORADOL 10 MG TAB</t>
  </si>
  <si>
    <t>GENTIAN VIOLET</t>
  </si>
  <si>
    <t>HYTRIN 2MG TAB</t>
  </si>
  <si>
    <t>HYTRIN 5MG TAB</t>
  </si>
  <si>
    <t>TESSALON PERLES CAP</t>
  </si>
  <si>
    <t>TETANUS TOX INJ/DOSE</t>
  </si>
  <si>
    <t>TETANUS IM GLOB</t>
  </si>
  <si>
    <t>TETRACYCLINE 250MG</t>
  </si>
  <si>
    <t>TOBRADEX EYE SOLN</t>
  </si>
  <si>
    <t>TETRACYCLINE 500MG</t>
  </si>
  <si>
    <t>TETRACYN OINT 15GM</t>
  </si>
  <si>
    <t>MARCAINE 0.75% 2ML</t>
  </si>
  <si>
    <t>THEODUR 300MG CAP</t>
  </si>
  <si>
    <t>TIGAN 100MG SUPP</t>
  </si>
  <si>
    <t>THERAGRAN TABLET</t>
  </si>
  <si>
    <t>THERAGRAN M TABLET</t>
  </si>
  <si>
    <t>THERAGRAN LIQ/DOSE</t>
  </si>
  <si>
    <t>TPN COMPOUNDING FEE</t>
  </si>
  <si>
    <t>SOD. BICARB INJ.DOSE</t>
  </si>
  <si>
    <t>THIAMINE 100MG INJ</t>
  </si>
  <si>
    <t>THIAMINE 100MG TAB</t>
  </si>
  <si>
    <t>HHN XOPENEX 0.31MG/3ML</t>
  </si>
  <si>
    <t>HHN XOPENEX 1.25MG/3ML</t>
  </si>
  <si>
    <t>MS LIQ DOSE</t>
  </si>
  <si>
    <t>THORAZINE 50MG INJ</t>
  </si>
  <si>
    <t>THORAZINE 10MG TAB</t>
  </si>
  <si>
    <t>TRIPLE SULFA CREAM</t>
  </si>
  <si>
    <t>TICLID 250MG TAB</t>
  </si>
  <si>
    <t>PEPTO BISMOL 30ML</t>
  </si>
  <si>
    <t>THYROID ALL STGN</t>
  </si>
  <si>
    <t>TICARCIL 1GM IV</t>
  </si>
  <si>
    <t>TIGAN 200MG SUPP</t>
  </si>
  <si>
    <t>TIGAN 200MG INJECT</t>
  </si>
  <si>
    <t>SINEQUAN 75MG CAP</t>
  </si>
  <si>
    <t>ZOLOFT 50MG TABLET</t>
  </si>
  <si>
    <t>MIDODRINE 2.5MG TAB</t>
  </si>
  <si>
    <t>SYNTHROID 88 MCG</t>
  </si>
  <si>
    <t>COREG 6.25 MG TAB</t>
  </si>
  <si>
    <t>TIMENTIN 3.1GM IV</t>
  </si>
  <si>
    <t>CAPOTEN 100MG</t>
  </si>
  <si>
    <t>SANTYL 90 GRAMS OINTMENT</t>
  </si>
  <si>
    <t>TIMOPTIC .25% OPT</t>
  </si>
  <si>
    <t>PAMELOR 50MG CAP</t>
  </si>
  <si>
    <t>AVAPRO 300MG TAB</t>
  </si>
  <si>
    <t>NASONEX INH</t>
  </si>
  <si>
    <t>TIMOPTIC 1/2% OP</t>
  </si>
  <si>
    <t>COGENTIN 0.5MG TAB</t>
  </si>
  <si>
    <t>TRAVATAN EYE SOLN</t>
  </si>
  <si>
    <t>MAXALT 10MG TABLET</t>
  </si>
  <si>
    <t>DHE 45 1MG/ML INJ</t>
  </si>
  <si>
    <t>AVAPRO 150MG TAB</t>
  </si>
  <si>
    <t>TINACTIN CREAM</t>
  </si>
  <si>
    <t>GEODON 40MG CAP</t>
  </si>
  <si>
    <t>GEODON 20MG CAP</t>
  </si>
  <si>
    <t>BETAPACE 80MG TAB</t>
  </si>
  <si>
    <t>FENOFIBRATE 54MG</t>
  </si>
  <si>
    <t>TOBREX OPTH 5ML</t>
  </si>
  <si>
    <t>TOFRANIL TAB</t>
  </si>
  <si>
    <t>TORADOL 60MG INJ.</t>
  </si>
  <si>
    <t>TRACE ELEMENTS</t>
  </si>
  <si>
    <t>OMEGA-3 1000MG CAPSULE</t>
  </si>
  <si>
    <t>TRANSDERM NITRO</t>
  </si>
  <si>
    <t>DEXILANT ER 30MG CAP</t>
  </si>
  <si>
    <t>RENVELA PACK 0.8GM</t>
  </si>
  <si>
    <t>NUEDEXTA 20/10 MG CAPUSULE</t>
  </si>
  <si>
    <t>CORE6 12.5 MG TAB</t>
  </si>
  <si>
    <t>DIOVAN 160 MG TAB</t>
  </si>
  <si>
    <t>TRICOR 145MG TAB</t>
  </si>
  <si>
    <t>TRANDATE INJ/DOSE</t>
  </si>
  <si>
    <t>TRANDATE 200MG TAB</t>
  </si>
  <si>
    <t>TRANSDERM SCIO PATCH</t>
  </si>
  <si>
    <t>TRACRIUM 50MG/5ML</t>
  </si>
  <si>
    <t>TRENTAL 400MG TAB</t>
  </si>
  <si>
    <t>SYNTHROID 175MCG TAB</t>
  </si>
  <si>
    <t>TRIAVIL</t>
  </si>
  <si>
    <t>GLUCERNA 1.5C 1 LITER</t>
  </si>
  <si>
    <t>TRILISATE 500MG TAB</t>
  </si>
  <si>
    <t>TRUSOPT OPTH 5ML</t>
  </si>
  <si>
    <t>TRICOR 67MG TAB</t>
  </si>
  <si>
    <t>NAMENDA 5 MG TABLET</t>
  </si>
  <si>
    <t>ASACOLDR 800MG TAB</t>
  </si>
  <si>
    <t>ROCEPHIN 1GM IV</t>
  </si>
  <si>
    <t>SAMSCA 15MG TAB</t>
  </si>
  <si>
    <t>ARIPIPRAZOLE 10MG TAB</t>
  </si>
  <si>
    <t>SEROQUEL 300MG TABLET</t>
  </si>
  <si>
    <t>SYNTHROID 25 MCG TAB</t>
  </si>
  <si>
    <t>RISPERIDONE 0.25 MG</t>
  </si>
  <si>
    <t>CLONAZEPAM 1MG TAB</t>
  </si>
  <si>
    <t>LOVENOX 30MG IV</t>
  </si>
  <si>
    <t>GEODON 60 MG CAP</t>
  </si>
  <si>
    <t>LOESTRIN FE 28 TABS</t>
  </si>
  <si>
    <t>PRAVACHOL 10MG TAB</t>
  </si>
  <si>
    <t>EFFER-K 10 MEQ TABLET</t>
  </si>
  <si>
    <t>TUMS TABLET</t>
  </si>
  <si>
    <t>GENTAMICIN 0.3% EYE SOLUTION</t>
  </si>
  <si>
    <t>TOPAMAX 25MG TAB</t>
  </si>
  <si>
    <t>TYLENOL 650MG SUPP</t>
  </si>
  <si>
    <t>JEVITY 1.5C 1 LITER</t>
  </si>
  <si>
    <t>TYLENOL LIQUID/DOSE</t>
  </si>
  <si>
    <t>TYLENOL DROPS</t>
  </si>
  <si>
    <t>TRILAFON 8MG TAB</t>
  </si>
  <si>
    <t>HALCION 0.25MG TAB</t>
  </si>
  <si>
    <t>TYLENOL 325MG TABLET</t>
  </si>
  <si>
    <t>TYLENOL FLU CAPSULE</t>
  </si>
  <si>
    <t>TYLENOL 500MG CAP</t>
  </si>
  <si>
    <t>TYLENOL #3 TABLET</t>
  </si>
  <si>
    <t>TYLENOL #4 TABLET</t>
  </si>
  <si>
    <t>PLAVIX 75MG TABLET</t>
  </si>
  <si>
    <t>CHLORTRIMETON 4MG TAB</t>
  </si>
  <si>
    <t>TYLENOL W/COD-DOSE</t>
  </si>
  <si>
    <t>ZYVOX 600MG TABLET</t>
  </si>
  <si>
    <t>VASCEPA 1 GRAM CAP</t>
  </si>
  <si>
    <t>UNASYN 1.5GM IV</t>
  </si>
  <si>
    <t>UNASYN 3GM INJ</t>
  </si>
  <si>
    <t>CHIROPROMAZINE 50 MG</t>
  </si>
  <si>
    <t>CORTEF 5MG TAB</t>
  </si>
  <si>
    <t>HHN S2 RACEPINEPHRINE</t>
  </si>
  <si>
    <t>URECHOLINE 10MG TAB</t>
  </si>
  <si>
    <t>URECHOLINE 25MG TAB</t>
  </si>
  <si>
    <t>INSULIN HUMALOG 5U</t>
  </si>
  <si>
    <t>BENEFIBER 2 TEASPOON</t>
  </si>
  <si>
    <t>WATER 200ML</t>
  </si>
  <si>
    <t>NITRO-BID 2% 1 APPLICATION</t>
  </si>
  <si>
    <t>ULTRAM 50MG TABLET</t>
  </si>
  <si>
    <t>DHEA 25MG CAP</t>
  </si>
  <si>
    <t>LUVOX 100MG TABLET</t>
  </si>
  <si>
    <t>VALIUM 5MG INJ</t>
  </si>
  <si>
    <t>UREA 10% CREAM</t>
  </si>
  <si>
    <t>VALIUM 10MG TAB</t>
  </si>
  <si>
    <t>VALIUM 2MG TABLET</t>
  </si>
  <si>
    <t>VALIUM 5MG TABLET</t>
  </si>
  <si>
    <t>VANCERIL INHALER</t>
  </si>
  <si>
    <t>VANCINASE 1NH</t>
  </si>
  <si>
    <t>VANCOMYCIN 500MG IV</t>
  </si>
  <si>
    <t>EFFER-K 20 MEQ TABLET</t>
  </si>
  <si>
    <t>TAMBOCOR 100MG TAB</t>
  </si>
  <si>
    <t>VASOTEC 5MG TABLET</t>
  </si>
  <si>
    <t>VASOTEC 10MG TABLET</t>
  </si>
  <si>
    <t>ATARAX 10MG TABLET</t>
  </si>
  <si>
    <t>LEVAQUIN 750 MG TAB</t>
  </si>
  <si>
    <t>VASOTEC 2.5MG TAB</t>
  </si>
  <si>
    <t>TRANEXAMIC 1000MG IV</t>
  </si>
  <si>
    <t>PROCALAMINE 3% ILIT</t>
  </si>
  <si>
    <t>VASOTEC 20MG TABLET</t>
  </si>
  <si>
    <t>VERAPAMIL 5MG IV</t>
  </si>
  <si>
    <t>VERAPAMIL 80MG TAB</t>
  </si>
  <si>
    <t>VERSED 1MG IV DOSE</t>
  </si>
  <si>
    <t>VERAPAMIL 120MG TAB</t>
  </si>
  <si>
    <t>VERAPAMIL 180MG</t>
  </si>
  <si>
    <t>VERAPAMIL SR 240MG</t>
  </si>
  <si>
    <t>VIBRAMYCN 100MG IV</t>
  </si>
  <si>
    <t>VIBRAMYCN 200MG IV</t>
  </si>
  <si>
    <t>VIBRAMYCN 100MG TAB</t>
  </si>
  <si>
    <t>NORCO 5MG / 325MG TABLET</t>
  </si>
  <si>
    <t>VICODEN ES TAB</t>
  </si>
  <si>
    <t>ZOLOFT 100MG TABLET</t>
  </si>
  <si>
    <t>LOVENOX 100MG IV</t>
  </si>
  <si>
    <t>AVYCAZ 2GM / 0.5GM IV</t>
  </si>
  <si>
    <t>ADACEL 0.5ML IM</t>
  </si>
  <si>
    <t>TIMOPTIC-XE OS 5ML</t>
  </si>
  <si>
    <t>LEVAQUIN 250 MG TAB</t>
  </si>
  <si>
    <t>ALTACE 5MG CAPSULE</t>
  </si>
  <si>
    <t>VOLTAREN 1% GEL</t>
  </si>
  <si>
    <t>COREG 3-125MG TAB</t>
  </si>
  <si>
    <t>VISTARIL 50MG INJ</t>
  </si>
  <si>
    <t>VISTARIL 25MG INJ</t>
  </si>
  <si>
    <t>TOBRAMYCIN 80MG IV</t>
  </si>
  <si>
    <t>VISTARIL 25MG CAP</t>
  </si>
  <si>
    <t>HYDROXYZINE 50MG CAP</t>
  </si>
  <si>
    <t>VIT B-COMPLEX WCH</t>
  </si>
  <si>
    <t>VISTARIL 75MG INJ</t>
  </si>
  <si>
    <t>VITAMIN C TAB</t>
  </si>
  <si>
    <t>MULTIVITAMIN 5 ML IV</t>
  </si>
  <si>
    <t>TAMIFLU CAPSULE</t>
  </si>
  <si>
    <t>PYRAZINAMIDE 500 MG TAB</t>
  </si>
  <si>
    <t>VITRON C TAB</t>
  </si>
  <si>
    <t>XYLOCAINE 4% TOPIC</t>
  </si>
  <si>
    <t>VISINE EYE SOLN</t>
  </si>
  <si>
    <t>ZYRTEC 10MG TABLET</t>
  </si>
  <si>
    <t>VIVONEX</t>
  </si>
  <si>
    <t>TOBRAMYCIN 120MG IV</t>
  </si>
  <si>
    <t>ZYLOPRIM 300MG TABLET</t>
  </si>
  <si>
    <t>TYLENOL SUPP 325MG</t>
  </si>
  <si>
    <t>TYLENOL SUPP  120MG</t>
  </si>
  <si>
    <t>VOLTAREN 50MG TABLET</t>
  </si>
  <si>
    <t>TRUSOPT 2% EYE SOLN</t>
  </si>
  <si>
    <t>DOXEPIN 100MG CAPSULE</t>
  </si>
  <si>
    <t>ZESTRIL 40 MG TABLET</t>
  </si>
  <si>
    <t>TOBRAMYCIN 100MG IV</t>
  </si>
  <si>
    <t>ZOFRAN 1MG INJ</t>
  </si>
  <si>
    <t>DETROL LA 4MG CAP</t>
  </si>
  <si>
    <t>ZESTRIL 10MG TABLET</t>
  </si>
  <si>
    <t>XANAX 1MG TAB</t>
  </si>
  <si>
    <t>XYLOCA VIS 100ML</t>
  </si>
  <si>
    <t>WELLBUTRIN 75MG TAB</t>
  </si>
  <si>
    <t>VASODILAN 10MG TAB</t>
  </si>
  <si>
    <t>HUMALOG INS 5 UNITS</t>
  </si>
  <si>
    <t>VASOLEX 60GM OINT</t>
  </si>
  <si>
    <t>XYLOCAINE JLY 2% TOPICAL</t>
  </si>
  <si>
    <t>HYTRIN 10MG CAP</t>
  </si>
  <si>
    <t>NEOSPORIN POWDER</t>
  </si>
  <si>
    <t>AZOPT EYE SUSP 5ML</t>
  </si>
  <si>
    <t>NEXIUM 40MG PO</t>
  </si>
  <si>
    <t>PRISTIQ 50MG TAB</t>
  </si>
  <si>
    <t>MURI-LUBE 10ML TOPICAL</t>
  </si>
  <si>
    <t>VIT D 500000 U CAP</t>
  </si>
  <si>
    <t>SEROQUEL 100MG TAB</t>
  </si>
  <si>
    <t>IODOSORB GEL 40 GMS</t>
  </si>
  <si>
    <t>NEXIUM 40MG SUSP</t>
  </si>
  <si>
    <t>TRANDATE 100MG TAB</t>
  </si>
  <si>
    <t>PLENDIL 5MG</t>
  </si>
  <si>
    <t>LIDOCAINE 10MG INJ</t>
  </si>
  <si>
    <t>HHN MUCOMYST 20% 3CC</t>
  </si>
  <si>
    <t>TRICOR 48MG</t>
  </si>
  <si>
    <t>OFIRMEV 1000MG / 100 ML IV</t>
  </si>
  <si>
    <t>GENTAMICIN 120MG/100CC IV</t>
  </si>
  <si>
    <t>GENTAMICIN 80MG/50CC</t>
  </si>
  <si>
    <t>KARAYA 128GM PASTE</t>
  </si>
  <si>
    <t>ZOCOR 20MG TABLET</t>
  </si>
  <si>
    <t>TRANDATE 300MG TAB</t>
  </si>
  <si>
    <t>GEODON 80MG CAP</t>
  </si>
  <si>
    <t>GENTAMICIN 100MG/50CC IV</t>
  </si>
  <si>
    <t>ISOPTIN SR 240MG</t>
  </si>
  <si>
    <t>ZOSYN 4.5 GM IV</t>
  </si>
  <si>
    <t>ZOCOR 40MG TAB</t>
  </si>
  <si>
    <t>OSMOLITE 1.2 1 LITER</t>
  </si>
  <si>
    <t>ZANTAC 150MG TAB</t>
  </si>
  <si>
    <t>ZAROXOLYN 2.5MG TAB</t>
  </si>
  <si>
    <t>ADINISTRATION OF PNU VACCINE</t>
  </si>
  <si>
    <t>ZANTAC 25MG IV</t>
  </si>
  <si>
    <t>ZESTRIL 20MG TABLET</t>
  </si>
  <si>
    <t>ZOVIRAX 200MG CAPSUL</t>
  </si>
  <si>
    <t>ZOSYN 2.25 GM IV</t>
  </si>
  <si>
    <t>DIPRIVAN INJ/DOSE</t>
  </si>
  <si>
    <t>ZOVIRAX 500MG IV</t>
  </si>
  <si>
    <t>ZEMURON INJ/DOSE</t>
  </si>
  <si>
    <t>ZOVIRAX 5% 15GM OINTMENT</t>
  </si>
  <si>
    <t>SLOW MAG TABLET</t>
  </si>
  <si>
    <t>ZINACEF 750MG IV</t>
  </si>
  <si>
    <t>VOLMAX 4MG TAB</t>
  </si>
  <si>
    <t>ZITHROMAX 250MG CAP</t>
  </si>
  <si>
    <t>ZINC SULF 220MG CAPS</t>
  </si>
  <si>
    <t>ZOVIRAX 200MG/5ML SUSP PO</t>
  </si>
  <si>
    <t>VOLMAX 8MG TABLET</t>
  </si>
  <si>
    <t>ZYPREXA 10MG TAB</t>
  </si>
  <si>
    <t>ZYPREXA 5MG TAB</t>
  </si>
  <si>
    <t>VIT D 50000 U CAPSUL</t>
  </si>
  <si>
    <t>MISC PHARM</t>
  </si>
  <si>
    <t>ZANAFLEX 4MG TAB</t>
  </si>
  <si>
    <t>LYRICA 50MG CAP</t>
  </si>
  <si>
    <t>MIDODRINE 5MG TAB</t>
  </si>
  <si>
    <t>CILOXAN 3% EYE SOLN 5ML</t>
  </si>
  <si>
    <t>PERIDEX LIQ/DOSE</t>
  </si>
  <si>
    <t>PRO-STAT 15ML/DOSE</t>
  </si>
  <si>
    <t>ZYLOPRIM 100MG TABLET</t>
  </si>
  <si>
    <t>CRANBERRY TAB</t>
  </si>
  <si>
    <t>ZYPREXA 2.5MG TAB</t>
  </si>
  <si>
    <t>NORCO 10MG/325MG TAB</t>
  </si>
  <si>
    <t>COLISTIN 150 MG IV</t>
  </si>
  <si>
    <t>MIACALCIN 200U IV</t>
  </si>
  <si>
    <t>TERBUTALINE IM</t>
  </si>
  <si>
    <t>ZITHROMAX 500MG IV</t>
  </si>
  <si>
    <t>RENVELA 800MG TAB</t>
  </si>
  <si>
    <t>INSULIN MIX 70/30 5 UNITS</t>
  </si>
  <si>
    <t>VITAL 1.2C LITER</t>
  </si>
  <si>
    <t>SPECTAZOLE 1% 85GMS</t>
  </si>
  <si>
    <t>ZOVIRAX 800MG TAB</t>
  </si>
  <si>
    <t>RISPERDAL 3MG TAB</t>
  </si>
  <si>
    <t>LEVAQUIN 750MG TAB</t>
  </si>
  <si>
    <t>NAROPIN 1MG INJJ</t>
  </si>
  <si>
    <t>HHN .25 BUDESOMIDE</t>
  </si>
  <si>
    <t>ALBUMIN 5% 250 ML</t>
  </si>
  <si>
    <t>DECADRON PF 10MG IV</t>
  </si>
  <si>
    <t>BUDESONIDE 0.25MG</t>
  </si>
  <si>
    <t>TRICOR DR 135MG TAB</t>
  </si>
  <si>
    <t>CLINIMIX E 4.25/25% 2000ML IV</t>
  </si>
  <si>
    <t>SENSIPAR 30MG TAB</t>
  </si>
  <si>
    <t>KEPPRA 1GRAM TABLET</t>
  </si>
  <si>
    <t>DEPO-PROVERA 150MG</t>
  </si>
  <si>
    <t>ELIMITE 5% CRM 60GM</t>
  </si>
  <si>
    <t>VOLTARE IN 1% GEL</t>
  </si>
  <si>
    <t>XIFAXAN 550MG TAB</t>
  </si>
  <si>
    <t>DORIBAX 250MG IV</t>
  </si>
  <si>
    <t>BENICAR 40MG TAB</t>
  </si>
  <si>
    <t>ESMOLOL 10MG/1ML IV</t>
  </si>
  <si>
    <t>NUETRA PHOS PACKET</t>
  </si>
  <si>
    <t>HHN PULMICORT 2ML</t>
  </si>
  <si>
    <t>CLINIMIX E 4.25/10% 2000ML N</t>
  </si>
  <si>
    <t>ZOCOR 5MG TAB</t>
  </si>
  <si>
    <t>BOOST 8 OZ</t>
  </si>
  <si>
    <t>LIPTOR 80MG TAB</t>
  </si>
  <si>
    <t>A&amp;D OINTMENT</t>
  </si>
  <si>
    <t>DIVALPROEX 125 MG CAP</t>
  </si>
  <si>
    <t>BIOTENE GEL 1.5 OZ</t>
  </si>
  <si>
    <t>ZITHROMAX 250MG/5ML PO</t>
  </si>
  <si>
    <t>LOVENOX 80 MG IV</t>
  </si>
  <si>
    <t>LEVEMIR 5 UNITS</t>
  </si>
  <si>
    <t>LYRICA 75 MG CAP</t>
  </si>
  <si>
    <t>LIDOCAINE 1% W/EPI IV</t>
  </si>
  <si>
    <t>SYNTHROID 112MCG TB</t>
  </si>
  <si>
    <t>WELLBUTRIN XL 150MG</t>
  </si>
  <si>
    <t>ARICEPT 10MG TABLET</t>
  </si>
  <si>
    <t>CANCIDAS 50MG INJ</t>
  </si>
  <si>
    <t>CANCIDAS 70MG INJ</t>
  </si>
  <si>
    <t>TOPAMAX 100MB TAB</t>
  </si>
  <si>
    <t>ZYVOX 600MG IV</t>
  </si>
  <si>
    <t>SUGAMMADEX 100MG/ML</t>
  </si>
  <si>
    <t>TRICOR 200MG CAP</t>
  </si>
  <si>
    <t>DESMOPRESSIN 0.2 MG TAB</t>
  </si>
  <si>
    <t>CELESTONE 6MG/ML IV</t>
  </si>
  <si>
    <t>LAMISIL 30GM CREAM 1%</t>
  </si>
  <si>
    <t>ARIMIDEX 1MG TABLET</t>
  </si>
  <si>
    <t>VIMPAT 200MG TABLET</t>
  </si>
  <si>
    <t>LOPRESSOR 25MG TAB</t>
  </si>
  <si>
    <t>VIMPAT 150MG TABLET</t>
  </si>
  <si>
    <t>MONUROL 3GRAMS</t>
  </si>
  <si>
    <t>VFEND 200MG TABLET</t>
  </si>
  <si>
    <t>LUNESTA 3MG</t>
  </si>
  <si>
    <t>PHENOBARBITAL 60MG</t>
  </si>
  <si>
    <t>HYDROQUINONE 4% CRM</t>
  </si>
  <si>
    <t>PULMOCARE 1 LITER</t>
  </si>
  <si>
    <t>ZOCOR 10MG TABLET</t>
  </si>
  <si>
    <t>THEOPHYLLINE 100MG/18.8ML</t>
  </si>
  <si>
    <t>LAMICTAL 100MG TAB</t>
  </si>
  <si>
    <t>LIPOSYN 20% 50ML IV</t>
  </si>
  <si>
    <t>TYGACIL 50MG IV</t>
  </si>
  <si>
    <t>PHENOBARBITAL 64.8 MG TABLET</t>
  </si>
  <si>
    <t>PHENOBARBITAL 64.8 MG</t>
  </si>
  <si>
    <t>LINZESS 145 MCG CAPSULE</t>
  </si>
  <si>
    <t>ZOLOFT 25MG TABLET</t>
  </si>
  <si>
    <t>SINEMET 25/250MG TAB</t>
  </si>
  <si>
    <t>VIVACTIL 10MG CAP</t>
  </si>
  <si>
    <t>ZOVIRAX 400MG TABLET</t>
  </si>
  <si>
    <t>ZOVIRAX 200MG IV</t>
  </si>
  <si>
    <t>CARDIZEM CD 180MG</t>
  </si>
  <si>
    <t>STROMECTOL 3 MG TAB</t>
  </si>
  <si>
    <t>ASPERGUM PACK</t>
  </si>
  <si>
    <t>VANCOCIN 250MG CAP</t>
  </si>
  <si>
    <t>AMITIZA 24MCG CAP</t>
  </si>
  <si>
    <t>LODINE 400MG CAP</t>
  </si>
  <si>
    <t>ARANESP 150MCG INJ</t>
  </si>
  <si>
    <t>NEURONTIN 600MG TAB</t>
  </si>
  <si>
    <t>OXYCONTIN 40MG TAB</t>
  </si>
  <si>
    <t>CLINMIX 4.25/10 1000ML</t>
  </si>
  <si>
    <t>JANUVIA 100MG TAB</t>
  </si>
  <si>
    <t>CLINMIX 4.25/25 1000ML</t>
  </si>
  <si>
    <t>ALLEGRA 180MG TABB</t>
  </si>
  <si>
    <t>ZEBETA 5MG TAB</t>
  </si>
  <si>
    <t>UROCIT-K 10M EQ TAB</t>
  </si>
  <si>
    <t>ELIQUIS 2.5MG TAB</t>
  </si>
  <si>
    <t>MERREM 500MG IV</t>
  </si>
  <si>
    <t>WESTCORD 60 GM OINT</t>
  </si>
  <si>
    <t>AMLACTIN LOTION 8 OZ</t>
  </si>
  <si>
    <t>VOLTAREN 75MG TABLET</t>
  </si>
  <si>
    <t>LYRICA 25MG CAP</t>
  </si>
  <si>
    <t>RENAGEL 800 MG TAB</t>
  </si>
  <si>
    <t>MAGNESIUM OXIDE 400MG TAB</t>
  </si>
  <si>
    <t>CRESTOR 10MG TAB</t>
  </si>
  <si>
    <t>STARLIX 120MG TAB</t>
  </si>
  <si>
    <t>FIBERSOURCE 1 LITER</t>
  </si>
  <si>
    <t>XALATAN EYE SOLN</t>
  </si>
  <si>
    <t>RITALIN 10MG TAB</t>
  </si>
  <si>
    <t>PRANDIN 1MG TABLET</t>
  </si>
  <si>
    <t>FEMARA 2.5MG TAB</t>
  </si>
  <si>
    <t>LOVENOX 10MG INJ</t>
  </si>
  <si>
    <t>ZETIA 10MG TAB</t>
  </si>
  <si>
    <t>REQUIP 1MG TABLET</t>
  </si>
  <si>
    <t>VOSPIRE ER 4MG TAB</t>
  </si>
  <si>
    <t>VALTREX 500MG CAP</t>
  </si>
  <si>
    <t>LOVENOX 60MG IV</t>
  </si>
  <si>
    <t>VALTREX 1GM TABLET</t>
  </si>
  <si>
    <t>TRILEPTAL 300MG TAB</t>
  </si>
  <si>
    <t>KEPPRA 500MG TAB</t>
  </si>
  <si>
    <t>MEVACOR 40MG TAB</t>
  </si>
  <si>
    <t>ASENDIN 50MG TAB</t>
  </si>
  <si>
    <t>VANCOMYCIN 750MG IV</t>
  </si>
  <si>
    <t>INSULIN LANTUS 5 UNITS</t>
  </si>
  <si>
    <t>VAGISIL CREAM 1 OZ</t>
  </si>
  <si>
    <t>LORTAB LIQ/DOSE</t>
  </si>
  <si>
    <t>XANAX 0.25MG TABLET</t>
  </si>
  <si>
    <t>LORTAB 7.5 MG</t>
  </si>
  <si>
    <t>NORCO 10/325MG TAB</t>
  </si>
  <si>
    <t>FERRLECIT 125MG/10ML IV</t>
  </si>
  <si>
    <t>INSULIN BASAGLAR 5 UNITS</t>
  </si>
  <si>
    <t>EFFEXOR 50MG TAB</t>
  </si>
  <si>
    <t>ABILIFY 30MG TAB</t>
  </si>
  <si>
    <t>EXELON 3MG CAP</t>
  </si>
  <si>
    <t>PRILOSEC 40MG CAP</t>
  </si>
  <si>
    <t>EXELON 4.5 MG CAP</t>
  </si>
  <si>
    <t>PAXIL 10 MG TAB</t>
  </si>
  <si>
    <t>DILAUDID IMG IV</t>
  </si>
  <si>
    <t>DILAUDID 2MG IV</t>
  </si>
  <si>
    <t>ABILIFY 2MG TAB</t>
  </si>
  <si>
    <t>ABILIFY 20MG TAB</t>
  </si>
  <si>
    <t>ABILIFY 15MG TAB</t>
  </si>
  <si>
    <t>XARELTO 10MG TAB</t>
  </si>
  <si>
    <t>DEPAKOTE DR 500 MG</t>
  </si>
  <si>
    <t>CARDURA 1MG TAB</t>
  </si>
  <si>
    <t>HCTZ 12.5 MG CAP</t>
  </si>
  <si>
    <t>DEMECLOCYCLIN 300MG</t>
  </si>
  <si>
    <t>VITAMIN D 1000 TAB</t>
  </si>
  <si>
    <t>KEPPRA 500MG IV</t>
  </si>
  <si>
    <t>CLEOCIN 1% GEL 30GM</t>
  </si>
  <si>
    <t>DIFFERIN 0.1% CRM</t>
  </si>
  <si>
    <t>NUTRILYTE 20ML IV</t>
  </si>
  <si>
    <t>PEPTAMIN 8OZ CAN</t>
  </si>
  <si>
    <t>NEOMYCIN 500MG TAB</t>
  </si>
  <si>
    <t>SPECTAZOLE CREAM 15GM</t>
  </si>
  <si>
    <t>CYMBALTA 20MG CAP</t>
  </si>
  <si>
    <t>KEPPRA SOLN/DOSE</t>
  </si>
  <si>
    <t>LIPITOR 40MG TAB</t>
  </si>
  <si>
    <t>COZAAR 100MG TAB</t>
  </si>
  <si>
    <t>PROMOTE FIBER 1 LITER FEEDING</t>
  </si>
  <si>
    <t>NUTRILYTE II 20ML IV</t>
  </si>
  <si>
    <t>ATROVENT 0.5MG HHN</t>
  </si>
  <si>
    <t>HHN DUO-NEB 3ML</t>
  </si>
  <si>
    <t>ALBUTEROL 2.5MG HHN</t>
  </si>
  <si>
    <t>HHN XOPENEX 0.63MG/3ML</t>
  </si>
  <si>
    <t>TWO-CAL HN 1 LITER</t>
  </si>
  <si>
    <t>MIRAPEX 0.25MG TAB</t>
  </si>
  <si>
    <t>EXPAREL 1.3% 10ML</t>
  </si>
  <si>
    <t>GLUCERNA 1 LITER</t>
  </si>
  <si>
    <t>IMDUR 30MG TAB</t>
  </si>
  <si>
    <t>SYNTHROID 200MCG TAB</t>
  </si>
  <si>
    <t>NOVOLOG MIX 70/30 5 UNITS</t>
  </si>
  <si>
    <t>PREVNAR 20 0.5ML IM</t>
  </si>
  <si>
    <t>ACCUNEB 1.25 MG HHN</t>
  </si>
  <si>
    <t>PRECEDEX 4 MCG/ML</t>
  </si>
  <si>
    <t>AMIDATE 2MG/ML IV</t>
  </si>
  <si>
    <t>TRADEJENTA 5MG TAB</t>
  </si>
  <si>
    <t>FARXIGA 5MG TABLET</t>
  </si>
  <si>
    <t>MODERNA COVID 19 VACCINE 0.5ML</t>
  </si>
  <si>
    <t>COVID-19 1ST VACCINE ADM</t>
  </si>
  <si>
    <t>COVID 2ND VACCINE ADMINISTRAT</t>
  </si>
  <si>
    <t>EXELON MG CA</t>
  </si>
  <si>
    <t>LYRICA 150MG CAP</t>
  </si>
  <si>
    <t>COVID 3RD VACCINE MODERNA</t>
  </si>
  <si>
    <t>COVID-19 BOOSTER MODERNA</t>
  </si>
  <si>
    <t>AERO DISP S U</t>
  </si>
  <si>
    <t>AERO MASK</t>
  </si>
  <si>
    <t>AERO SET UP</t>
  </si>
  <si>
    <t>AERO TRMTS</t>
  </si>
  <si>
    <t>COMPR AIR ED HR</t>
  </si>
  <si>
    <t>CANNULA</t>
  </si>
  <si>
    <t>CANOPY</t>
  </si>
  <si>
    <t>CONNECTOR TUBING</t>
  </si>
  <si>
    <t>CONT USN</t>
  </si>
  <si>
    <t>DAILY 02 TENT</t>
  </si>
  <si>
    <t>IPPB REG MA-1 ST UP</t>
  </si>
  <si>
    <t>IPPB DISPOSABLE UNIT</t>
  </si>
  <si>
    <t>USN DISP UNIT</t>
  </si>
  <si>
    <t>2800 VENT DISP SET U</t>
  </si>
  <si>
    <t>2800 VENT PER HR</t>
  </si>
  <si>
    <t>NASAL CPAP SET UP</t>
  </si>
  <si>
    <t>NASAL CPAP PER HOUR</t>
  </si>
  <si>
    <t>H/A OR C/A MIST</t>
  </si>
  <si>
    <t>PASSY-MUIR SPEAKING</t>
  </si>
  <si>
    <t>HUMIDIFIER</t>
  </si>
  <si>
    <t>IMV PER HR</t>
  </si>
  <si>
    <t>IMV SET UP-DEACTIVEATE PER BH</t>
  </si>
  <si>
    <t>INC SPIRO P/RX</t>
  </si>
  <si>
    <t>INC SPIRO SET UP</t>
  </si>
  <si>
    <t>INITIAL IPPB</t>
  </si>
  <si>
    <t>IPPB SUB</t>
  </si>
  <si>
    <t>02 EACH HR</t>
  </si>
  <si>
    <t>02 SET UP INITIA</t>
  </si>
  <si>
    <t>PD/PERC</t>
  </si>
  <si>
    <t>MA-I PER HR</t>
  </si>
  <si>
    <t>PER RX U.S.N.</t>
  </si>
  <si>
    <t>REBREATHER MASK</t>
  </si>
  <si>
    <t>RESUSCITATION</t>
  </si>
  <si>
    <t>RESUSCITATION AD</t>
  </si>
  <si>
    <t>RT TECH INC 1/H</t>
  </si>
  <si>
    <t>RT TECH INC 15/M</t>
  </si>
  <si>
    <t>TENT SET UP</t>
  </si>
  <si>
    <t>TRACH CARE</t>
  </si>
  <si>
    <t>V/C BAGS</t>
  </si>
  <si>
    <t>VENTI MASK</t>
  </si>
  <si>
    <t>NONPRESS. INHAL. HHN</t>
  </si>
  <si>
    <t>HHN DISP. UNIT</t>
  </si>
  <si>
    <t>NONPRESS. INHAL. INI</t>
  </si>
  <si>
    <t>OXYGEN EA HR VENT</t>
  </si>
  <si>
    <t>SUCTIONING</t>
  </si>
  <si>
    <t>RESPIRATORY REHAB IN</t>
  </si>
  <si>
    <t>OXYGEN-TRANSPORT</t>
  </si>
  <si>
    <t>ET-HOLDER</t>
  </si>
  <si>
    <t>INSPIRATORY TRAINER</t>
  </si>
  <si>
    <t>RESPIRATORY REHAB BO</t>
  </si>
  <si>
    <t>TRACH MASK</t>
  </si>
  <si>
    <t>EXTUBATION</t>
  </si>
  <si>
    <t>MDI INITIAL INST.</t>
  </si>
  <si>
    <t>MDI SPACER</t>
  </si>
  <si>
    <t>DISP AMBU BAG ADULT</t>
  </si>
  <si>
    <t>MDI TXS</t>
  </si>
  <si>
    <t>WEANING CRITERIA</t>
  </si>
  <si>
    <t>O2 MONITOR SRV BY O2</t>
  </si>
  <si>
    <t>PHYSICAL EVAL/REEVAL</t>
  </si>
  <si>
    <t>H M E</t>
  </si>
  <si>
    <t>STERICATH VENT SUCT</t>
  </si>
  <si>
    <t>SWIVEL ADAPTERS</t>
  </si>
  <si>
    <t>INTERBATION</t>
  </si>
  <si>
    <t>HEMODIALYSIS IP</t>
  </si>
  <si>
    <t>CONSULTATION FEE</t>
  </si>
  <si>
    <t>DECLOTTING</t>
  </si>
  <si>
    <t>HEMO TRAINING</t>
  </si>
  <si>
    <t>HEMO TREAT CANCE</t>
  </si>
  <si>
    <t>HEMOPERFUSION TE</t>
  </si>
  <si>
    <t>MACHINE SET UP</t>
  </si>
  <si>
    <t>MOBILE ACUTE HEM</t>
  </si>
  <si>
    <t>MBL ACUTE HEMO DLY</t>
  </si>
  <si>
    <t>MBL HEMO BICARBON</t>
  </si>
  <si>
    <t>MBL ACUTE HEMOPERF</t>
  </si>
  <si>
    <t>MACH S/UP DLY</t>
  </si>
  <si>
    <t>SET-UP CANCELLATION</t>
  </si>
  <si>
    <t>NURSING CONSULTA</t>
  </si>
  <si>
    <t>OVERTIME RATE 1HR</t>
  </si>
  <si>
    <t>MISC HEMODIALYSIS</t>
  </si>
  <si>
    <t>HEMODIALYSIS OP</t>
  </si>
  <si>
    <t>HOT/COLD THERAP-20MN</t>
  </si>
  <si>
    <t>TRACT MECHANICAL</t>
  </si>
  <si>
    <t>ELEC MSCLE STM 15MIN</t>
  </si>
  <si>
    <t>DIATHERMY-15 MIN</t>
  </si>
  <si>
    <t>RANGE OF MOTION/FLEX</t>
  </si>
  <si>
    <t>WHIRLPOOL THERAPY</t>
  </si>
  <si>
    <t>ULTRASOUND/PHONO</t>
  </si>
  <si>
    <t>CONTRAST BATH-15 MIN</t>
  </si>
  <si>
    <t>MASSAGE-15 MIN</t>
  </si>
  <si>
    <t>IONTOPHORESIS-15 MIN</t>
  </si>
  <si>
    <t>GAIT TRAINING</t>
  </si>
  <si>
    <t>FUNC ACTVTS 15MN</t>
  </si>
  <si>
    <t>NEUROMUSCULAR RE-ED</t>
  </si>
  <si>
    <t>THERAPEUTIC EXER/ROM</t>
  </si>
  <si>
    <t>TENS/EMS CHCK-20MIN</t>
  </si>
  <si>
    <t>INITIAL EVAL</t>
  </si>
  <si>
    <t>OVERHEAD TRAPEEZE</t>
  </si>
  <si>
    <t>ADDL AREA 15 MIN</t>
  </si>
  <si>
    <t>CK ORTH/PROS EST PT</t>
  </si>
  <si>
    <t>CPM SETUP WITH PADS</t>
  </si>
  <si>
    <t>CPM DAILY</t>
  </si>
  <si>
    <t>INTERIM RPT/RE EVAL</t>
  </si>
  <si>
    <t>ELECTRODE,E.S.</t>
  </si>
  <si>
    <t>PARAFFIN WAX BATH</t>
  </si>
  <si>
    <t>MOBILITY OUTSET</t>
  </si>
  <si>
    <t>OTHER PRIMARY GOAL</t>
  </si>
  <si>
    <t>SOFT TISSUE MOBIL</t>
  </si>
  <si>
    <t>MOBILITY GOAL</t>
  </si>
  <si>
    <t>MOBILIZATION/MAN THP</t>
  </si>
  <si>
    <t>OTHER SUBSEQUENT DC</t>
  </si>
  <si>
    <t>MOBILITY DISCHARGE</t>
  </si>
  <si>
    <t>THERABAND SET</t>
  </si>
  <si>
    <t>EXERCISE PGM HANDOUT</t>
  </si>
  <si>
    <t>CHANGING POS. GOAL</t>
  </si>
  <si>
    <t>BIOFEEDBACK TRAINING</t>
  </si>
  <si>
    <t>CHANGE POS. DISCHARGE</t>
  </si>
  <si>
    <t>CARRYING OBJ OUTSET</t>
  </si>
  <si>
    <t>CARRY OBJECTS GOAL</t>
  </si>
  <si>
    <t>CARRYING DISCHARGE</t>
  </si>
  <si>
    <t>IONTO ELECTRODE PADS</t>
  </si>
  <si>
    <t>DAILY TRAPEZE CHECK</t>
  </si>
  <si>
    <t>MANUAL THERAPY</t>
  </si>
  <si>
    <t>ELEC. STIM.-MANUAL</t>
  </si>
  <si>
    <t>THRPY ACT, DYANMIC</t>
  </si>
  <si>
    <t>HOT&amp;COLD THRPY 20 MN</t>
  </si>
  <si>
    <t>LUMBAR SUPPORT BELT</t>
  </si>
  <si>
    <t>ELECTRODE, E.S.</t>
  </si>
  <si>
    <t>PHYS MED PROCEDURE</t>
  </si>
  <si>
    <t>INTENSIVE OP 3 HOURS</t>
  </si>
  <si>
    <t>PART HOSP TX 6-8HRS</t>
  </si>
  <si>
    <t>DAY TREATMENT 4-5HRS</t>
  </si>
  <si>
    <t>CREBRO PROF NON-EVAS</t>
  </si>
  <si>
    <t>CEREB PROF DUPLX SCN</t>
  </si>
  <si>
    <t>ARTERIAL PRF NONINVA</t>
  </si>
  <si>
    <t>ARTERIAL PRO DUP SCN</t>
  </si>
  <si>
    <t>VENOUS PROF NON INV</t>
  </si>
  <si>
    <t>VENOUS PROF DUP SCAN</t>
  </si>
  <si>
    <t>ULTRASOUND ABDOMEN</t>
  </si>
  <si>
    <t>ABDOMEN-LIMITED</t>
  </si>
  <si>
    <t>VENOUS LOWER EXTMTY UNILATERAL</t>
  </si>
  <si>
    <t>ULTRASOUND GUIDED PARACENTESIS</t>
  </si>
  <si>
    <t>PREGNANCY&amp;FETAL</t>
  </si>
  <si>
    <t>ULTRASND-AORTA</t>
  </si>
  <si>
    <t>ULTRASND GALLBLA</t>
  </si>
  <si>
    <t>ULTRASND LIVER</t>
  </si>
  <si>
    <t>ULTRA-SOUND NECK</t>
  </si>
  <si>
    <t>ULTRASND-PANCREA</t>
  </si>
  <si>
    <t>ULTRASND PELVIS N/OB</t>
  </si>
  <si>
    <t>ULTRASND-SPLEEN</t>
  </si>
  <si>
    <t>ULTRASND-UR.BLAD</t>
  </si>
  <si>
    <t>ULTRASOUND UNLIS</t>
  </si>
  <si>
    <t>ULTRASOUND STAT CH</t>
  </si>
  <si>
    <t>ULTRASOUND-KIDNE</t>
  </si>
  <si>
    <t>ULTRA SOUND TESTES</t>
  </si>
  <si>
    <t>ULTRASOUND EXTREMITY SOFT TISS</t>
  </si>
  <si>
    <t>ULTRASOUND-THYRO</t>
  </si>
  <si>
    <t>LDASJFIOER</t>
  </si>
  <si>
    <t>ARTERIAL LWR EXTMTY BILATERAL</t>
  </si>
  <si>
    <t>VENOUS LOWER EXTREMITY BIL</t>
  </si>
  <si>
    <t>UPPER EXT ART</t>
  </si>
  <si>
    <t>VENOUS UPPER EXTRMTY BILATERAL</t>
  </si>
  <si>
    <t>CAROTID DOPPLER</t>
  </si>
  <si>
    <t>STAT</t>
  </si>
  <si>
    <t>INTERP CEREBRAL</t>
  </si>
  <si>
    <t>INTERP CAROTID</t>
  </si>
  <si>
    <t>INTERP OTHER</t>
  </si>
  <si>
    <t>ULTRASOUND BREAST UNILATERAL</t>
  </si>
  <si>
    <t>U/S BREAST BILAT</t>
  </si>
  <si>
    <t>UPPER EXT VENOUS UNILATERAL</t>
  </si>
  <si>
    <t>ULTRASOUND PROSTATE TRANSABDOM</t>
  </si>
  <si>
    <t>UPPER EXT ARTERIAL UNILATERAL</t>
  </si>
  <si>
    <t>ARTERIAL LOWER EXTMTY UNILATER</t>
  </si>
  <si>
    <t>TRANSVAGINAL ULTRASOUND</t>
  </si>
  <si>
    <t>ULTRASOUND AXILLA</t>
  </si>
  <si>
    <t>ULTRASOUND THORAX CHEST</t>
  </si>
  <si>
    <t>ULTRASOUND GUIDE THYROIDBIOPSY</t>
  </si>
  <si>
    <t>ULTRASOUND GUIDED BREAST BX</t>
  </si>
  <si>
    <t>COGNITIVE BEHAV. GRP</t>
  </si>
  <si>
    <t>ADDICTION BEHAV. GRP</t>
  </si>
  <si>
    <t>RELAXATION TRAINING</t>
  </si>
  <si>
    <t>SOCIAL SKILLS</t>
  </si>
  <si>
    <t>DISEASE PROCESS/NURS</t>
  </si>
  <si>
    <t>ROLE MODELING</t>
  </si>
  <si>
    <t>ASSERTION GRP</t>
  </si>
  <si>
    <t>STRESS MANAGEMENT</t>
  </si>
  <si>
    <t>U. R. REVIEW</t>
  </si>
  <si>
    <t>LEISURE TIME MGMT.</t>
  </si>
  <si>
    <t>PSYCH SOCIAL EVAL</t>
  </si>
  <si>
    <t>PART PROG ALL INC RT</t>
  </si>
  <si>
    <t>HEALTH &amp; FITNESS</t>
  </si>
  <si>
    <t>CREATIVE EXPRESSION</t>
  </si>
  <si>
    <t>INDEPENDENT SKILLS</t>
  </si>
  <si>
    <t>GOAL SETTING/REV.GRP</t>
  </si>
  <si>
    <t>AWARENESS GROUP</t>
  </si>
  <si>
    <t>COMMUNICATION SKILLS</t>
  </si>
  <si>
    <t>OP TELEMEDICINE GRP THERAPY</t>
  </si>
  <si>
    <t>OP GRP THERAPY PHD</t>
  </si>
  <si>
    <t>OP GRP THERAPY LCSW</t>
  </si>
  <si>
    <t>FAMILY CONFLICT RES.</t>
  </si>
  <si>
    <t>TRAUMATIC STRESS GRP</t>
  </si>
  <si>
    <t>GREIF ISSUES GROUP</t>
  </si>
  <si>
    <t>PAIN MGMT. GROUP</t>
  </si>
  <si>
    <t>SELF ESTEEM GROUP</t>
  </si>
  <si>
    <t>NUTRITIONAL COUNSELI</t>
  </si>
  <si>
    <t>NUTRITIONAL COUNSEL</t>
  </si>
  <si>
    <t>CT PELVIS COMP</t>
  </si>
  <si>
    <t>CT SCAN ABDOM_NON</t>
  </si>
  <si>
    <t>CT SCAN ABDOM WITH C</t>
  </si>
  <si>
    <t>CT SCAN OF MASTOIDS</t>
  </si>
  <si>
    <t>CT HIP W/O CONTRAST</t>
  </si>
  <si>
    <t>CT SCAN ABD COMP</t>
  </si>
  <si>
    <t>CT SCAN CHEST COMP</t>
  </si>
  <si>
    <t>CT SCAN CHEST CO</t>
  </si>
  <si>
    <t>CT SCAN CHEST NON</t>
  </si>
  <si>
    <t>CT SCAN FOOT</t>
  </si>
  <si>
    <t>CT SCAN HEAD COMP</t>
  </si>
  <si>
    <t>CT HEAD CON</t>
  </si>
  <si>
    <t>CT HEAD NON</t>
  </si>
  <si>
    <t>CT THORACIC SPINE W CONTRAST</t>
  </si>
  <si>
    <t>CT SCAN PELVIS_CON</t>
  </si>
  <si>
    <t>CT SCAN PELVIS 7_NON</t>
  </si>
  <si>
    <t>CT SCAN SPINE 70</t>
  </si>
  <si>
    <t>CT SCAN SELLA TURCIC</t>
  </si>
  <si>
    <t>CT NECK NON</t>
  </si>
  <si>
    <t>CT CERV SPINE W/CONT</t>
  </si>
  <si>
    <t>CT CERV SPINE NON</t>
  </si>
  <si>
    <t>CT THORACIC SP NON</t>
  </si>
  <si>
    <t>CT LUMBAR SPINE NON</t>
  </si>
  <si>
    <t>CT LUMBAR SPINE W CONTRAST</t>
  </si>
  <si>
    <t>CT LOWER EXT NON  CONTRAST</t>
  </si>
  <si>
    <t>CT GUIDED BIOPSY</t>
  </si>
  <si>
    <t>CT TEMPORAL MAN CON</t>
  </si>
  <si>
    <t>CT SCAN MANDIBLE NON</t>
  </si>
  <si>
    <t>CT STAT CHG</t>
  </si>
  <si>
    <t>CT WRIST WO CONT</t>
  </si>
  <si>
    <t>CT GUIDANCE BIOPSY</t>
  </si>
  <si>
    <t>CT FORARM WITHOUT CONTRAST</t>
  </si>
  <si>
    <t>CT SCAN FACIAL BONES</t>
  </si>
  <si>
    <t>CT ANKLE</t>
  </si>
  <si>
    <t>CT UPPER EXT WO CONTRAST</t>
  </si>
  <si>
    <t>CT SCOUT VW CANCEL</t>
  </si>
  <si>
    <t>CT SINUS NON</t>
  </si>
  <si>
    <t>CT SHOULDER W/O CONTRAST</t>
  </si>
  <si>
    <t>CT LOWER LEG WITHOUT CONTRAST</t>
  </si>
  <si>
    <t>CT KNEE</t>
  </si>
  <si>
    <t>CT NECK W/WO CONTRAST</t>
  </si>
  <si>
    <t>CT NECK W CONTRAST</t>
  </si>
  <si>
    <t>CT FEMUR</t>
  </si>
  <si>
    <t>TELEMETRY IP L/C</t>
  </si>
  <si>
    <t>TELEMETRY - DAILY</t>
  </si>
  <si>
    <t>TELEMETRY SET-UP</t>
  </si>
  <si>
    <t>2-D ECHOCARDIOGRAM</t>
  </si>
  <si>
    <t>ECHO WITH DOPPLER</t>
  </si>
  <si>
    <t>ECHOENCEPHALOGRAM</t>
  </si>
  <si>
    <t>MRI ABDOMEN</t>
  </si>
  <si>
    <t>BRAIN (MRI)</t>
  </si>
  <si>
    <t>MRI CHEST</t>
  </si>
  <si>
    <t>ORBITS, SINUSES (MRI</t>
  </si>
  <si>
    <t>MRI PELVIS</t>
  </si>
  <si>
    <t>SCOUT VIEW (MRI)</t>
  </si>
  <si>
    <t>SPINE (MRI)_1ST AREA</t>
  </si>
  <si>
    <t>MRI UPPER EXTREMITY JOINT</t>
  </si>
  <si>
    <t>MRI PAROTID GLAND</t>
  </si>
  <si>
    <t>GADOLINIUM INJ</t>
  </si>
  <si>
    <t>MRI UPPER EXTREMITY</t>
  </si>
  <si>
    <t>1ST AREA (MRI)</t>
  </si>
  <si>
    <t>2ND AREA (75%) (MRI)</t>
  </si>
  <si>
    <t>MRI BRAIN NON CONTRAST</t>
  </si>
  <si>
    <t>MRI LOWER EXTREMITY JOINT</t>
  </si>
  <si>
    <t>MRI LUMBAR SPINE</t>
  </si>
  <si>
    <t>MRI ORBITS W/O CONTRAST</t>
  </si>
  <si>
    <t>MRI THORACIC SPINE</t>
  </si>
  <si>
    <t>MRI SINUSES W/O CONTRAST</t>
  </si>
  <si>
    <t>MRA BRAIN W/O CONTRAST</t>
  </si>
  <si>
    <t>SWALLOW EVAL 15 MIN</t>
  </si>
  <si>
    <t>SWALLOW VIDEO 15 MIN</t>
  </si>
  <si>
    <t>EVAL SPEECH-15 MIN.</t>
  </si>
  <si>
    <t>SPEECH IND TX-15 MIN</t>
  </si>
  <si>
    <t>O.T. TREATMENT 1/4HR</t>
  </si>
  <si>
    <t>OT EVAL</t>
  </si>
  <si>
    <t>OT ADL/SELF/FUNC TRN</t>
  </si>
  <si>
    <t>OT COGNITIVE TRAING</t>
  </si>
  <si>
    <t>OT EXER ACT/UE 15MIN</t>
  </si>
  <si>
    <t>OT PT/CAREGIVER TRNG</t>
  </si>
  <si>
    <t>VENIPUNCTURE PRP</t>
  </si>
  <si>
    <t>EXTENDED C-ARM/MIN</t>
  </si>
  <si>
    <t>FEMUR (THIGH)1</t>
  </si>
  <si>
    <t>HAND COMPLETE</t>
  </si>
  <si>
    <t>HAND LTD (1V)</t>
  </si>
  <si>
    <t>HIP INFANT</t>
  </si>
  <si>
    <t>HUMERUS + 1 JOINT</t>
  </si>
  <si>
    <t>INFANT WHOLE BODY</t>
  </si>
  <si>
    <t>INTERNAL AUCITOR</t>
  </si>
  <si>
    <t>IVP</t>
  </si>
  <si>
    <t>IVP HYPERTENSIVE</t>
  </si>
  <si>
    <t>LOWER EXT INFANAT</t>
  </si>
  <si>
    <t>MANDIBLE COMPLETE</t>
  </si>
  <si>
    <t>MASTOIDS COMPLETE</t>
  </si>
  <si>
    <t>SHOULDER COMPLETE</t>
  </si>
  <si>
    <t>SMALL BOWEL SERIES</t>
  </si>
  <si>
    <t>SPINE CERV 4 VIEWS</t>
  </si>
  <si>
    <t>SPINE CERV 5 VIEW</t>
  </si>
  <si>
    <t>SPINE CERV 7 VIEW</t>
  </si>
  <si>
    <t>SPINE ENTIRE STUDY</t>
  </si>
  <si>
    <t>SPINE THORACO LUM</t>
  </si>
  <si>
    <t>TIBIA &amp; FIBULA + 1V</t>
  </si>
  <si>
    <t>UPPER GI RECHECK</t>
  </si>
  <si>
    <t>UPPER GI SMALL B</t>
  </si>
  <si>
    <t>URETROGRAM</t>
  </si>
  <si>
    <t>SOCIAL EVALUATION</t>
  </si>
  <si>
    <t>CDM#</t>
  </si>
  <si>
    <t>Price</t>
  </si>
  <si>
    <t>NRV</t>
  </si>
  <si>
    <t>CPT</t>
  </si>
  <si>
    <t>Hospital Name:  WEST COVINA MEDICAL CENTER</t>
  </si>
  <si>
    <t>OSHPD Facility No: 106190857</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</si>
  <si>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</si>
  <si>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</si>
  <si>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</si>
  <si>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</si>
  <si>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Outpatient Clinic</t>
  </si>
  <si>
    <t>G0463</t>
  </si>
  <si>
    <t>Laboratory &amp; Pathology Services (CPT Codes 80047-89398)</t>
  </si>
  <si>
    <t>Basic Metabolic Panel</t>
  </si>
  <si>
    <t>Coronary Lipid Panel</t>
  </si>
  <si>
    <t>Complete Blood Count, with differential WBC, automated</t>
  </si>
  <si>
    <t>Comprehensive Metabolic Panel</t>
  </si>
  <si>
    <t>CK Total</t>
  </si>
  <si>
    <t>CKMB Fraction</t>
  </si>
  <si>
    <t>Cult Urine</t>
  </si>
  <si>
    <t>Troponin, Quantitative</t>
  </si>
  <si>
    <t>Hepatitis B-DNA</t>
  </si>
  <si>
    <t>Urinalysis, with microscopy</t>
  </si>
  <si>
    <t>Radiology Services  (CPT Codes 70010-79999)</t>
  </si>
  <si>
    <t xml:space="preserve">  Chest Xray 1 view</t>
  </si>
  <si>
    <t>CT Scan Pelvis Comp</t>
  </si>
  <si>
    <t>Ct Scan Abdomen w/ contrast</t>
  </si>
  <si>
    <t>MRI, Head or Brain, without contrast, followed by contrast</t>
  </si>
  <si>
    <t>MRI Brain w/ Contrast</t>
  </si>
  <si>
    <t>Ultrasound, OB, Biophysical Profile</t>
  </si>
  <si>
    <t>X-Ray, Chest, two views</t>
  </si>
  <si>
    <t>Medicine Services  (CPT Codes 90281-99607)</t>
  </si>
  <si>
    <t>M Mode Echocardiogra</t>
  </si>
  <si>
    <t xml:space="preserve">  EKG Monitor</t>
  </si>
  <si>
    <t>Surgery Services  (CPT Codes 10021-69990)</t>
  </si>
  <si>
    <t>Arthroscopy, Shoulder, Surgical; w/Rotator Cuff Repair</t>
  </si>
  <si>
    <t>Total Knee</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</si>
  <si>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</si>
  <si>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</si>
  <si>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</si>
  <si>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</si>
  <si>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</si>
  <si>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</si>
  <si>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</si>
  <si>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</si>
  <si>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</si>
  <si>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</si>
  <si>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</si>
  <si>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</si>
  <si>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West Covina Medical Center</t>
  </si>
  <si>
    <t>Previous Year Gross Revenue</t>
  </si>
  <si>
    <t>Current Year Gross Revenue</t>
  </si>
  <si>
    <t>% Change</t>
  </si>
  <si>
    <t>Effective Date of Charges: 2023</t>
  </si>
  <si>
    <t>This change is due to low census</t>
  </si>
  <si>
    <t>Effective Date of Charges: June 1, 2023</t>
  </si>
  <si>
    <t>Knee Arthroscopy</t>
  </si>
  <si>
    <t>Fixation of Knee Joint</t>
  </si>
  <si>
    <t>Nasal / Sinus Endoscopy</t>
  </si>
  <si>
    <t>Revision of Ankle Joint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</si>
</sst>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quot;$&quot;#,##0.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sz val="11"/>
      <color theme="1"/>
      <name val="Arial"/>
      <family val="2"/>
    </font>
    <font>
      <sz val="12"/>
      <color theme="1"/>
      <name val="Calibri"/>
      <family val="2"/>
      <scheme val="minor"/>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44" fontId="27" fillId="0" borderId="0" applyFont="0" applyFill="0" applyBorder="0" applyAlignment="0" applyProtection="0"/>
  </cellStyleXfs>
  <cellXfs count="80">
    <xf numFmtId="0" fontId="0" fillId="0" borderId="0" xfId="0"/>
    <xf numFmtId="4" fontId="0" fillId="0" borderId="0" xfId="0" applyNumberFormat="1"/>
    <xf numFmtId="0" fontId="18" fillId="0" borderId="10" xfId="0" applyFont="1" applyBorder="1" applyAlignment="1">
      <alignment horizontal="left"/>
    </xf>
    <xf numFmtId="0" fontId="19" fillId="0" borderId="11" xfId="0" applyFont="1" applyBorder="1" applyAlignment="1">
      <alignment vertical="center" wrapText="1"/>
    </xf>
    <xf numFmtId="0" fontId="19" fillId="0" borderId="12" xfId="0" applyFont="1" applyBorder="1"/>
    <xf numFmtId="0" fontId="19" fillId="0" borderId="0" xfId="0" applyFont="1"/>
    <xf numFmtId="0" fontId="18" fillId="0" borderId="13" xfId="0" applyFont="1" applyBorder="1" applyAlignment="1">
      <alignment horizontal="left"/>
    </xf>
    <xf numFmtId="0" fontId="19" fillId="0" borderId="0" xfId="0" applyFont="1" applyBorder="1" applyAlignment="1">
      <alignment vertical="center" wrapText="1"/>
    </xf>
    <xf numFmtId="0" fontId="19" fillId="0" borderId="14" xfId="0" applyFont="1" applyBorder="1"/>
    <xf numFmtId="0" fontId="18" fillId="0" borderId="15" xfId="0" applyFont="1" applyBorder="1" applyAlignment="1">
      <alignment horizontal="left"/>
    </xf>
    <xf numFmtId="0" fontId="19" fillId="0" borderId="16" xfId="0" applyFont="1" applyBorder="1" applyAlignment="1">
      <alignment vertical="center" wrapText="1"/>
    </xf>
    <xf numFmtId="0" fontId="19" fillId="0" borderId="17" xfId="0" applyFont="1" applyBorder="1"/>
    <xf numFmtId="0" fontId="19" fillId="0" borderId="18" xfId="0" applyFont="1" applyBorder="1" applyAlignment="1">
      <alignment horizontal="left" wrapText="1"/>
    </xf>
    <xf numFmtId="0" fontId="19" fillId="0" borderId="19" xfId="0" applyFont="1" applyBorder="1" applyAlignment="1">
      <alignment horizontal="left" wrapText="1"/>
    </xf>
    <xf numFmtId="0" fontId="19" fillId="0" borderId="20" xfId="0" applyFont="1" applyBorder="1" applyAlignment="1">
      <alignment horizontal="left" wrapText="1"/>
    </xf>
    <xf numFmtId="0" fontId="18" fillId="33" borderId="21" xfId="0" applyFont="1" applyFill="1" applyBorder="1"/>
    <xf numFmtId="0" fontId="18" fillId="33" borderId="21" xfId="0" applyFont="1" applyFill="1" applyBorder="1" applyAlignment="1">
      <alignment horizontal="center" vertical="center" wrapText="1"/>
    </xf>
    <xf numFmtId="0" fontId="18" fillId="33" borderId="20" xfId="0" applyFont="1" applyFill="1" applyBorder="1" applyAlignment="1">
      <alignment horizontal="center"/>
    </xf>
    <xf numFmtId="17" fontId="19" fillId="0" borderId="22" xfId="0" applyNumberFormat="1" applyFont="1" applyBorder="1" applyAlignment="1">
      <alignment horizontal="left" indent="1"/>
    </xf>
    <xf numFmtId="0" fontId="19" fillId="0" borderId="22" xfId="0" applyFont="1" applyFill="1" applyBorder="1" applyAlignment="1">
      <alignment horizontal="center" vertical="center" wrapText="1"/>
    </xf>
    <xf numFmtId="44" fontId="20" fillId="34" borderId="21" xfId="42" applyFont="1" applyFill="1" applyBorder="1"/>
    <xf numFmtId="0" fontId="19" fillId="0" borderId="0" xfId="0" applyFont="1" applyAlignment="1"/>
    <xf numFmtId="0" fontId="18" fillId="33" borderId="21" xfId="0" applyFont="1" applyFill="1" applyBorder="1" applyAlignment="1"/>
    <xf numFmtId="17" fontId="19" fillId="0" borderId="22" xfId="0" applyNumberFormat="1" applyFont="1" applyFill="1" applyBorder="1" applyAlignment="1">
      <alignment horizontal="left" indent="1"/>
    </xf>
    <xf numFmtId="0" fontId="19" fillId="0" borderId="23" xfId="0" applyFont="1" applyFill="1" applyBorder="1" applyAlignment="1">
      <alignment horizontal="center" vertical="center" wrapText="1"/>
    </xf>
    <xf numFmtId="17" fontId="19" fillId="0" borderId="24" xfId="0" applyNumberFormat="1" applyFont="1" applyFill="1" applyBorder="1" applyAlignment="1">
      <alignment horizontal="left" indent="1"/>
    </xf>
    <xf numFmtId="0" fontId="19" fillId="0" borderId="25" xfId="0" applyFont="1" applyFill="1" applyBorder="1" applyAlignment="1">
      <alignment horizontal="center" vertical="center" wrapText="1"/>
    </xf>
    <xf numFmtId="44" fontId="19" fillId="34" borderId="21" xfId="42" applyFont="1" applyFill="1" applyBorder="1" applyAlignment="1"/>
    <xf numFmtId="0" fontId="19" fillId="0" borderId="24" xfId="0" applyFont="1" applyFill="1" applyBorder="1" applyAlignment="1">
      <alignment horizontal="left" indent="1"/>
    </xf>
    <xf numFmtId="0" fontId="20" fillId="0" borderId="0" xfId="0" applyFont="1" applyAlignment="1">
      <alignment horizontal="center"/>
    </xf>
    <xf numFmtId="0" fontId="19" fillId="0" borderId="24" xfId="0" applyFont="1" applyFill="1" applyBorder="1" applyAlignment="1">
      <alignment horizontal="left" wrapText="1" indent="1"/>
    </xf>
    <xf numFmtId="0" fontId="19" fillId="0" borderId="25" xfId="0" applyFont="1" applyFill="1" applyBorder="1" applyAlignment="1">
      <alignment horizontal="center" wrapText="1"/>
    </xf>
    <xf numFmtId="17" fontId="18" fillId="33" borderId="21" xfId="0" applyNumberFormat="1" applyFont="1" applyFill="1" applyBorder="1" applyAlignment="1"/>
    <xf numFmtId="17" fontId="19" fillId="34" borderId="26" xfId="0" applyNumberFormat="1" applyFont="1" applyFill="1" applyBorder="1" applyAlignment="1"/>
    <xf numFmtId="0" fontId="19" fillId="34" borderId="26" xfId="0" applyFont="1" applyFill="1" applyBorder="1" applyAlignment="1">
      <alignment horizontal="center" vertical="center" wrapText="1"/>
    </xf>
    <xf numFmtId="44" fontId="19" fillId="34" borderId="21" xfId="42" applyFont="1" applyFill="1" applyBorder="1" applyAlignment="1">
      <alignment horizontal="center"/>
    </xf>
    <xf numFmtId="0" fontId="19" fillId="34" borderId="0" xfId="0" applyFont="1" applyFill="1" applyAlignment="1"/>
    <xf numFmtId="0" fontId="19" fillId="0" borderId="24" xfId="0" applyFont="1" applyFill="1" applyBorder="1" applyAlignment="1">
      <alignment horizontal="center" vertical="center" wrapText="1"/>
    </xf>
    <xf numFmtId="44" fontId="21" fillId="34" borderId="21" xfId="42" applyFont="1" applyFill="1" applyBorder="1"/>
    <xf numFmtId="17" fontId="19" fillId="0" borderId="24" xfId="0" applyNumberFormat="1" applyFont="1" applyFill="1" applyBorder="1" applyAlignment="1">
      <alignment horizontal="left" wrapText="1" indent="1"/>
    </xf>
    <xf numFmtId="164" fontId="18" fillId="33" borderId="20" xfId="0" applyNumberFormat="1" applyFont="1" applyFill="1" applyBorder="1" applyAlignment="1">
      <alignment horizontal="center"/>
    </xf>
    <xf numFmtId="0" fontId="19" fillId="0" borderId="22" xfId="0" applyFont="1" applyFill="1" applyBorder="1" applyAlignment="1">
      <alignment horizontal="left" indent="1"/>
    </xf>
    <xf numFmtId="0" fontId="21" fillId="0" borderId="0" xfId="0" applyFont="1" applyFill="1"/>
    <xf numFmtId="0" fontId="19" fillId="0" borderId="22" xfId="0" applyFont="1" applyFill="1" applyBorder="1" applyAlignment="1">
      <alignment horizontal="center" wrapText="1"/>
    </xf>
    <xf numFmtId="44" fontId="19" fillId="0" borderId="21" xfId="42" applyFont="1" applyBorder="1" applyAlignment="1"/>
    <xf numFmtId="44" fontId="19" fillId="0" borderId="0" xfId="0" applyNumberFormat="1" applyFont="1" applyAlignment="1"/>
    <xf numFmtId="0" fontId="19" fillId="0" borderId="24" xfId="0" applyFont="1" applyFill="1" applyBorder="1" applyAlignment="1">
      <alignment horizontal="center" wrapText="1"/>
    </xf>
    <xf numFmtId="44" fontId="19" fillId="0" borderId="21" xfId="42" applyNumberFormat="1" applyFont="1" applyFill="1" applyBorder="1" applyAlignment="1"/>
    <xf numFmtId="0" fontId="19" fillId="0" borderId="0" xfId="0" applyFont="1" applyFill="1" applyAlignment="1"/>
    <xf numFmtId="0" fontId="19" fillId="0" borderId="26" xfId="0" applyFont="1" applyFill="1" applyBorder="1" applyAlignment="1">
      <alignment horizontal="left" indent="1"/>
    </xf>
    <xf numFmtId="0" fontId="19" fillId="0" borderId="26" xfId="0" applyFont="1" applyFill="1" applyBorder="1" applyAlignment="1">
      <alignment horizontal="center" wrapText="1"/>
    </xf>
    <xf numFmtId="44" fontId="19" fillId="0" borderId="20" xfId="42" applyFont="1" applyBorder="1" applyAlignment="1"/>
    <xf numFmtId="0" fontId="18" fillId="0" borderId="27" xfId="0" applyFont="1" applyFill="1" applyBorder="1" applyAlignment="1">
      <alignment horizontal="left" indent="1"/>
    </xf>
    <xf numFmtId="0" fontId="19" fillId="0" borderId="28" xfId="0" applyFont="1" applyBorder="1"/>
    <xf numFmtId="0" fontId="19" fillId="0" borderId="29" xfId="0" applyFont="1" applyBorder="1"/>
    <xf numFmtId="0" fontId="22" fillId="0" borderId="13" xfId="0" applyFont="1" applyBorder="1"/>
    <xf numFmtId="0" fontId="23" fillId="0" borderId="0" xfId="0" applyFont="1" applyBorder="1" applyAlignment="1">
      <alignment vertical="center" wrapText="1"/>
    </xf>
    <xf numFmtId="0" fontId="19" fillId="0" borderId="30" xfId="0" applyFont="1" applyBorder="1"/>
    <xf numFmtId="0" fontId="24" fillId="0" borderId="13" xfId="0" applyFont="1" applyBorder="1" applyAlignment="1">
      <alignment horizontal="left"/>
    </xf>
    <xf numFmtId="0" fontId="24" fillId="0" borderId="0" xfId="0" applyFont="1" applyBorder="1"/>
    <xf numFmtId="164" fontId="24" fillId="0" borderId="14" xfId="0" applyNumberFormat="1" applyFont="1" applyBorder="1"/>
    <xf numFmtId="0" fontId="24" fillId="0" borderId="0" xfId="0" applyFont="1" applyBorder="1" applyAlignment="1">
      <alignment vertical="center" wrapText="1"/>
    </xf>
    <xf numFmtId="0" fontId="24" fillId="0" borderId="14" xfId="0" applyFont="1" applyBorder="1"/>
    <xf numFmtId="0" fontId="24" fillId="0" borderId="0" xfId="0" applyFont="1" applyAlignment="1">
      <alignment vertical="center" wrapText="1"/>
    </xf>
    <xf numFmtId="0" fontId="24" fillId="0" borderId="0" xfId="0" applyNumberFormat="1" applyFont="1" applyBorder="1" applyAlignment="1">
      <alignment vertical="center" wrapText="1"/>
    </xf>
    <xf numFmtId="3" fontId="24" fillId="0" borderId="14" xfId="0" applyNumberFormat="1" applyFont="1" applyBorder="1"/>
    <xf numFmtId="0" fontId="24" fillId="0" borderId="15" xfId="0" applyFont="1" applyBorder="1" applyAlignment="1">
      <alignment horizontal="left"/>
    </xf>
    <xf numFmtId="0" fontId="24" fillId="0" borderId="16" xfId="0" applyFont="1" applyBorder="1" applyAlignment="1">
      <alignment vertical="center" wrapText="1"/>
    </xf>
    <xf numFmtId="0" fontId="24" fillId="0" borderId="17" xfId="0" applyFont="1" applyBorder="1"/>
    <xf numFmtId="0" fontId="19" fillId="0" borderId="0" xfId="0" applyFont="1" applyBorder="1"/>
    <xf numFmtId="0" fontId="19" fillId="0" borderId="0" xfId="0" applyFont="1" applyAlignment="1">
      <alignment vertical="center" wrapText="1"/>
    </xf>
    <xf numFmtId="0" fontId="16" fillId="0" borderId="21" xfId="0" applyFont="1" applyBorder="1"/>
    <xf numFmtId="0" fontId="16" fillId="0" borderId="21" xfId="0" applyFont="1" applyBorder="1" applyAlignment="1">
      <alignment horizontal="center"/>
    </xf>
    <xf numFmtId="0" fontId="16" fillId="0" borderId="0" xfId="0" applyFont="1"/>
    <xf numFmtId="0" fontId="16" fillId="0" borderId="21" xfId="0" applyFont="1" applyBorder="1" applyAlignment="1">
      <alignment vertical="center"/>
    </xf>
    <xf numFmtId="0" fontId="16" fillId="0" borderId="21" xfId="0" applyFont="1" applyBorder="1" applyAlignment="1">
      <alignment horizontal="center" vertical="center"/>
    </xf>
    <xf numFmtId="0" fontId="0" fillId="0" borderId="0" xfId="0" applyAlignment="1">
      <alignment vertical="center"/>
    </xf>
    <xf numFmtId="6" fontId="0" fillId="0" borderId="21" xfId="0" applyNumberFormat="1" applyBorder="1" applyAlignment="1">
      <alignment horizontal="center"/>
    </xf>
    <xf numFmtId="10" fontId="0" fillId="0" borderId="21" xfId="0" applyNumberFormat="1" applyBorder="1" applyAlignment="1">
      <alignment horizontal="center"/>
    </xf>
    <xf numFmtId="44" fontId="27" fillId="0" borderId="0" xfId="43"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Currency 9" xfId="4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04"/>
  <sheetViews>
    <sheetView tabSelected="1" workbookViewId="0">
      <selection activeCell="A2" sqref="A2"/>
    </sheetView>
  </sheetViews>
  <sheetFormatPr defaultRowHeight="15" x14ac:dyDescent="0.25"/>
  <cols>
    <col min="1" max="1" width="11.7109375" customWidth="1"/>
    <col min="2" max="2" width="23.7109375" customWidth="1"/>
  </cols>
  <sheetData>
    <row r="1" spans="1:5" x14ac:dyDescent="0.25">
      <c r="A1" t="s">
        <v>4832</v>
      </c>
      <c r="B1" t="s">
        <v>0</v>
      </c>
      <c r="C1" t="s">
        <v>4833</v>
      </c>
      <c r="D1" t="s">
        <v>4834</v>
      </c>
      <c r="E1" t="s">
        <v>4835</v>
      </c>
    </row>
    <row r="2" spans="1:5" x14ac:dyDescent="0.25">
      <c r="A2" t="str">
        <f>"40205403"</f>
        <v>40205403</v>
      </c>
      <c r="B2" t="s">
        <v>1</v>
      </c>
      <c r="C2">
        <v>220</v>
      </c>
      <c r="D2" t="str">
        <f>"360"</f>
        <v>360</v>
      </c>
      <c r="E2" t="str">
        <f>"99199"</f>
        <v>99199</v>
      </c>
    </row>
    <row r="3" spans="1:5" x14ac:dyDescent="0.25">
      <c r="A3" t="str">
        <f>"30810022"</f>
        <v>30810022</v>
      </c>
      <c r="B3" t="s">
        <v>2</v>
      </c>
      <c r="C3" s="1">
        <v>2117.5</v>
      </c>
      <c r="D3" t="str">
        <f>"121"</f>
        <v>121</v>
      </c>
    </row>
    <row r="4" spans="1:5" x14ac:dyDescent="0.25">
      <c r="A4" t="str">
        <f>"33611005  "</f>
        <v xml:space="preserve">33611005  </v>
      </c>
      <c r="B4" t="s">
        <v>3</v>
      </c>
      <c r="C4">
        <v>275</v>
      </c>
      <c r="D4" t="str">
        <f>"762"</f>
        <v>762</v>
      </c>
      <c r="E4" t="str">
        <f>"G0378"</f>
        <v>G0378</v>
      </c>
    </row>
    <row r="5" spans="1:5" x14ac:dyDescent="0.25">
      <c r="A5" t="str">
        <f>"33611013  "</f>
        <v xml:space="preserve">33611013  </v>
      </c>
      <c r="B5" t="s">
        <v>4</v>
      </c>
      <c r="C5" s="1">
        <v>2750</v>
      </c>
      <c r="D5" t="str">
        <f>"360"</f>
        <v>360</v>
      </c>
      <c r="E5" t="str">
        <f>"Z7514"</f>
        <v>Z7514</v>
      </c>
    </row>
    <row r="6" spans="1:5" x14ac:dyDescent="0.25">
      <c r="A6" t="str">
        <f>"33611013  "</f>
        <v xml:space="preserve">33611013  </v>
      </c>
      <c r="B6" t="s">
        <v>4</v>
      </c>
      <c r="C6" s="1">
        <v>2750</v>
      </c>
      <c r="D6" t="str">
        <f>"360"</f>
        <v>360</v>
      </c>
    </row>
    <row r="7" spans="1:5" x14ac:dyDescent="0.25">
      <c r="A7" t="str">
        <f>"33611088  "</f>
        <v xml:space="preserve">33611088  </v>
      </c>
      <c r="B7" t="s">
        <v>5</v>
      </c>
      <c r="C7" s="1">
        <v>1320</v>
      </c>
      <c r="D7" t="str">
        <f>"762"</f>
        <v>762</v>
      </c>
      <c r="E7" t="str">
        <f>"G0379"</f>
        <v>G0379</v>
      </c>
    </row>
    <row r="8" spans="1:5" x14ac:dyDescent="0.25">
      <c r="A8" t="str">
        <f>"33620006  "</f>
        <v xml:space="preserve">33620006  </v>
      </c>
      <c r="B8" t="s">
        <v>6</v>
      </c>
      <c r="C8" s="1">
        <v>2750</v>
      </c>
      <c r="D8" t="str">
        <f>"761"</f>
        <v>761</v>
      </c>
    </row>
    <row r="9" spans="1:5" x14ac:dyDescent="0.25">
      <c r="A9" t="str">
        <f>"34200006  "</f>
        <v xml:space="preserve">34200006  </v>
      </c>
      <c r="B9" t="s">
        <v>7</v>
      </c>
      <c r="C9" s="1">
        <v>3300</v>
      </c>
      <c r="D9" t="str">
        <f>"130"</f>
        <v>130</v>
      </c>
    </row>
    <row r="10" spans="1:5" x14ac:dyDescent="0.25">
      <c r="A10" t="str">
        <f>"34200014  "</f>
        <v xml:space="preserve">34200014  </v>
      </c>
      <c r="B10" t="s">
        <v>7</v>
      </c>
      <c r="C10" s="1">
        <v>3300</v>
      </c>
      <c r="D10" t="str">
        <f>"120"</f>
        <v>120</v>
      </c>
    </row>
    <row r="11" spans="1:5" x14ac:dyDescent="0.25">
      <c r="A11" t="str">
        <f>"35600014  "</f>
        <v xml:space="preserve">35600014  </v>
      </c>
      <c r="B11" t="s">
        <v>8</v>
      </c>
      <c r="C11" s="1">
        <v>1765.5</v>
      </c>
      <c r="D11" t="str">
        <f>"192"</f>
        <v>192</v>
      </c>
    </row>
    <row r="12" spans="1:5" x14ac:dyDescent="0.25">
      <c r="A12" t="str">
        <f>"35700012  "</f>
        <v xml:space="preserve">35700012  </v>
      </c>
      <c r="B12" t="s">
        <v>9</v>
      </c>
      <c r="C12">
        <v>0</v>
      </c>
      <c r="D12" t="str">
        <f>"193"</f>
        <v>193</v>
      </c>
    </row>
    <row r="13" spans="1:5" x14ac:dyDescent="0.25">
      <c r="A13" t="str">
        <f>"35800119"</f>
        <v>35800119</v>
      </c>
      <c r="B13" t="s">
        <v>10</v>
      </c>
      <c r="C13">
        <v>0</v>
      </c>
      <c r="D13" t="str">
        <f>"193       "</f>
        <v xml:space="preserve">193       </v>
      </c>
    </row>
    <row r="14" spans="1:5" x14ac:dyDescent="0.25">
      <c r="A14" t="str">
        <f>"35800010  "</f>
        <v xml:space="preserve">35800010  </v>
      </c>
      <c r="B14" t="s">
        <v>11</v>
      </c>
      <c r="C14">
        <v>0</v>
      </c>
      <c r="D14" t="str">
        <f>"194"</f>
        <v>194</v>
      </c>
    </row>
    <row r="15" spans="1:5" x14ac:dyDescent="0.25">
      <c r="A15" t="str">
        <f>"40200040  "</f>
        <v xml:space="preserve">40200040  </v>
      </c>
      <c r="B15" t="s">
        <v>12</v>
      </c>
      <c r="C15">
        <v>860.2</v>
      </c>
      <c r="D15" t="str">
        <f>"272"</f>
        <v>272</v>
      </c>
    </row>
    <row r="16" spans="1:5" x14ac:dyDescent="0.25">
      <c r="A16" t="str">
        <f>"402000401"</f>
        <v>402000401</v>
      </c>
      <c r="B16" t="s">
        <v>13</v>
      </c>
      <c r="C16" s="1">
        <v>2860</v>
      </c>
      <c r="D16" t="str">
        <f>"920"</f>
        <v>920</v>
      </c>
      <c r="E16" t="str">
        <f>"95925"</f>
        <v>95925</v>
      </c>
    </row>
    <row r="17" spans="1:5" x14ac:dyDescent="0.25">
      <c r="A17" t="str">
        <f>"40200057  "</f>
        <v xml:space="preserve">40200057  </v>
      </c>
      <c r="B17" t="s">
        <v>14</v>
      </c>
      <c r="C17">
        <v>149.6</v>
      </c>
      <c r="D17" t="str">
        <f>"360"</f>
        <v>360</v>
      </c>
    </row>
    <row r="18" spans="1:5" x14ac:dyDescent="0.25">
      <c r="A18" t="str">
        <f>"40200156  "</f>
        <v xml:space="preserve">40200156  </v>
      </c>
      <c r="B18" t="s">
        <v>15</v>
      </c>
      <c r="C18">
        <v>105.6</v>
      </c>
      <c r="D18" t="str">
        <f>"360"</f>
        <v>360</v>
      </c>
    </row>
    <row r="19" spans="1:5" x14ac:dyDescent="0.25">
      <c r="A19" t="str">
        <f>"40200172  "</f>
        <v xml:space="preserve">40200172  </v>
      </c>
      <c r="B19" t="s">
        <v>16</v>
      </c>
      <c r="C19" s="1">
        <v>1080.2</v>
      </c>
      <c r="D19" t="str">
        <f>"272"</f>
        <v>272</v>
      </c>
    </row>
    <row r="20" spans="1:5" x14ac:dyDescent="0.25">
      <c r="A20" t="str">
        <f>"40200180  "</f>
        <v xml:space="preserve">40200180  </v>
      </c>
      <c r="B20" t="s">
        <v>17</v>
      </c>
      <c r="C20">
        <v>911.9</v>
      </c>
      <c r="D20" t="str">
        <f>"272"</f>
        <v>272</v>
      </c>
    </row>
    <row r="21" spans="1:5" x14ac:dyDescent="0.25">
      <c r="A21" t="str">
        <f>"40200198  "</f>
        <v xml:space="preserve">40200198  </v>
      </c>
      <c r="B21" t="s">
        <v>18</v>
      </c>
      <c r="C21">
        <v>911.9</v>
      </c>
      <c r="D21" t="str">
        <f>"272"</f>
        <v>272</v>
      </c>
    </row>
    <row r="22" spans="1:5" x14ac:dyDescent="0.25">
      <c r="A22" t="str">
        <f>"40200255"</f>
        <v>40200255</v>
      </c>
      <c r="B22" t="s">
        <v>19</v>
      </c>
      <c r="C22" s="1">
        <v>2200</v>
      </c>
      <c r="D22" t="str">
        <f>"360"</f>
        <v>360</v>
      </c>
    </row>
    <row r="23" spans="1:5" x14ac:dyDescent="0.25">
      <c r="A23" t="str">
        <f>"40200271  "</f>
        <v xml:space="preserve">40200271  </v>
      </c>
      <c r="B23" t="s">
        <v>20</v>
      </c>
      <c r="C23" s="1">
        <v>1080.2</v>
      </c>
      <c r="D23" t="str">
        <f>"272"</f>
        <v>272</v>
      </c>
    </row>
    <row r="24" spans="1:5" x14ac:dyDescent="0.25">
      <c r="A24" t="str">
        <f>"40200354  "</f>
        <v xml:space="preserve">40200354  </v>
      </c>
      <c r="B24" t="s">
        <v>21</v>
      </c>
      <c r="C24" s="1">
        <v>6461.4</v>
      </c>
      <c r="D24" t="str">
        <f>"272"</f>
        <v>272</v>
      </c>
    </row>
    <row r="25" spans="1:5" x14ac:dyDescent="0.25">
      <c r="A25" t="str">
        <f>"40200453  "</f>
        <v xml:space="preserve">40200453  </v>
      </c>
      <c r="B25" t="s">
        <v>22</v>
      </c>
      <c r="C25">
        <v>49.5</v>
      </c>
      <c r="D25" t="str">
        <f>"270"</f>
        <v>270</v>
      </c>
    </row>
    <row r="26" spans="1:5" x14ac:dyDescent="0.25">
      <c r="A26" t="str">
        <f>"40200461  "</f>
        <v xml:space="preserve">40200461  </v>
      </c>
      <c r="B26" t="s">
        <v>23</v>
      </c>
      <c r="C26">
        <v>112.2</v>
      </c>
      <c r="D26" t="str">
        <f>"730"</f>
        <v>730</v>
      </c>
      <c r="E26" t="str">
        <f>"93005"</f>
        <v>93005</v>
      </c>
    </row>
    <row r="27" spans="1:5" x14ac:dyDescent="0.25">
      <c r="A27" t="str">
        <f>"40200479  "</f>
        <v xml:space="preserve">40200479  </v>
      </c>
      <c r="B27" t="s">
        <v>24</v>
      </c>
      <c r="C27">
        <v>540.1</v>
      </c>
      <c r="D27" t="str">
        <f>"272"</f>
        <v>272</v>
      </c>
    </row>
    <row r="28" spans="1:5" x14ac:dyDescent="0.25">
      <c r="A28" t="str">
        <f>"40200487  "</f>
        <v xml:space="preserve">40200487  </v>
      </c>
      <c r="B28" t="s">
        <v>25</v>
      </c>
      <c r="C28">
        <v>645.70000000000005</v>
      </c>
      <c r="D28" t="str">
        <f>"272"</f>
        <v>272</v>
      </c>
    </row>
    <row r="29" spans="1:5" x14ac:dyDescent="0.25">
      <c r="A29" t="str">
        <f>"40200495  "</f>
        <v xml:space="preserve">40200495  </v>
      </c>
      <c r="B29" t="s">
        <v>26</v>
      </c>
      <c r="C29">
        <v>756.8</v>
      </c>
      <c r="D29" t="str">
        <f>"272"</f>
        <v>272</v>
      </c>
    </row>
    <row r="30" spans="1:5" x14ac:dyDescent="0.25">
      <c r="A30" t="str">
        <f>"40200503  "</f>
        <v xml:space="preserve">40200503  </v>
      </c>
      <c r="B30" t="s">
        <v>27</v>
      </c>
      <c r="C30">
        <v>292.60000000000002</v>
      </c>
      <c r="D30" t="str">
        <f>"360"</f>
        <v>360</v>
      </c>
    </row>
    <row r="31" spans="1:5" x14ac:dyDescent="0.25">
      <c r="A31" t="str">
        <f>"40200552  "</f>
        <v xml:space="preserve">40200552  </v>
      </c>
      <c r="B31" t="s">
        <v>28</v>
      </c>
      <c r="C31">
        <v>752.4</v>
      </c>
      <c r="D31" t="str">
        <f>"360"</f>
        <v>360</v>
      </c>
    </row>
    <row r="32" spans="1:5" x14ac:dyDescent="0.25">
      <c r="A32" t="str">
        <f>"40200602  "</f>
        <v xml:space="preserve">40200602  </v>
      </c>
      <c r="B32" t="s">
        <v>29</v>
      </c>
      <c r="C32">
        <v>220</v>
      </c>
      <c r="D32" t="str">
        <f>"270"</f>
        <v>270</v>
      </c>
    </row>
    <row r="33" spans="1:4" x14ac:dyDescent="0.25">
      <c r="A33" t="str">
        <f>"40200610  "</f>
        <v xml:space="preserve">40200610  </v>
      </c>
      <c r="B33" t="s">
        <v>30</v>
      </c>
      <c r="C33" s="1">
        <v>1100</v>
      </c>
      <c r="D33" t="str">
        <f>"272"</f>
        <v>272</v>
      </c>
    </row>
    <row r="34" spans="1:4" x14ac:dyDescent="0.25">
      <c r="A34" t="str">
        <f>"40200990  "</f>
        <v xml:space="preserve">40200990  </v>
      </c>
      <c r="B34" t="s">
        <v>31</v>
      </c>
      <c r="C34">
        <v>748</v>
      </c>
      <c r="D34" t="str">
        <f t="shared" ref="D34:D65" si="0">"360"</f>
        <v>360</v>
      </c>
    </row>
    <row r="35" spans="1:4" x14ac:dyDescent="0.25">
      <c r="A35" t="str">
        <f>"40201006  "</f>
        <v xml:space="preserve">40201006  </v>
      </c>
      <c r="B35" t="s">
        <v>32</v>
      </c>
      <c r="C35" s="1">
        <v>4554</v>
      </c>
      <c r="D35" t="str">
        <f t="shared" si="0"/>
        <v>360</v>
      </c>
    </row>
    <row r="36" spans="1:4" x14ac:dyDescent="0.25">
      <c r="A36" t="str">
        <f>"40201014  "</f>
        <v xml:space="preserve">40201014  </v>
      </c>
      <c r="B36" t="s">
        <v>33</v>
      </c>
      <c r="C36" s="1">
        <v>5066.6000000000004</v>
      </c>
      <c r="D36" t="str">
        <f t="shared" si="0"/>
        <v>360</v>
      </c>
    </row>
    <row r="37" spans="1:4" x14ac:dyDescent="0.25">
      <c r="A37" t="str">
        <f>"40201022  "</f>
        <v xml:space="preserve">40201022  </v>
      </c>
      <c r="B37" t="s">
        <v>34</v>
      </c>
      <c r="C37" s="1">
        <v>6047.8</v>
      </c>
      <c r="D37" t="str">
        <f t="shared" si="0"/>
        <v>360</v>
      </c>
    </row>
    <row r="38" spans="1:4" x14ac:dyDescent="0.25">
      <c r="A38" t="str">
        <f>"40201030  "</f>
        <v xml:space="preserve">40201030  </v>
      </c>
      <c r="B38" t="s">
        <v>35</v>
      </c>
      <c r="C38" s="1">
        <v>6791.4</v>
      </c>
      <c r="D38" t="str">
        <f t="shared" si="0"/>
        <v>360</v>
      </c>
    </row>
    <row r="39" spans="1:4" x14ac:dyDescent="0.25">
      <c r="A39" t="str">
        <f>"40201048  "</f>
        <v xml:space="preserve">40201048  </v>
      </c>
      <c r="B39" t="s">
        <v>36</v>
      </c>
      <c r="C39" s="1">
        <v>7543.8</v>
      </c>
      <c r="D39" t="str">
        <f t="shared" si="0"/>
        <v>360</v>
      </c>
    </row>
    <row r="40" spans="1:4" x14ac:dyDescent="0.25">
      <c r="A40" t="str">
        <f>"40201055  "</f>
        <v xml:space="preserve">40201055  </v>
      </c>
      <c r="B40" t="s">
        <v>37</v>
      </c>
      <c r="C40" s="1">
        <v>8289.6</v>
      </c>
      <c r="D40" t="str">
        <f t="shared" si="0"/>
        <v>360</v>
      </c>
    </row>
    <row r="41" spans="1:4" x14ac:dyDescent="0.25">
      <c r="A41" t="str">
        <f>"40201063  "</f>
        <v xml:space="preserve">40201063  </v>
      </c>
      <c r="B41" t="s">
        <v>38</v>
      </c>
      <c r="C41" s="1">
        <v>9039.7999999999993</v>
      </c>
      <c r="D41" t="str">
        <f t="shared" si="0"/>
        <v>360</v>
      </c>
    </row>
    <row r="42" spans="1:4" x14ac:dyDescent="0.25">
      <c r="A42" t="str">
        <f>"40201071  "</f>
        <v xml:space="preserve">40201071  </v>
      </c>
      <c r="B42" t="s">
        <v>39</v>
      </c>
      <c r="C42" s="1">
        <v>9779</v>
      </c>
      <c r="D42" t="str">
        <f t="shared" si="0"/>
        <v>360</v>
      </c>
    </row>
    <row r="43" spans="1:4" x14ac:dyDescent="0.25">
      <c r="A43" t="str">
        <f>"40201089  "</f>
        <v xml:space="preserve">40201089  </v>
      </c>
      <c r="B43" t="s">
        <v>40</v>
      </c>
      <c r="C43" s="1">
        <v>10531.4</v>
      </c>
      <c r="D43" t="str">
        <f t="shared" si="0"/>
        <v>360</v>
      </c>
    </row>
    <row r="44" spans="1:4" x14ac:dyDescent="0.25">
      <c r="A44" t="str">
        <f>"40201097  "</f>
        <v xml:space="preserve">40201097  </v>
      </c>
      <c r="B44" t="s">
        <v>41</v>
      </c>
      <c r="C44" s="1">
        <v>11277.2</v>
      </c>
      <c r="D44" t="str">
        <f t="shared" si="0"/>
        <v>360</v>
      </c>
    </row>
    <row r="45" spans="1:4" x14ac:dyDescent="0.25">
      <c r="A45" t="str">
        <f>"40201105  "</f>
        <v xml:space="preserve">40201105  </v>
      </c>
      <c r="B45" t="s">
        <v>42</v>
      </c>
      <c r="C45" s="1">
        <v>12027.4</v>
      </c>
      <c r="D45" t="str">
        <f t="shared" si="0"/>
        <v>360</v>
      </c>
    </row>
    <row r="46" spans="1:4" x14ac:dyDescent="0.25">
      <c r="A46" t="str">
        <f>"40201113  "</f>
        <v xml:space="preserve">40201113  </v>
      </c>
      <c r="B46" t="s">
        <v>43</v>
      </c>
      <c r="C46" s="1">
        <v>12773.2</v>
      </c>
      <c r="D46" t="str">
        <f t="shared" si="0"/>
        <v>360</v>
      </c>
    </row>
    <row r="47" spans="1:4" x14ac:dyDescent="0.25">
      <c r="A47" t="str">
        <f>"40201121  "</f>
        <v xml:space="preserve">40201121  </v>
      </c>
      <c r="B47" t="s">
        <v>44</v>
      </c>
      <c r="C47" s="1">
        <v>13521.2</v>
      </c>
      <c r="D47" t="str">
        <f t="shared" si="0"/>
        <v>360</v>
      </c>
    </row>
    <row r="48" spans="1:4" x14ac:dyDescent="0.25">
      <c r="A48" t="str">
        <f>"40201139  "</f>
        <v xml:space="preserve">40201139  </v>
      </c>
      <c r="B48" t="s">
        <v>45</v>
      </c>
      <c r="C48" s="1">
        <v>14181.2</v>
      </c>
      <c r="D48" t="str">
        <f t="shared" si="0"/>
        <v>360</v>
      </c>
    </row>
    <row r="49" spans="1:4" x14ac:dyDescent="0.25">
      <c r="A49" t="str">
        <f>"40201147  "</f>
        <v xml:space="preserve">40201147  </v>
      </c>
      <c r="B49" t="s">
        <v>46</v>
      </c>
      <c r="C49" s="1">
        <v>14841.2</v>
      </c>
      <c r="D49" t="str">
        <f t="shared" si="0"/>
        <v>360</v>
      </c>
    </row>
    <row r="50" spans="1:4" x14ac:dyDescent="0.25">
      <c r="A50" t="str">
        <f>"40201154  "</f>
        <v xml:space="preserve">40201154  </v>
      </c>
      <c r="B50" t="s">
        <v>47</v>
      </c>
      <c r="C50" s="1">
        <v>15501.2</v>
      </c>
      <c r="D50" t="str">
        <f t="shared" si="0"/>
        <v>360</v>
      </c>
    </row>
    <row r="51" spans="1:4" x14ac:dyDescent="0.25">
      <c r="A51" t="str">
        <f>"40201162  "</f>
        <v xml:space="preserve">40201162  </v>
      </c>
      <c r="B51" t="s">
        <v>48</v>
      </c>
      <c r="C51" s="1">
        <v>16161.2</v>
      </c>
      <c r="D51" t="str">
        <f t="shared" si="0"/>
        <v>360</v>
      </c>
    </row>
    <row r="52" spans="1:4" x14ac:dyDescent="0.25">
      <c r="A52" t="str">
        <f>"40201170  "</f>
        <v xml:space="preserve">40201170  </v>
      </c>
      <c r="B52" t="s">
        <v>49</v>
      </c>
      <c r="C52" s="1">
        <v>16821.2</v>
      </c>
      <c r="D52" t="str">
        <f t="shared" si="0"/>
        <v>360</v>
      </c>
    </row>
    <row r="53" spans="1:4" x14ac:dyDescent="0.25">
      <c r="A53" t="str">
        <f>"40201188  "</f>
        <v xml:space="preserve">40201188  </v>
      </c>
      <c r="B53" t="s">
        <v>50</v>
      </c>
      <c r="C53" s="1">
        <v>17481.2</v>
      </c>
      <c r="D53" t="str">
        <f t="shared" si="0"/>
        <v>360</v>
      </c>
    </row>
    <row r="54" spans="1:4" x14ac:dyDescent="0.25">
      <c r="A54" t="str">
        <f>"40201196  "</f>
        <v xml:space="preserve">40201196  </v>
      </c>
      <c r="B54" t="s">
        <v>51</v>
      </c>
      <c r="C54" s="1">
        <v>18141.2</v>
      </c>
      <c r="D54" t="str">
        <f t="shared" si="0"/>
        <v>360</v>
      </c>
    </row>
    <row r="55" spans="1:4" x14ac:dyDescent="0.25">
      <c r="A55" t="str">
        <f>"40201204  "</f>
        <v xml:space="preserve">40201204  </v>
      </c>
      <c r="B55" t="s">
        <v>52</v>
      </c>
      <c r="C55" s="1">
        <v>18801.2</v>
      </c>
      <c r="D55" t="str">
        <f t="shared" si="0"/>
        <v>360</v>
      </c>
    </row>
    <row r="56" spans="1:4" x14ac:dyDescent="0.25">
      <c r="A56" t="str">
        <f>"40201212  "</f>
        <v xml:space="preserve">40201212  </v>
      </c>
      <c r="B56" t="s">
        <v>53</v>
      </c>
      <c r="C56" s="1">
        <v>3097.6</v>
      </c>
      <c r="D56" t="str">
        <f t="shared" si="0"/>
        <v>360</v>
      </c>
    </row>
    <row r="57" spans="1:4" x14ac:dyDescent="0.25">
      <c r="A57" t="str">
        <f>"40201220  "</f>
        <v xml:space="preserve">40201220  </v>
      </c>
      <c r="B57" t="s">
        <v>54</v>
      </c>
      <c r="C57" s="1">
        <v>3459.5</v>
      </c>
      <c r="D57" t="str">
        <f t="shared" si="0"/>
        <v>360</v>
      </c>
    </row>
    <row r="58" spans="1:4" x14ac:dyDescent="0.25">
      <c r="A58" t="str">
        <f>"40201238  "</f>
        <v xml:space="preserve">40201238  </v>
      </c>
      <c r="B58" t="s">
        <v>55</v>
      </c>
      <c r="C58" s="1">
        <v>4122.8</v>
      </c>
      <c r="D58" t="str">
        <f t="shared" si="0"/>
        <v>360</v>
      </c>
    </row>
    <row r="59" spans="1:4" x14ac:dyDescent="0.25">
      <c r="A59" t="str">
        <f>"40201246  "</f>
        <v xml:space="preserve">40201246  </v>
      </c>
      <c r="B59" t="s">
        <v>56</v>
      </c>
      <c r="C59" s="1">
        <v>4637.6000000000004</v>
      </c>
      <c r="D59" t="str">
        <f t="shared" si="0"/>
        <v>360</v>
      </c>
    </row>
    <row r="60" spans="1:4" x14ac:dyDescent="0.25">
      <c r="A60" t="str">
        <f>"40201253  "</f>
        <v xml:space="preserve">40201253  </v>
      </c>
      <c r="B60" t="s">
        <v>57</v>
      </c>
      <c r="C60" s="1">
        <v>5152.3999999999996</v>
      </c>
      <c r="D60" t="str">
        <f t="shared" si="0"/>
        <v>360</v>
      </c>
    </row>
    <row r="61" spans="1:4" x14ac:dyDescent="0.25">
      <c r="A61" t="str">
        <f>"40201261  "</f>
        <v xml:space="preserve">40201261  </v>
      </c>
      <c r="B61" t="s">
        <v>58</v>
      </c>
      <c r="C61" s="1">
        <v>5669.4</v>
      </c>
      <c r="D61" t="str">
        <f t="shared" si="0"/>
        <v>360</v>
      </c>
    </row>
    <row r="62" spans="1:4" x14ac:dyDescent="0.25">
      <c r="A62" t="str">
        <f>"40201279  "</f>
        <v xml:space="preserve">40201279  </v>
      </c>
      <c r="B62" t="s">
        <v>59</v>
      </c>
      <c r="C62" s="1">
        <v>6186.4</v>
      </c>
      <c r="D62" t="str">
        <f t="shared" si="0"/>
        <v>360</v>
      </c>
    </row>
    <row r="63" spans="1:4" x14ac:dyDescent="0.25">
      <c r="A63" t="str">
        <f>"40201287  "</f>
        <v xml:space="preserve">40201287  </v>
      </c>
      <c r="B63" t="s">
        <v>60</v>
      </c>
      <c r="C63" s="1">
        <v>6701.2</v>
      </c>
      <c r="D63" t="str">
        <f t="shared" si="0"/>
        <v>360</v>
      </c>
    </row>
    <row r="64" spans="1:4" x14ac:dyDescent="0.25">
      <c r="A64" t="str">
        <f>"40201295  "</f>
        <v xml:space="preserve">40201295  </v>
      </c>
      <c r="B64" t="s">
        <v>61</v>
      </c>
      <c r="C64" s="1">
        <v>7257.8</v>
      </c>
      <c r="D64" t="str">
        <f t="shared" si="0"/>
        <v>360</v>
      </c>
    </row>
    <row r="65" spans="1:4" x14ac:dyDescent="0.25">
      <c r="A65" t="str">
        <f>"40201303  "</f>
        <v xml:space="preserve">40201303  </v>
      </c>
      <c r="B65" t="s">
        <v>62</v>
      </c>
      <c r="C65" s="1">
        <v>7821</v>
      </c>
      <c r="D65" t="str">
        <f t="shared" si="0"/>
        <v>360</v>
      </c>
    </row>
    <row r="66" spans="1:4" x14ac:dyDescent="0.25">
      <c r="A66" t="str">
        <f>"40201311  "</f>
        <v xml:space="preserve">40201311  </v>
      </c>
      <c r="B66" t="s">
        <v>63</v>
      </c>
      <c r="C66" s="1">
        <v>8379.7999999999993</v>
      </c>
      <c r="D66" t="str">
        <f t="shared" ref="D66:D92" si="1">"360"</f>
        <v>360</v>
      </c>
    </row>
    <row r="67" spans="1:4" x14ac:dyDescent="0.25">
      <c r="A67" t="str">
        <f>"40201329  "</f>
        <v xml:space="preserve">40201329  </v>
      </c>
      <c r="B67" t="s">
        <v>64</v>
      </c>
      <c r="C67" s="1">
        <v>8949.6</v>
      </c>
      <c r="D67" t="str">
        <f t="shared" si="1"/>
        <v>360</v>
      </c>
    </row>
    <row r="68" spans="1:4" x14ac:dyDescent="0.25">
      <c r="A68" t="str">
        <f>"40201337  "</f>
        <v xml:space="preserve">40201337  </v>
      </c>
      <c r="B68" t="s">
        <v>65</v>
      </c>
      <c r="C68" s="1">
        <v>9508.4</v>
      </c>
      <c r="D68" t="str">
        <f t="shared" si="1"/>
        <v>360</v>
      </c>
    </row>
    <row r="69" spans="1:4" x14ac:dyDescent="0.25">
      <c r="A69" t="str">
        <f>"40201345  "</f>
        <v xml:space="preserve">40201345  </v>
      </c>
      <c r="B69" t="s">
        <v>66</v>
      </c>
      <c r="C69" s="1">
        <v>10065</v>
      </c>
      <c r="D69" t="str">
        <f t="shared" si="1"/>
        <v>360</v>
      </c>
    </row>
    <row r="70" spans="1:4" x14ac:dyDescent="0.25">
      <c r="A70" t="str">
        <f>"40201352  "</f>
        <v xml:space="preserve">40201352  </v>
      </c>
      <c r="B70" t="s">
        <v>67</v>
      </c>
      <c r="C70">
        <v>558.79999999999995</v>
      </c>
      <c r="D70" t="str">
        <f t="shared" si="1"/>
        <v>360</v>
      </c>
    </row>
    <row r="71" spans="1:4" x14ac:dyDescent="0.25">
      <c r="A71" t="str">
        <f>"40201428  "</f>
        <v xml:space="preserve">40201428  </v>
      </c>
      <c r="B71" t="s">
        <v>68</v>
      </c>
      <c r="C71" s="1">
        <v>12117.6</v>
      </c>
      <c r="D71" t="str">
        <f t="shared" si="1"/>
        <v>360</v>
      </c>
    </row>
    <row r="72" spans="1:4" x14ac:dyDescent="0.25">
      <c r="A72" t="str">
        <f>"40201436  "</f>
        <v xml:space="preserve">40201436  </v>
      </c>
      <c r="B72" t="s">
        <v>69</v>
      </c>
      <c r="C72" s="1">
        <v>17617.599999999999</v>
      </c>
      <c r="D72" t="str">
        <f t="shared" si="1"/>
        <v>360</v>
      </c>
    </row>
    <row r="73" spans="1:4" x14ac:dyDescent="0.25">
      <c r="A73" t="str">
        <f>"40201444  "</f>
        <v xml:space="preserve">40201444  </v>
      </c>
      <c r="B73" t="s">
        <v>70</v>
      </c>
      <c r="C73" s="1">
        <v>20367.599999999999</v>
      </c>
      <c r="D73" t="str">
        <f t="shared" si="1"/>
        <v>360</v>
      </c>
    </row>
    <row r="74" spans="1:4" x14ac:dyDescent="0.25">
      <c r="A74" t="str">
        <f>"40201451  "</f>
        <v xml:space="preserve">40201451  </v>
      </c>
      <c r="B74" t="s">
        <v>71</v>
      </c>
      <c r="C74" s="1">
        <v>23117.599999999999</v>
      </c>
      <c r="D74" t="str">
        <f t="shared" si="1"/>
        <v>360</v>
      </c>
    </row>
    <row r="75" spans="1:4" x14ac:dyDescent="0.25">
      <c r="A75" t="str">
        <f>"40201469  "</f>
        <v xml:space="preserve">40201469  </v>
      </c>
      <c r="B75" t="s">
        <v>72</v>
      </c>
      <c r="C75" s="1">
        <v>25867.599999999999</v>
      </c>
      <c r="D75" t="str">
        <f t="shared" si="1"/>
        <v>360</v>
      </c>
    </row>
    <row r="76" spans="1:4" x14ac:dyDescent="0.25">
      <c r="A76" t="str">
        <f>"40201477  "</f>
        <v xml:space="preserve">40201477  </v>
      </c>
      <c r="B76" t="s">
        <v>73</v>
      </c>
      <c r="C76" s="1">
        <v>28617.599999999999</v>
      </c>
      <c r="D76" t="str">
        <f t="shared" si="1"/>
        <v>360</v>
      </c>
    </row>
    <row r="77" spans="1:4" x14ac:dyDescent="0.25">
      <c r="A77" t="str">
        <f>"40201485  "</f>
        <v xml:space="preserve">40201485  </v>
      </c>
      <c r="B77" t="s">
        <v>74</v>
      </c>
      <c r="C77" s="1">
        <v>31367.599999999999</v>
      </c>
      <c r="D77" t="str">
        <f t="shared" si="1"/>
        <v>360</v>
      </c>
    </row>
    <row r="78" spans="1:4" x14ac:dyDescent="0.25">
      <c r="A78" t="str">
        <f>"40201493  "</f>
        <v xml:space="preserve">40201493  </v>
      </c>
      <c r="B78" t="s">
        <v>75</v>
      </c>
      <c r="C78" s="1">
        <v>34117.599999999999</v>
      </c>
      <c r="D78" t="str">
        <f t="shared" si="1"/>
        <v>360</v>
      </c>
    </row>
    <row r="79" spans="1:4" x14ac:dyDescent="0.25">
      <c r="A79" t="str">
        <f>"40201501  "</f>
        <v xml:space="preserve">40201501  </v>
      </c>
      <c r="B79" t="s">
        <v>76</v>
      </c>
      <c r="C79" s="1">
        <v>36867.599999999999</v>
      </c>
      <c r="D79" t="str">
        <f t="shared" si="1"/>
        <v>360</v>
      </c>
    </row>
    <row r="80" spans="1:4" x14ac:dyDescent="0.25">
      <c r="A80" t="str">
        <f>"40201519  "</f>
        <v xml:space="preserve">40201519  </v>
      </c>
      <c r="B80" t="s">
        <v>77</v>
      </c>
      <c r="C80" s="1">
        <v>39617.599999999999</v>
      </c>
      <c r="D80" t="str">
        <f t="shared" si="1"/>
        <v>360</v>
      </c>
    </row>
    <row r="81" spans="1:4" x14ac:dyDescent="0.25">
      <c r="A81" t="str">
        <f>"40201527  "</f>
        <v xml:space="preserve">40201527  </v>
      </c>
      <c r="B81" t="s">
        <v>78</v>
      </c>
      <c r="C81" s="1">
        <v>42367.6</v>
      </c>
      <c r="D81" t="str">
        <f t="shared" si="1"/>
        <v>360</v>
      </c>
    </row>
    <row r="82" spans="1:4" x14ac:dyDescent="0.25">
      <c r="A82" t="str">
        <f>"40201535  "</f>
        <v xml:space="preserve">40201535  </v>
      </c>
      <c r="B82" t="s">
        <v>79</v>
      </c>
      <c r="C82" s="1">
        <v>45117.599999999999</v>
      </c>
      <c r="D82" t="str">
        <f t="shared" si="1"/>
        <v>360</v>
      </c>
    </row>
    <row r="83" spans="1:4" x14ac:dyDescent="0.25">
      <c r="A83" t="str">
        <f>"40201543  "</f>
        <v xml:space="preserve">40201543  </v>
      </c>
      <c r="B83" t="s">
        <v>80</v>
      </c>
      <c r="C83" s="1">
        <v>47867.6</v>
      </c>
      <c r="D83" t="str">
        <f t="shared" si="1"/>
        <v>360</v>
      </c>
    </row>
    <row r="84" spans="1:4" x14ac:dyDescent="0.25">
      <c r="A84" t="str">
        <f>"40201550  "</f>
        <v xml:space="preserve">40201550  </v>
      </c>
      <c r="B84" t="s">
        <v>81</v>
      </c>
      <c r="C84" s="1">
        <v>50617.599999999999</v>
      </c>
      <c r="D84" t="str">
        <f t="shared" si="1"/>
        <v>360</v>
      </c>
    </row>
    <row r="85" spans="1:4" x14ac:dyDescent="0.25">
      <c r="A85" t="str">
        <f>"40201568  "</f>
        <v xml:space="preserve">40201568  </v>
      </c>
      <c r="B85" t="s">
        <v>82</v>
      </c>
      <c r="C85" s="1">
        <v>53367.6</v>
      </c>
      <c r="D85" t="str">
        <f t="shared" si="1"/>
        <v>360</v>
      </c>
    </row>
    <row r="86" spans="1:4" x14ac:dyDescent="0.25">
      <c r="A86" t="str">
        <f>"40201576  "</f>
        <v xml:space="preserve">40201576  </v>
      </c>
      <c r="B86" t="s">
        <v>83</v>
      </c>
      <c r="C86" s="1">
        <v>56117.599999999999</v>
      </c>
      <c r="D86" t="str">
        <f t="shared" si="1"/>
        <v>360</v>
      </c>
    </row>
    <row r="87" spans="1:4" x14ac:dyDescent="0.25">
      <c r="A87" t="str">
        <f>"40201584  "</f>
        <v xml:space="preserve">40201584  </v>
      </c>
      <c r="B87" t="s">
        <v>84</v>
      </c>
      <c r="C87" s="1">
        <v>58867.6</v>
      </c>
      <c r="D87" t="str">
        <f t="shared" si="1"/>
        <v>360</v>
      </c>
    </row>
    <row r="88" spans="1:4" x14ac:dyDescent="0.25">
      <c r="A88" t="str">
        <f>"40201592  "</f>
        <v xml:space="preserve">40201592  </v>
      </c>
      <c r="B88" t="s">
        <v>85</v>
      </c>
      <c r="C88" s="1">
        <v>61617.599999999999</v>
      </c>
      <c r="D88" t="str">
        <f t="shared" si="1"/>
        <v>360</v>
      </c>
    </row>
    <row r="89" spans="1:4" x14ac:dyDescent="0.25">
      <c r="A89" t="str">
        <f>"40201600  "</f>
        <v xml:space="preserve">40201600  </v>
      </c>
      <c r="B89" t="s">
        <v>86</v>
      </c>
      <c r="C89" s="1">
        <v>64367.6</v>
      </c>
      <c r="D89" t="str">
        <f t="shared" si="1"/>
        <v>360</v>
      </c>
    </row>
    <row r="90" spans="1:4" x14ac:dyDescent="0.25">
      <c r="A90" t="str">
        <f>"40201618  "</f>
        <v xml:space="preserve">40201618  </v>
      </c>
      <c r="B90" t="s">
        <v>87</v>
      </c>
      <c r="C90" s="1">
        <v>67117.600000000006</v>
      </c>
      <c r="D90" t="str">
        <f t="shared" si="1"/>
        <v>360</v>
      </c>
    </row>
    <row r="91" spans="1:4" x14ac:dyDescent="0.25">
      <c r="A91" t="str">
        <f>"40201626  "</f>
        <v xml:space="preserve">40201626  </v>
      </c>
      <c r="B91" t="s">
        <v>88</v>
      </c>
      <c r="C91" s="1">
        <v>69867.600000000006</v>
      </c>
      <c r="D91" t="str">
        <f t="shared" si="1"/>
        <v>360</v>
      </c>
    </row>
    <row r="92" spans="1:4" x14ac:dyDescent="0.25">
      <c r="A92" t="str">
        <f>"40201634  "</f>
        <v xml:space="preserve">40201634  </v>
      </c>
      <c r="B92" t="s">
        <v>89</v>
      </c>
      <c r="C92" s="1">
        <v>2750</v>
      </c>
      <c r="D92" t="str">
        <f t="shared" si="1"/>
        <v>360</v>
      </c>
    </row>
    <row r="93" spans="1:4" x14ac:dyDescent="0.25">
      <c r="A93" t="str">
        <f>"40201659  "</f>
        <v xml:space="preserve">40201659  </v>
      </c>
      <c r="B93" t="s">
        <v>90</v>
      </c>
      <c r="C93">
        <v>860.2</v>
      </c>
      <c r="D93" t="str">
        <f>"710"</f>
        <v>710</v>
      </c>
    </row>
    <row r="94" spans="1:4" x14ac:dyDescent="0.25">
      <c r="A94" t="str">
        <f>"40201667  "</f>
        <v xml:space="preserve">40201667  </v>
      </c>
      <c r="B94" t="s">
        <v>91</v>
      </c>
      <c r="C94" s="1">
        <v>1018.6</v>
      </c>
      <c r="D94" t="str">
        <f t="shared" ref="D94:D100" si="2">"360"</f>
        <v>360</v>
      </c>
    </row>
    <row r="95" spans="1:4" x14ac:dyDescent="0.25">
      <c r="A95" t="str">
        <f>"40201675  "</f>
        <v xml:space="preserve">40201675  </v>
      </c>
      <c r="B95" t="s">
        <v>92</v>
      </c>
      <c r="C95">
        <v>587.4</v>
      </c>
      <c r="D95" t="str">
        <f t="shared" si="2"/>
        <v>360</v>
      </c>
    </row>
    <row r="96" spans="1:4" x14ac:dyDescent="0.25">
      <c r="A96" t="str">
        <f>"40201683  "</f>
        <v xml:space="preserve">40201683  </v>
      </c>
      <c r="B96" t="s">
        <v>93</v>
      </c>
      <c r="C96">
        <v>666.6</v>
      </c>
      <c r="D96" t="str">
        <f t="shared" si="2"/>
        <v>360</v>
      </c>
    </row>
    <row r="97" spans="1:4" x14ac:dyDescent="0.25">
      <c r="A97" t="str">
        <f>"40201691  "</f>
        <v xml:space="preserve">40201691  </v>
      </c>
      <c r="B97" t="s">
        <v>94</v>
      </c>
      <c r="C97">
        <v>742.5</v>
      </c>
      <c r="D97" t="str">
        <f t="shared" si="2"/>
        <v>360</v>
      </c>
    </row>
    <row r="98" spans="1:4" x14ac:dyDescent="0.25">
      <c r="A98" t="str">
        <f>"40201709  "</f>
        <v xml:space="preserve">40201709  </v>
      </c>
      <c r="B98" t="s">
        <v>95</v>
      </c>
      <c r="C98">
        <v>821.7</v>
      </c>
      <c r="D98" t="str">
        <f t="shared" si="2"/>
        <v>360</v>
      </c>
    </row>
    <row r="99" spans="1:4" x14ac:dyDescent="0.25">
      <c r="A99" t="str">
        <f>"40201717  "</f>
        <v xml:space="preserve">40201717  </v>
      </c>
      <c r="B99" t="s">
        <v>96</v>
      </c>
      <c r="C99">
        <v>896.5</v>
      </c>
      <c r="D99" t="str">
        <f t="shared" si="2"/>
        <v>360</v>
      </c>
    </row>
    <row r="100" spans="1:4" x14ac:dyDescent="0.25">
      <c r="A100" t="str">
        <f>"40201725  "</f>
        <v xml:space="preserve">40201725  </v>
      </c>
      <c r="B100" t="s">
        <v>97</v>
      </c>
      <c r="C100">
        <v>158.4</v>
      </c>
      <c r="D100" t="str">
        <f t="shared" si="2"/>
        <v>360</v>
      </c>
    </row>
    <row r="101" spans="1:4" x14ac:dyDescent="0.25">
      <c r="A101" t="str">
        <f>"40201741  "</f>
        <v xml:space="preserve">40201741  </v>
      </c>
      <c r="B101" t="s">
        <v>98</v>
      </c>
      <c r="C101">
        <v>904.2</v>
      </c>
      <c r="D101" t="str">
        <f>"270"</f>
        <v>270</v>
      </c>
    </row>
    <row r="102" spans="1:4" x14ac:dyDescent="0.25">
      <c r="A102" t="str">
        <f>"40202053  "</f>
        <v xml:space="preserve">40202053  </v>
      </c>
      <c r="B102" t="s">
        <v>99</v>
      </c>
      <c r="C102" s="1">
        <v>1039.5</v>
      </c>
      <c r="D102" t="str">
        <f>"750"</f>
        <v>750</v>
      </c>
    </row>
    <row r="103" spans="1:4" x14ac:dyDescent="0.25">
      <c r="A103" t="str">
        <f>"40202103  "</f>
        <v xml:space="preserve">40202103  </v>
      </c>
      <c r="B103" t="s">
        <v>100</v>
      </c>
      <c r="C103" s="1">
        <v>1039.5</v>
      </c>
      <c r="D103" t="str">
        <f>"750"</f>
        <v>750</v>
      </c>
    </row>
    <row r="104" spans="1:4" x14ac:dyDescent="0.25">
      <c r="A104" t="str">
        <f>"40202111  "</f>
        <v xml:space="preserve">40202111  </v>
      </c>
      <c r="B104" t="s">
        <v>101</v>
      </c>
      <c r="C104">
        <v>573.1</v>
      </c>
      <c r="D104" t="str">
        <f>"360"</f>
        <v>360</v>
      </c>
    </row>
    <row r="105" spans="1:4" x14ac:dyDescent="0.25">
      <c r="A105" t="str">
        <f>"40202202  "</f>
        <v xml:space="preserve">40202202  </v>
      </c>
      <c r="B105" t="s">
        <v>102</v>
      </c>
      <c r="C105" s="1">
        <v>1039.5</v>
      </c>
      <c r="D105" t="str">
        <f>"360"</f>
        <v>360</v>
      </c>
    </row>
    <row r="106" spans="1:4" x14ac:dyDescent="0.25">
      <c r="A106" t="str">
        <f>"40202327  "</f>
        <v xml:space="preserve">40202327  </v>
      </c>
      <c r="B106" t="s">
        <v>103</v>
      </c>
      <c r="C106">
        <v>237.6</v>
      </c>
      <c r="D106" t="str">
        <f>"272"</f>
        <v>272</v>
      </c>
    </row>
    <row r="107" spans="1:4" x14ac:dyDescent="0.25">
      <c r="A107" t="str">
        <f>"40202400  "</f>
        <v xml:space="preserve">40202400  </v>
      </c>
      <c r="B107" t="s">
        <v>104</v>
      </c>
      <c r="C107" s="1">
        <v>1039.5</v>
      </c>
      <c r="D107" t="str">
        <f>"750"</f>
        <v>750</v>
      </c>
    </row>
    <row r="108" spans="1:4" x14ac:dyDescent="0.25">
      <c r="A108" t="str">
        <f>"40202459  "</f>
        <v xml:space="preserve">40202459  </v>
      </c>
      <c r="B108" t="s">
        <v>105</v>
      </c>
      <c r="C108">
        <v>393.8</v>
      </c>
      <c r="D108" t="str">
        <f>"360"</f>
        <v>360</v>
      </c>
    </row>
    <row r="109" spans="1:4" x14ac:dyDescent="0.25">
      <c r="A109" t="str">
        <f>"40202509  "</f>
        <v xml:space="preserve">40202509  </v>
      </c>
      <c r="B109" t="s">
        <v>106</v>
      </c>
      <c r="C109" s="1">
        <v>1039.5</v>
      </c>
      <c r="D109" t="str">
        <f>"750"</f>
        <v>750</v>
      </c>
    </row>
    <row r="110" spans="1:4" x14ac:dyDescent="0.25">
      <c r="A110" t="str">
        <f>"40202558  "</f>
        <v xml:space="preserve">40202558  </v>
      </c>
      <c r="B110" t="s">
        <v>107</v>
      </c>
      <c r="C110">
        <v>588.5</v>
      </c>
      <c r="D110" t="str">
        <f>"360"</f>
        <v>360</v>
      </c>
    </row>
    <row r="111" spans="1:4" x14ac:dyDescent="0.25">
      <c r="A111" t="str">
        <f>"40202608  "</f>
        <v xml:space="preserve">40202608  </v>
      </c>
      <c r="B111" t="s">
        <v>108</v>
      </c>
      <c r="C111" s="1">
        <v>1562</v>
      </c>
      <c r="D111" t="str">
        <f>"360"</f>
        <v>360</v>
      </c>
    </row>
    <row r="112" spans="1:4" x14ac:dyDescent="0.25">
      <c r="A112" t="str">
        <f>"40202624  "</f>
        <v xml:space="preserve">40202624  </v>
      </c>
      <c r="B112" t="s">
        <v>109</v>
      </c>
      <c r="C112">
        <v>110</v>
      </c>
      <c r="D112" t="str">
        <f>"272"</f>
        <v>272</v>
      </c>
    </row>
    <row r="113" spans="1:5" x14ac:dyDescent="0.25">
      <c r="A113" t="str">
        <f>"40202640  "</f>
        <v xml:space="preserve">40202640  </v>
      </c>
      <c r="B113" t="s">
        <v>110</v>
      </c>
      <c r="C113">
        <v>323.39999999999998</v>
      </c>
      <c r="D113" t="str">
        <f>"272"</f>
        <v>272</v>
      </c>
    </row>
    <row r="114" spans="1:5" x14ac:dyDescent="0.25">
      <c r="A114" t="str">
        <f>"40202707  "</f>
        <v xml:space="preserve">40202707  </v>
      </c>
      <c r="B114" t="s">
        <v>111</v>
      </c>
      <c r="C114" s="1">
        <v>1562</v>
      </c>
      <c r="D114" t="str">
        <f>"360"</f>
        <v>360</v>
      </c>
    </row>
    <row r="115" spans="1:5" x14ac:dyDescent="0.25">
      <c r="A115" t="str">
        <f>"40202806  "</f>
        <v xml:space="preserve">40202806  </v>
      </c>
      <c r="B115" t="s">
        <v>112</v>
      </c>
      <c r="C115">
        <v>521.4</v>
      </c>
      <c r="D115" t="str">
        <f>"360"</f>
        <v>360</v>
      </c>
    </row>
    <row r="116" spans="1:5" x14ac:dyDescent="0.25">
      <c r="A116" t="str">
        <f>"40202905  "</f>
        <v xml:space="preserve">40202905  </v>
      </c>
      <c r="B116" t="s">
        <v>113</v>
      </c>
      <c r="C116">
        <v>781</v>
      </c>
      <c r="D116" t="str">
        <f>"360"</f>
        <v>360</v>
      </c>
    </row>
    <row r="117" spans="1:5" x14ac:dyDescent="0.25">
      <c r="A117" t="str">
        <f>"40203002  "</f>
        <v xml:space="preserve">40203002  </v>
      </c>
      <c r="B117" t="s">
        <v>114</v>
      </c>
      <c r="C117">
        <v>781</v>
      </c>
      <c r="D117" t="str">
        <f>"360"</f>
        <v>360</v>
      </c>
    </row>
    <row r="118" spans="1:5" x14ac:dyDescent="0.25">
      <c r="A118" t="str">
        <f>"40203010  "</f>
        <v xml:space="preserve">40203010  </v>
      </c>
      <c r="B118" t="s">
        <v>115</v>
      </c>
      <c r="C118">
        <v>253</v>
      </c>
      <c r="D118" t="str">
        <f>"480"</f>
        <v>480</v>
      </c>
      <c r="E118" t="str">
        <f>"92960"</f>
        <v>92960</v>
      </c>
    </row>
    <row r="119" spans="1:5" x14ac:dyDescent="0.25">
      <c r="A119" t="str">
        <f>"40203093  "</f>
        <v xml:space="preserve">40203093  </v>
      </c>
      <c r="B119" t="s">
        <v>116</v>
      </c>
      <c r="C119" s="1">
        <v>1039.5</v>
      </c>
      <c r="D119" t="str">
        <f t="shared" ref="D119:D134" si="3">"360"</f>
        <v>360</v>
      </c>
    </row>
    <row r="120" spans="1:5" x14ac:dyDescent="0.25">
      <c r="A120" t="str">
        <f>"40203101  "</f>
        <v xml:space="preserve">40203101  </v>
      </c>
      <c r="B120" t="s">
        <v>117</v>
      </c>
      <c r="C120">
        <v>781</v>
      </c>
      <c r="D120" t="str">
        <f t="shared" si="3"/>
        <v>360</v>
      </c>
    </row>
    <row r="121" spans="1:5" x14ac:dyDescent="0.25">
      <c r="A121" t="str">
        <f>"40203200  "</f>
        <v xml:space="preserve">40203200  </v>
      </c>
      <c r="B121" t="s">
        <v>118</v>
      </c>
      <c r="C121">
        <v>781</v>
      </c>
      <c r="D121" t="str">
        <f t="shared" si="3"/>
        <v>360</v>
      </c>
    </row>
    <row r="122" spans="1:5" x14ac:dyDescent="0.25">
      <c r="A122" t="str">
        <f>"40203309  "</f>
        <v xml:space="preserve">40203309  </v>
      </c>
      <c r="B122" t="s">
        <v>119</v>
      </c>
      <c r="C122" s="1">
        <v>1562</v>
      </c>
      <c r="D122" t="str">
        <f t="shared" si="3"/>
        <v>360</v>
      </c>
    </row>
    <row r="123" spans="1:5" x14ac:dyDescent="0.25">
      <c r="A123" t="str">
        <f>"40203408  "</f>
        <v xml:space="preserve">40203408  </v>
      </c>
      <c r="B123" t="s">
        <v>120</v>
      </c>
      <c r="C123" s="1">
        <v>1562</v>
      </c>
      <c r="D123" t="str">
        <f t="shared" si="3"/>
        <v>360</v>
      </c>
    </row>
    <row r="124" spans="1:5" x14ac:dyDescent="0.25">
      <c r="A124" t="str">
        <f>"40203507  "</f>
        <v xml:space="preserve">40203507  </v>
      </c>
      <c r="B124" t="s">
        <v>121</v>
      </c>
      <c r="C124">
        <v>781</v>
      </c>
      <c r="D124" t="str">
        <f t="shared" si="3"/>
        <v>360</v>
      </c>
    </row>
    <row r="125" spans="1:5" x14ac:dyDescent="0.25">
      <c r="A125" t="str">
        <f>"40203556  "</f>
        <v xml:space="preserve">40203556  </v>
      </c>
      <c r="B125" t="s">
        <v>122</v>
      </c>
      <c r="C125">
        <v>781</v>
      </c>
      <c r="D125" t="str">
        <f t="shared" si="3"/>
        <v>360</v>
      </c>
      <c r="E125" t="str">
        <f>"Z7506"</f>
        <v>Z7506</v>
      </c>
    </row>
    <row r="126" spans="1:5" x14ac:dyDescent="0.25">
      <c r="A126" t="str">
        <f>"40203606  "</f>
        <v xml:space="preserve">40203606  </v>
      </c>
      <c r="B126" t="s">
        <v>123</v>
      </c>
      <c r="C126">
        <v>781</v>
      </c>
      <c r="D126" t="str">
        <f t="shared" si="3"/>
        <v>360</v>
      </c>
    </row>
    <row r="127" spans="1:5" x14ac:dyDescent="0.25">
      <c r="A127" t="str">
        <f>"40203655  "</f>
        <v xml:space="preserve">40203655  </v>
      </c>
      <c r="B127" t="s">
        <v>124</v>
      </c>
      <c r="C127">
        <v>781</v>
      </c>
      <c r="D127" t="str">
        <f t="shared" si="3"/>
        <v>360</v>
      </c>
      <c r="E127" t="str">
        <f>"Z7506"</f>
        <v>Z7506</v>
      </c>
    </row>
    <row r="128" spans="1:5" x14ac:dyDescent="0.25">
      <c r="A128" t="str">
        <f>"40203705  "</f>
        <v xml:space="preserve">40203705  </v>
      </c>
      <c r="B128" t="s">
        <v>125</v>
      </c>
      <c r="C128">
        <v>521.4</v>
      </c>
      <c r="D128" t="str">
        <f t="shared" si="3"/>
        <v>360</v>
      </c>
    </row>
    <row r="129" spans="1:5" x14ac:dyDescent="0.25">
      <c r="A129" t="str">
        <f>"40203754  "</f>
        <v xml:space="preserve">40203754  </v>
      </c>
      <c r="B129" t="s">
        <v>126</v>
      </c>
      <c r="C129">
        <v>521.4</v>
      </c>
      <c r="D129" t="str">
        <f t="shared" si="3"/>
        <v>360</v>
      </c>
      <c r="E129" t="str">
        <f>"Z7506"</f>
        <v>Z7506</v>
      </c>
    </row>
    <row r="130" spans="1:5" x14ac:dyDescent="0.25">
      <c r="A130" t="str">
        <f>"40203804  "</f>
        <v xml:space="preserve">40203804  </v>
      </c>
      <c r="B130" t="s">
        <v>127</v>
      </c>
      <c r="C130" s="1">
        <v>1039.5</v>
      </c>
      <c r="D130" t="str">
        <f t="shared" si="3"/>
        <v>360</v>
      </c>
    </row>
    <row r="131" spans="1:5" x14ac:dyDescent="0.25">
      <c r="A131" t="str">
        <f>"40203853  "</f>
        <v xml:space="preserve">40203853  </v>
      </c>
      <c r="B131" t="s">
        <v>128</v>
      </c>
      <c r="C131">
        <v>393.8</v>
      </c>
      <c r="D131" t="str">
        <f t="shared" si="3"/>
        <v>360</v>
      </c>
    </row>
    <row r="132" spans="1:5" x14ac:dyDescent="0.25">
      <c r="A132" t="str">
        <f>"40203903  "</f>
        <v xml:space="preserve">40203903  </v>
      </c>
      <c r="B132" t="s">
        <v>129</v>
      </c>
      <c r="C132">
        <v>521.4</v>
      </c>
      <c r="D132" t="str">
        <f t="shared" si="3"/>
        <v>360</v>
      </c>
    </row>
    <row r="133" spans="1:5" x14ac:dyDescent="0.25">
      <c r="A133" t="str">
        <f>"40203952  "</f>
        <v xml:space="preserve">40203952  </v>
      </c>
      <c r="B133" t="s">
        <v>130</v>
      </c>
      <c r="C133">
        <v>521.4</v>
      </c>
      <c r="D133" t="str">
        <f t="shared" si="3"/>
        <v>360</v>
      </c>
    </row>
    <row r="134" spans="1:5" x14ac:dyDescent="0.25">
      <c r="A134" t="str">
        <f>"40204000  "</f>
        <v xml:space="preserve">40204000  </v>
      </c>
      <c r="B134" t="s">
        <v>131</v>
      </c>
      <c r="C134">
        <v>521.4</v>
      </c>
      <c r="D134" t="str">
        <f t="shared" si="3"/>
        <v>360</v>
      </c>
    </row>
    <row r="135" spans="1:5" x14ac:dyDescent="0.25">
      <c r="A135" t="str">
        <f>"40204018  "</f>
        <v xml:space="preserve">40204018  </v>
      </c>
      <c r="B135" t="s">
        <v>132</v>
      </c>
      <c r="C135">
        <v>193.6</v>
      </c>
      <c r="D135" t="str">
        <f>"272"</f>
        <v>272</v>
      </c>
    </row>
    <row r="136" spans="1:5" x14ac:dyDescent="0.25">
      <c r="A136" t="str">
        <f>"40204026  "</f>
        <v xml:space="preserve">40204026  </v>
      </c>
      <c r="B136" t="s">
        <v>133</v>
      </c>
      <c r="C136">
        <v>125.4</v>
      </c>
      <c r="D136" t="str">
        <f>"272"</f>
        <v>272</v>
      </c>
    </row>
    <row r="137" spans="1:5" x14ac:dyDescent="0.25">
      <c r="A137" t="str">
        <f>"40204034  "</f>
        <v xml:space="preserve">40204034  </v>
      </c>
      <c r="B137" t="s">
        <v>134</v>
      </c>
      <c r="C137">
        <v>853.6</v>
      </c>
      <c r="D137" t="str">
        <f>"272"</f>
        <v>272</v>
      </c>
    </row>
    <row r="138" spans="1:5" x14ac:dyDescent="0.25">
      <c r="A138" t="str">
        <f>"40204059  "</f>
        <v xml:space="preserve">40204059  </v>
      </c>
      <c r="B138" t="s">
        <v>135</v>
      </c>
      <c r="C138">
        <v>588.5</v>
      </c>
      <c r="D138" t="str">
        <f>"360"</f>
        <v>360</v>
      </c>
    </row>
    <row r="139" spans="1:5" x14ac:dyDescent="0.25">
      <c r="A139" t="str">
        <f>"40204109  "</f>
        <v xml:space="preserve">40204109  </v>
      </c>
      <c r="B139" t="s">
        <v>136</v>
      </c>
      <c r="C139">
        <v>521.4</v>
      </c>
      <c r="D139" t="str">
        <f>"272"</f>
        <v>272</v>
      </c>
    </row>
    <row r="140" spans="1:5" x14ac:dyDescent="0.25">
      <c r="A140" t="str">
        <f>"40204158  "</f>
        <v xml:space="preserve">40204158  </v>
      </c>
      <c r="B140" t="s">
        <v>137</v>
      </c>
      <c r="C140">
        <v>521.4</v>
      </c>
      <c r="D140" t="str">
        <f t="shared" ref="D140:D147" si="4">"360"</f>
        <v>360</v>
      </c>
    </row>
    <row r="141" spans="1:5" x14ac:dyDescent="0.25">
      <c r="A141" t="str">
        <f>"40204307  "</f>
        <v xml:space="preserve">40204307  </v>
      </c>
      <c r="B141" t="s">
        <v>138</v>
      </c>
      <c r="C141">
        <v>521.4</v>
      </c>
      <c r="D141" t="str">
        <f t="shared" si="4"/>
        <v>360</v>
      </c>
    </row>
    <row r="142" spans="1:5" x14ac:dyDescent="0.25">
      <c r="A142" t="str">
        <f>"40204315  "</f>
        <v xml:space="preserve">40204315  </v>
      </c>
      <c r="B142" t="s">
        <v>139</v>
      </c>
      <c r="C142">
        <v>495</v>
      </c>
      <c r="D142" t="str">
        <f t="shared" si="4"/>
        <v>360</v>
      </c>
      <c r="E142" t="str">
        <f>"00099"</f>
        <v>00099</v>
      </c>
    </row>
    <row r="143" spans="1:5" x14ac:dyDescent="0.25">
      <c r="A143" t="str">
        <f>"40204406  "</f>
        <v xml:space="preserve">40204406  </v>
      </c>
      <c r="B143" t="s">
        <v>140</v>
      </c>
      <c r="C143">
        <v>521.4</v>
      </c>
      <c r="D143" t="str">
        <f t="shared" si="4"/>
        <v>360</v>
      </c>
      <c r="E143" t="str">
        <f>"00099"</f>
        <v>00099</v>
      </c>
    </row>
    <row r="144" spans="1:5" x14ac:dyDescent="0.25">
      <c r="A144" t="str">
        <f>"40204505  "</f>
        <v xml:space="preserve">40204505  </v>
      </c>
      <c r="B144" t="s">
        <v>141</v>
      </c>
      <c r="C144" s="1">
        <v>1039.5</v>
      </c>
      <c r="D144" t="str">
        <f t="shared" si="4"/>
        <v>360</v>
      </c>
    </row>
    <row r="145" spans="1:5" x14ac:dyDescent="0.25">
      <c r="A145" t="str">
        <f>"40204554  "</f>
        <v xml:space="preserve">40204554  </v>
      </c>
      <c r="B145" t="s">
        <v>142</v>
      </c>
      <c r="C145">
        <v>785.4</v>
      </c>
      <c r="D145" t="str">
        <f t="shared" si="4"/>
        <v>360</v>
      </c>
      <c r="E145" t="str">
        <f>"00099"</f>
        <v>00099</v>
      </c>
    </row>
    <row r="146" spans="1:5" x14ac:dyDescent="0.25">
      <c r="A146" t="str">
        <f>"40204604  "</f>
        <v xml:space="preserve">40204604  </v>
      </c>
      <c r="B146" t="s">
        <v>143</v>
      </c>
      <c r="C146">
        <v>521.4</v>
      </c>
      <c r="D146" t="str">
        <f t="shared" si="4"/>
        <v>360</v>
      </c>
      <c r="E146" t="str">
        <f>"00099"</f>
        <v>00099</v>
      </c>
    </row>
    <row r="147" spans="1:5" x14ac:dyDescent="0.25">
      <c r="A147" t="str">
        <f>"40204703  "</f>
        <v xml:space="preserve">40204703  </v>
      </c>
      <c r="B147" t="s">
        <v>144</v>
      </c>
      <c r="C147">
        <v>521.4</v>
      </c>
      <c r="D147" t="str">
        <f t="shared" si="4"/>
        <v>360</v>
      </c>
      <c r="E147" t="str">
        <f>"00099"</f>
        <v>00099</v>
      </c>
    </row>
    <row r="148" spans="1:5" x14ac:dyDescent="0.25">
      <c r="A148" t="str">
        <f>"40204711  "</f>
        <v xml:space="preserve">40204711  </v>
      </c>
      <c r="B148" t="s">
        <v>145</v>
      </c>
      <c r="C148">
        <v>911.9</v>
      </c>
      <c r="D148" t="str">
        <f>"272"</f>
        <v>272</v>
      </c>
    </row>
    <row r="149" spans="1:5" x14ac:dyDescent="0.25">
      <c r="A149" t="str">
        <f>"40204802  "</f>
        <v xml:space="preserve">40204802  </v>
      </c>
      <c r="B149" t="s">
        <v>146</v>
      </c>
      <c r="C149">
        <v>521.4</v>
      </c>
      <c r="D149" t="str">
        <f>"360"</f>
        <v>360</v>
      </c>
    </row>
    <row r="150" spans="1:5" x14ac:dyDescent="0.25">
      <c r="A150" t="str">
        <f>"40204919  "</f>
        <v xml:space="preserve">40204919  </v>
      </c>
      <c r="B150" t="s">
        <v>147</v>
      </c>
      <c r="C150">
        <v>0</v>
      </c>
      <c r="D150" t="str">
        <f>"360"</f>
        <v>360</v>
      </c>
    </row>
    <row r="151" spans="1:5" x14ac:dyDescent="0.25">
      <c r="A151" t="str">
        <f>"40205106  "</f>
        <v xml:space="preserve">40205106  </v>
      </c>
      <c r="B151" t="s">
        <v>148</v>
      </c>
      <c r="C151">
        <v>521.4</v>
      </c>
      <c r="D151" t="str">
        <f>"360"</f>
        <v>360</v>
      </c>
      <c r="E151" t="str">
        <f>"00099"</f>
        <v>00099</v>
      </c>
    </row>
    <row r="152" spans="1:5" x14ac:dyDescent="0.25">
      <c r="A152" t="str">
        <f>"40205205  "</f>
        <v xml:space="preserve">40205205  </v>
      </c>
      <c r="B152" t="s">
        <v>149</v>
      </c>
      <c r="C152">
        <v>521.4</v>
      </c>
      <c r="D152" t="str">
        <f>"360"</f>
        <v>360</v>
      </c>
      <c r="E152" t="str">
        <f>"00099"</f>
        <v>00099</v>
      </c>
    </row>
    <row r="153" spans="1:5" x14ac:dyDescent="0.25">
      <c r="A153" t="str">
        <f>"40205304  "</f>
        <v xml:space="preserve">40205304  </v>
      </c>
      <c r="B153" t="s">
        <v>150</v>
      </c>
      <c r="C153">
        <v>911.9</v>
      </c>
      <c r="D153" t="str">
        <f>"272"</f>
        <v>272</v>
      </c>
    </row>
    <row r="154" spans="1:5" x14ac:dyDescent="0.25">
      <c r="A154" t="str">
        <f>"40205452  "</f>
        <v xml:space="preserve">40205452  </v>
      </c>
      <c r="B154" t="s">
        <v>151</v>
      </c>
      <c r="C154" s="1">
        <v>1404.7</v>
      </c>
      <c r="D154" t="str">
        <f>"272"</f>
        <v>272</v>
      </c>
    </row>
    <row r="155" spans="1:5" x14ac:dyDescent="0.25">
      <c r="A155" t="str">
        <f>"40205502  "</f>
        <v xml:space="preserve">40205502  </v>
      </c>
      <c r="B155" t="s">
        <v>152</v>
      </c>
      <c r="C155">
        <v>209</v>
      </c>
      <c r="D155" t="str">
        <f>"730"</f>
        <v>730</v>
      </c>
      <c r="E155" t="str">
        <f>"93005"</f>
        <v>93005</v>
      </c>
    </row>
    <row r="156" spans="1:5" x14ac:dyDescent="0.25">
      <c r="A156" t="str">
        <f>"40205601  "</f>
        <v xml:space="preserve">40205601  </v>
      </c>
      <c r="B156" t="s">
        <v>153</v>
      </c>
      <c r="C156">
        <v>92.4</v>
      </c>
      <c r="D156" t="str">
        <f>"270"</f>
        <v>270</v>
      </c>
      <c r="E156" t="str">
        <f>"00099"</f>
        <v>00099</v>
      </c>
    </row>
    <row r="157" spans="1:5" x14ac:dyDescent="0.25">
      <c r="A157" t="str">
        <f>"40205700  "</f>
        <v xml:space="preserve">40205700  </v>
      </c>
      <c r="B157" t="s">
        <v>154</v>
      </c>
      <c r="C157">
        <v>11</v>
      </c>
      <c r="D157" t="str">
        <f>"272"</f>
        <v>272</v>
      </c>
    </row>
    <row r="158" spans="1:5" x14ac:dyDescent="0.25">
      <c r="A158" t="str">
        <f>"40205809  "</f>
        <v xml:space="preserve">40205809  </v>
      </c>
      <c r="B158" t="s">
        <v>155</v>
      </c>
      <c r="C158">
        <v>177.1</v>
      </c>
      <c r="D158" t="str">
        <f>"270"</f>
        <v>270</v>
      </c>
      <c r="E158" t="str">
        <f>"00099"</f>
        <v>00099</v>
      </c>
    </row>
    <row r="159" spans="1:5" x14ac:dyDescent="0.25">
      <c r="A159" t="str">
        <f>"40205908  "</f>
        <v xml:space="preserve">40205908  </v>
      </c>
      <c r="B159" t="s">
        <v>156</v>
      </c>
      <c r="C159">
        <v>183.7</v>
      </c>
      <c r="D159" t="str">
        <f>"272"</f>
        <v>272</v>
      </c>
    </row>
    <row r="160" spans="1:5" x14ac:dyDescent="0.25">
      <c r="A160" t="str">
        <f>"40206005  "</f>
        <v xml:space="preserve">40206005  </v>
      </c>
      <c r="B160" t="s">
        <v>157</v>
      </c>
      <c r="C160">
        <v>82.5</v>
      </c>
      <c r="D160" t="str">
        <f>"272"</f>
        <v>272</v>
      </c>
    </row>
    <row r="161" spans="1:5" x14ac:dyDescent="0.25">
      <c r="A161" t="str">
        <f>"40206013  "</f>
        <v xml:space="preserve">40206013  </v>
      </c>
      <c r="B161" t="s">
        <v>158</v>
      </c>
      <c r="C161" s="1">
        <v>1650</v>
      </c>
      <c r="D161" t="str">
        <f>"361"</f>
        <v>361</v>
      </c>
      <c r="E161" t="str">
        <f>"36569"</f>
        <v>36569</v>
      </c>
    </row>
    <row r="162" spans="1:5" x14ac:dyDescent="0.25">
      <c r="A162" t="str">
        <f>"40206104  "</f>
        <v xml:space="preserve">40206104  </v>
      </c>
      <c r="B162" t="s">
        <v>159</v>
      </c>
      <c r="C162">
        <v>135.30000000000001</v>
      </c>
      <c r="D162" t="str">
        <f>"272"</f>
        <v>272</v>
      </c>
    </row>
    <row r="163" spans="1:5" x14ac:dyDescent="0.25">
      <c r="A163" t="str">
        <f>"40206203  "</f>
        <v xml:space="preserve">40206203  </v>
      </c>
      <c r="B163" t="s">
        <v>160</v>
      </c>
      <c r="C163">
        <v>202.4</v>
      </c>
      <c r="D163" t="str">
        <f>"270"</f>
        <v>270</v>
      </c>
    </row>
    <row r="164" spans="1:5" x14ac:dyDescent="0.25">
      <c r="A164" t="str">
        <f>"40206252  "</f>
        <v xml:space="preserve">40206252  </v>
      </c>
      <c r="B164" t="s">
        <v>161</v>
      </c>
      <c r="C164">
        <v>81.400000000000006</v>
      </c>
      <c r="D164" t="str">
        <f>"272"</f>
        <v>272</v>
      </c>
    </row>
    <row r="165" spans="1:5" x14ac:dyDescent="0.25">
      <c r="A165" t="str">
        <f>"40206302  "</f>
        <v xml:space="preserve">40206302  </v>
      </c>
      <c r="B165" t="s">
        <v>162</v>
      </c>
      <c r="C165">
        <v>233.2</v>
      </c>
      <c r="D165" t="str">
        <f>"272"</f>
        <v>272</v>
      </c>
    </row>
    <row r="166" spans="1:5" x14ac:dyDescent="0.25">
      <c r="A166" t="str">
        <f>"40206351  "</f>
        <v xml:space="preserve">40206351  </v>
      </c>
      <c r="B166" t="s">
        <v>163</v>
      </c>
      <c r="C166">
        <v>574.20000000000005</v>
      </c>
      <c r="D166" t="str">
        <f>"360"</f>
        <v>360</v>
      </c>
      <c r="E166" t="str">
        <f>"00099"</f>
        <v>00099</v>
      </c>
    </row>
    <row r="167" spans="1:5" x14ac:dyDescent="0.25">
      <c r="A167" t="str">
        <f>"40207003  "</f>
        <v xml:space="preserve">40207003  </v>
      </c>
      <c r="B167" t="s">
        <v>164</v>
      </c>
      <c r="C167" s="1">
        <v>2347.4</v>
      </c>
      <c r="D167" t="str">
        <f>"272"</f>
        <v>272</v>
      </c>
    </row>
    <row r="168" spans="1:5" x14ac:dyDescent="0.25">
      <c r="A168" t="str">
        <f>"40207011  "</f>
        <v xml:space="preserve">40207011  </v>
      </c>
      <c r="B168" t="s">
        <v>165</v>
      </c>
      <c r="C168">
        <v>860.2</v>
      </c>
      <c r="D168" t="str">
        <f>"272"</f>
        <v>272</v>
      </c>
    </row>
    <row r="169" spans="1:5" x14ac:dyDescent="0.25">
      <c r="A169" t="str">
        <f>"40209009  "</f>
        <v xml:space="preserve">40209009  </v>
      </c>
      <c r="B169" t="s">
        <v>166</v>
      </c>
      <c r="C169">
        <v>183.7</v>
      </c>
      <c r="D169" t="str">
        <f>"750"</f>
        <v>750</v>
      </c>
      <c r="E169" t="str">
        <f>"00099"</f>
        <v>00099</v>
      </c>
    </row>
    <row r="170" spans="1:5" x14ac:dyDescent="0.25">
      <c r="A170" t="str">
        <f>"40209108  "</f>
        <v xml:space="preserve">40209108  </v>
      </c>
      <c r="B170" t="s">
        <v>167</v>
      </c>
      <c r="C170">
        <v>116.6</v>
      </c>
      <c r="D170" t="str">
        <f>"750"</f>
        <v>750</v>
      </c>
      <c r="E170" t="str">
        <f>"00099"</f>
        <v>00099</v>
      </c>
    </row>
    <row r="171" spans="1:5" x14ac:dyDescent="0.25">
      <c r="A171" t="str">
        <f>"40209157  "</f>
        <v xml:space="preserve">40209157  </v>
      </c>
      <c r="B171" t="s">
        <v>168</v>
      </c>
      <c r="C171">
        <v>110</v>
      </c>
      <c r="D171" t="str">
        <f>"272"</f>
        <v>272</v>
      </c>
    </row>
    <row r="172" spans="1:5" x14ac:dyDescent="0.25">
      <c r="A172" t="str">
        <f>"40209207  "</f>
        <v xml:space="preserve">40209207  </v>
      </c>
      <c r="B172" t="s">
        <v>169</v>
      </c>
      <c r="C172">
        <v>134.19999999999999</v>
      </c>
      <c r="D172" t="str">
        <f>"272"</f>
        <v>272</v>
      </c>
    </row>
    <row r="173" spans="1:5" x14ac:dyDescent="0.25">
      <c r="A173" t="str">
        <f>"40209215  "</f>
        <v xml:space="preserve">40209215  </v>
      </c>
      <c r="B173" t="s">
        <v>170</v>
      </c>
      <c r="C173">
        <v>111.1</v>
      </c>
      <c r="D173" t="str">
        <f>"272"</f>
        <v>272</v>
      </c>
    </row>
    <row r="174" spans="1:5" x14ac:dyDescent="0.25">
      <c r="A174" t="str">
        <f>"40209256  "</f>
        <v xml:space="preserve">40209256  </v>
      </c>
      <c r="B174" t="s">
        <v>171</v>
      </c>
      <c r="C174">
        <v>67.099999999999994</v>
      </c>
      <c r="D174" t="str">
        <f>"272"</f>
        <v>272</v>
      </c>
    </row>
    <row r="175" spans="1:5" x14ac:dyDescent="0.25">
      <c r="A175" t="str">
        <f>"40209306  "</f>
        <v xml:space="preserve">40209306  </v>
      </c>
      <c r="B175" t="s">
        <v>172</v>
      </c>
      <c r="C175">
        <v>67.099999999999994</v>
      </c>
      <c r="D175" t="str">
        <f>"360"</f>
        <v>360</v>
      </c>
      <c r="E175" t="str">
        <f>"00099"</f>
        <v>00099</v>
      </c>
    </row>
    <row r="176" spans="1:5" x14ac:dyDescent="0.25">
      <c r="A176" t="str">
        <f>"40209355  "</f>
        <v xml:space="preserve">40209355  </v>
      </c>
      <c r="B176" t="s">
        <v>173</v>
      </c>
      <c r="C176">
        <v>67.099999999999994</v>
      </c>
      <c r="D176" t="str">
        <f>"272"</f>
        <v>272</v>
      </c>
    </row>
    <row r="177" spans="1:5" x14ac:dyDescent="0.25">
      <c r="A177" t="str">
        <f>"40209405  "</f>
        <v xml:space="preserve">40209405  </v>
      </c>
      <c r="B177" t="s">
        <v>174</v>
      </c>
      <c r="C177">
        <v>134.19999999999999</v>
      </c>
      <c r="D177" t="str">
        <f>"272"</f>
        <v>272</v>
      </c>
    </row>
    <row r="178" spans="1:5" x14ac:dyDescent="0.25">
      <c r="A178" t="str">
        <f>"40209454  "</f>
        <v xml:space="preserve">40209454  </v>
      </c>
      <c r="B178" t="s">
        <v>175</v>
      </c>
      <c r="C178">
        <v>96.8</v>
      </c>
      <c r="D178" t="str">
        <f>"272"</f>
        <v>272</v>
      </c>
    </row>
    <row r="179" spans="1:5" x14ac:dyDescent="0.25">
      <c r="A179" t="str">
        <f>"40209504  "</f>
        <v xml:space="preserve">40209504  </v>
      </c>
      <c r="B179" t="s">
        <v>176</v>
      </c>
      <c r="C179">
        <v>92.4</v>
      </c>
      <c r="D179" t="str">
        <f>"272"</f>
        <v>272</v>
      </c>
    </row>
    <row r="180" spans="1:5" x14ac:dyDescent="0.25">
      <c r="A180" t="str">
        <f>"40209553  "</f>
        <v xml:space="preserve">40209553  </v>
      </c>
      <c r="B180" t="s">
        <v>177</v>
      </c>
      <c r="C180">
        <v>92.4</v>
      </c>
      <c r="D180" t="str">
        <f>"272"</f>
        <v>272</v>
      </c>
    </row>
    <row r="181" spans="1:5" x14ac:dyDescent="0.25">
      <c r="A181" t="str">
        <f>"40209603  "</f>
        <v xml:space="preserve">40209603  </v>
      </c>
      <c r="B181" t="s">
        <v>178</v>
      </c>
      <c r="C181">
        <v>167.2</v>
      </c>
      <c r="D181" t="str">
        <f>"270"</f>
        <v>270</v>
      </c>
    </row>
    <row r="182" spans="1:5" x14ac:dyDescent="0.25">
      <c r="A182" t="str">
        <f>"40209611  "</f>
        <v xml:space="preserve">40209611  </v>
      </c>
      <c r="B182" t="s">
        <v>179</v>
      </c>
      <c r="C182">
        <v>286</v>
      </c>
      <c r="D182" t="str">
        <f>"270"</f>
        <v>270</v>
      </c>
    </row>
    <row r="183" spans="1:5" x14ac:dyDescent="0.25">
      <c r="A183" t="str">
        <f>"40209629  "</f>
        <v xml:space="preserve">40209629  </v>
      </c>
      <c r="B183" t="s">
        <v>180</v>
      </c>
      <c r="C183">
        <v>202.4</v>
      </c>
      <c r="D183" t="str">
        <f>"750"</f>
        <v>750</v>
      </c>
      <c r="E183" t="str">
        <f>"00099"</f>
        <v>00099</v>
      </c>
    </row>
    <row r="184" spans="1:5" x14ac:dyDescent="0.25">
      <c r="A184" t="str">
        <f>"40209637  "</f>
        <v xml:space="preserve">40209637  </v>
      </c>
      <c r="B184" t="s">
        <v>181</v>
      </c>
      <c r="C184">
        <v>145.19999999999999</v>
      </c>
      <c r="D184" t="str">
        <f t="shared" ref="D184:D189" si="5">"272"</f>
        <v>272</v>
      </c>
    </row>
    <row r="185" spans="1:5" x14ac:dyDescent="0.25">
      <c r="A185" t="str">
        <f>"40209645  "</f>
        <v xml:space="preserve">40209645  </v>
      </c>
      <c r="B185" t="s">
        <v>182</v>
      </c>
      <c r="C185">
        <v>158.4</v>
      </c>
      <c r="D185" t="str">
        <f t="shared" si="5"/>
        <v>272</v>
      </c>
    </row>
    <row r="186" spans="1:5" x14ac:dyDescent="0.25">
      <c r="A186" t="str">
        <f>"40209652  "</f>
        <v xml:space="preserve">40209652  </v>
      </c>
      <c r="B186" t="s">
        <v>183</v>
      </c>
      <c r="C186">
        <v>57.2</v>
      </c>
      <c r="D186" t="str">
        <f t="shared" si="5"/>
        <v>272</v>
      </c>
    </row>
    <row r="187" spans="1:5" x14ac:dyDescent="0.25">
      <c r="A187" t="str">
        <f>"40209702  "</f>
        <v xml:space="preserve">40209702  </v>
      </c>
      <c r="B187" t="s">
        <v>184</v>
      </c>
      <c r="C187">
        <v>57.2</v>
      </c>
      <c r="D187" t="str">
        <f t="shared" si="5"/>
        <v>272</v>
      </c>
    </row>
    <row r="188" spans="1:5" x14ac:dyDescent="0.25">
      <c r="A188" t="str">
        <f>"40209751  "</f>
        <v xml:space="preserve">40209751  </v>
      </c>
      <c r="B188" t="s">
        <v>185</v>
      </c>
      <c r="C188">
        <v>92.4</v>
      </c>
      <c r="D188" t="str">
        <f t="shared" si="5"/>
        <v>272</v>
      </c>
    </row>
    <row r="189" spans="1:5" x14ac:dyDescent="0.25">
      <c r="A189" t="str">
        <f>"40209801  "</f>
        <v xml:space="preserve">40209801  </v>
      </c>
      <c r="B189" t="s">
        <v>186</v>
      </c>
      <c r="C189">
        <v>57.2</v>
      </c>
      <c r="D189" t="str">
        <f t="shared" si="5"/>
        <v>272</v>
      </c>
    </row>
    <row r="190" spans="1:5" x14ac:dyDescent="0.25">
      <c r="A190" t="str">
        <f>"40209850  "</f>
        <v xml:space="preserve">40209850  </v>
      </c>
      <c r="B190" t="s">
        <v>187</v>
      </c>
      <c r="C190" s="1">
        <v>1434.4</v>
      </c>
      <c r="D190" t="str">
        <f>"360"</f>
        <v>360</v>
      </c>
      <c r="E190" t="str">
        <f>"00099"</f>
        <v>00099</v>
      </c>
    </row>
    <row r="191" spans="1:5" x14ac:dyDescent="0.25">
      <c r="A191" t="str">
        <f>"40209959  "</f>
        <v xml:space="preserve">40209959  </v>
      </c>
      <c r="B191" t="s">
        <v>188</v>
      </c>
      <c r="C191" s="1">
        <v>1434.4</v>
      </c>
      <c r="D191" t="str">
        <f>"360"</f>
        <v>360</v>
      </c>
      <c r="E191" t="str">
        <f>"00099"</f>
        <v>00099</v>
      </c>
    </row>
    <row r="192" spans="1:5" x14ac:dyDescent="0.25">
      <c r="A192" t="str">
        <f>"40210007  "</f>
        <v xml:space="preserve">40210007  </v>
      </c>
      <c r="B192" t="s">
        <v>189</v>
      </c>
      <c r="C192" s="1">
        <v>1042.8</v>
      </c>
      <c r="D192" t="str">
        <f>"360"</f>
        <v>360</v>
      </c>
      <c r="E192" t="str">
        <f>"00099"</f>
        <v>00099</v>
      </c>
    </row>
    <row r="193" spans="1:5" x14ac:dyDescent="0.25">
      <c r="A193" t="str">
        <f>"40210056  "</f>
        <v xml:space="preserve">40210056  </v>
      </c>
      <c r="B193" t="s">
        <v>190</v>
      </c>
      <c r="C193">
        <v>690.8</v>
      </c>
      <c r="D193" t="str">
        <f>"270"</f>
        <v>270</v>
      </c>
    </row>
    <row r="194" spans="1:5" x14ac:dyDescent="0.25">
      <c r="A194" t="str">
        <f>"40210106  "</f>
        <v xml:space="preserve">40210106  </v>
      </c>
      <c r="B194" t="s">
        <v>191</v>
      </c>
      <c r="C194" s="1">
        <v>2347.4</v>
      </c>
      <c r="D194" t="str">
        <f>"272"</f>
        <v>272</v>
      </c>
    </row>
    <row r="195" spans="1:5" x14ac:dyDescent="0.25">
      <c r="A195" t="str">
        <f>"40210155  "</f>
        <v xml:space="preserve">40210155  </v>
      </c>
      <c r="B195" t="s">
        <v>192</v>
      </c>
      <c r="C195">
        <v>111.1</v>
      </c>
      <c r="D195" t="str">
        <f>"272"</f>
        <v>272</v>
      </c>
    </row>
    <row r="196" spans="1:5" x14ac:dyDescent="0.25">
      <c r="A196" t="str">
        <f>"40210163  "</f>
        <v xml:space="preserve">40210163  </v>
      </c>
      <c r="B196" t="s">
        <v>193</v>
      </c>
      <c r="C196">
        <v>237.6</v>
      </c>
      <c r="D196" t="str">
        <f>"270"</f>
        <v>270</v>
      </c>
      <c r="E196" t="str">
        <f>"00099"</f>
        <v>00099</v>
      </c>
    </row>
    <row r="197" spans="1:5" x14ac:dyDescent="0.25">
      <c r="A197" t="str">
        <f>"40210205  "</f>
        <v xml:space="preserve">40210205  </v>
      </c>
      <c r="B197" t="s">
        <v>194</v>
      </c>
      <c r="C197">
        <v>123.2</v>
      </c>
      <c r="D197" t="str">
        <f>"270"</f>
        <v>270</v>
      </c>
    </row>
    <row r="198" spans="1:5" x14ac:dyDescent="0.25">
      <c r="A198" t="str">
        <f>"40210213  "</f>
        <v xml:space="preserve">40210213  </v>
      </c>
      <c r="B198" t="s">
        <v>195</v>
      </c>
      <c r="C198" s="1">
        <v>6459.2</v>
      </c>
      <c r="D198" t="str">
        <f>"270"</f>
        <v>270</v>
      </c>
    </row>
    <row r="199" spans="1:5" x14ac:dyDescent="0.25">
      <c r="A199" t="str">
        <f>"40210304  "</f>
        <v xml:space="preserve">40210304  </v>
      </c>
      <c r="B199" t="s">
        <v>196</v>
      </c>
      <c r="C199" s="1">
        <v>1610.4</v>
      </c>
      <c r="D199" t="str">
        <f>"272"</f>
        <v>272</v>
      </c>
    </row>
    <row r="200" spans="1:5" x14ac:dyDescent="0.25">
      <c r="A200" t="str">
        <f>"40210403  "</f>
        <v xml:space="preserve">40210403  </v>
      </c>
      <c r="B200" t="s">
        <v>197</v>
      </c>
      <c r="C200" s="1">
        <v>1256.2</v>
      </c>
      <c r="D200" t="str">
        <f>"270"</f>
        <v>270</v>
      </c>
    </row>
    <row r="201" spans="1:5" x14ac:dyDescent="0.25">
      <c r="A201" t="str">
        <f>"40210601  "</f>
        <v xml:space="preserve">40210601  </v>
      </c>
      <c r="B201" t="s">
        <v>198</v>
      </c>
      <c r="C201">
        <v>257.39999999999998</v>
      </c>
      <c r="D201" t="str">
        <f>"360"</f>
        <v>360</v>
      </c>
      <c r="E201" t="str">
        <f>"00099"</f>
        <v>00099</v>
      </c>
    </row>
    <row r="202" spans="1:5" x14ac:dyDescent="0.25">
      <c r="A202" t="str">
        <f>"40210809  "</f>
        <v xml:space="preserve">40210809  </v>
      </c>
      <c r="B202" t="s">
        <v>199</v>
      </c>
      <c r="C202">
        <v>829.4</v>
      </c>
      <c r="D202" t="str">
        <f>"320"</f>
        <v>320</v>
      </c>
      <c r="E202" t="str">
        <f>"76000"</f>
        <v>76000</v>
      </c>
    </row>
    <row r="203" spans="1:5" x14ac:dyDescent="0.25">
      <c r="A203" t="str">
        <f>"40210908  "</f>
        <v xml:space="preserve">40210908  </v>
      </c>
      <c r="B203" t="s">
        <v>200</v>
      </c>
      <c r="C203">
        <v>67.099999999999994</v>
      </c>
      <c r="D203" t="str">
        <f>"272"</f>
        <v>272</v>
      </c>
    </row>
    <row r="204" spans="1:5" x14ac:dyDescent="0.25">
      <c r="A204" t="str">
        <f>"40210965  "</f>
        <v xml:space="preserve">40210965  </v>
      </c>
      <c r="B204" t="s">
        <v>201</v>
      </c>
      <c r="C204">
        <v>249.7</v>
      </c>
      <c r="D204" t="str">
        <f>"360"</f>
        <v>360</v>
      </c>
      <c r="E204" t="str">
        <f>"00099"</f>
        <v>00099</v>
      </c>
    </row>
    <row r="205" spans="1:5" x14ac:dyDescent="0.25">
      <c r="A205" t="str">
        <f>"40220006  "</f>
        <v xml:space="preserve">40220006  </v>
      </c>
      <c r="B205" t="s">
        <v>202</v>
      </c>
      <c r="C205">
        <v>860.2</v>
      </c>
      <c r="D205" t="str">
        <f t="shared" ref="D205:D221" si="6">"272"</f>
        <v>272</v>
      </c>
    </row>
    <row r="206" spans="1:5" x14ac:dyDescent="0.25">
      <c r="A206" t="str">
        <f>"40220014  "</f>
        <v xml:space="preserve">40220014  </v>
      </c>
      <c r="B206" t="s">
        <v>203</v>
      </c>
      <c r="C206">
        <v>646.79999999999995</v>
      </c>
      <c r="D206" t="str">
        <f t="shared" si="6"/>
        <v>272</v>
      </c>
    </row>
    <row r="207" spans="1:5" x14ac:dyDescent="0.25">
      <c r="A207" t="str">
        <f>"40220022  "</f>
        <v xml:space="preserve">40220022  </v>
      </c>
      <c r="B207" t="s">
        <v>204</v>
      </c>
      <c r="C207">
        <v>646.79999999999995</v>
      </c>
      <c r="D207" t="str">
        <f t="shared" si="6"/>
        <v>272</v>
      </c>
    </row>
    <row r="208" spans="1:5" x14ac:dyDescent="0.25">
      <c r="A208" t="str">
        <f>"40220030  "</f>
        <v xml:space="preserve">40220030  </v>
      </c>
      <c r="B208" t="s">
        <v>205</v>
      </c>
      <c r="C208">
        <v>430.1</v>
      </c>
      <c r="D208" t="str">
        <f t="shared" si="6"/>
        <v>272</v>
      </c>
    </row>
    <row r="209" spans="1:5" x14ac:dyDescent="0.25">
      <c r="A209" t="str">
        <f>"40220048  "</f>
        <v xml:space="preserve">40220048  </v>
      </c>
      <c r="B209" t="s">
        <v>206</v>
      </c>
      <c r="C209" s="1">
        <v>1513.6</v>
      </c>
      <c r="D209" t="str">
        <f t="shared" si="6"/>
        <v>272</v>
      </c>
    </row>
    <row r="210" spans="1:5" x14ac:dyDescent="0.25">
      <c r="A210" t="str">
        <f>"40220055  "</f>
        <v xml:space="preserve">40220055  </v>
      </c>
      <c r="B210" t="s">
        <v>207</v>
      </c>
      <c r="C210">
        <v>413.6</v>
      </c>
      <c r="D210" t="str">
        <f t="shared" si="6"/>
        <v>272</v>
      </c>
    </row>
    <row r="211" spans="1:5" x14ac:dyDescent="0.25">
      <c r="A211" t="str">
        <f>"40220063  "</f>
        <v xml:space="preserve">40220063  </v>
      </c>
      <c r="B211" t="s">
        <v>208</v>
      </c>
      <c r="C211">
        <v>413.6</v>
      </c>
      <c r="D211" t="str">
        <f t="shared" si="6"/>
        <v>272</v>
      </c>
    </row>
    <row r="212" spans="1:5" x14ac:dyDescent="0.25">
      <c r="A212" t="str">
        <f>"40220071  "</f>
        <v xml:space="preserve">40220071  </v>
      </c>
      <c r="B212" t="s">
        <v>209</v>
      </c>
      <c r="C212">
        <v>402.6</v>
      </c>
      <c r="D212" t="str">
        <f t="shared" si="6"/>
        <v>272</v>
      </c>
    </row>
    <row r="213" spans="1:5" x14ac:dyDescent="0.25">
      <c r="A213" t="str">
        <f>"40220089  "</f>
        <v xml:space="preserve">40220089  </v>
      </c>
      <c r="B213" t="s">
        <v>210</v>
      </c>
      <c r="C213" s="1">
        <v>1823.8</v>
      </c>
      <c r="D213" t="str">
        <f t="shared" si="6"/>
        <v>272</v>
      </c>
    </row>
    <row r="214" spans="1:5" x14ac:dyDescent="0.25">
      <c r="A214" t="str">
        <f>"40220097  "</f>
        <v xml:space="preserve">40220097  </v>
      </c>
      <c r="B214" t="s">
        <v>211</v>
      </c>
      <c r="C214" s="1">
        <v>1080.2</v>
      </c>
      <c r="D214" t="str">
        <f t="shared" si="6"/>
        <v>272</v>
      </c>
    </row>
    <row r="215" spans="1:5" x14ac:dyDescent="0.25">
      <c r="A215" t="str">
        <f>"40220105  "</f>
        <v xml:space="preserve">40220105  </v>
      </c>
      <c r="B215" t="s">
        <v>212</v>
      </c>
      <c r="C215" s="1">
        <v>1823.8</v>
      </c>
      <c r="D215" t="str">
        <f t="shared" si="6"/>
        <v>272</v>
      </c>
    </row>
    <row r="216" spans="1:5" x14ac:dyDescent="0.25">
      <c r="A216" t="str">
        <f>"40220113  "</f>
        <v xml:space="preserve">40220113  </v>
      </c>
      <c r="B216" t="s">
        <v>213</v>
      </c>
      <c r="C216" s="1">
        <v>1927.2</v>
      </c>
      <c r="D216" t="str">
        <f t="shared" si="6"/>
        <v>272</v>
      </c>
    </row>
    <row r="217" spans="1:5" x14ac:dyDescent="0.25">
      <c r="A217" t="str">
        <f>"40220121  "</f>
        <v xml:space="preserve">40220121  </v>
      </c>
      <c r="B217" t="s">
        <v>214</v>
      </c>
      <c r="C217" s="1">
        <v>2582.8000000000002</v>
      </c>
      <c r="D217" t="str">
        <f t="shared" si="6"/>
        <v>272</v>
      </c>
    </row>
    <row r="218" spans="1:5" x14ac:dyDescent="0.25">
      <c r="A218" t="str">
        <f>"40220139  "</f>
        <v xml:space="preserve">40220139  </v>
      </c>
      <c r="B218" t="s">
        <v>215</v>
      </c>
      <c r="C218" s="1">
        <v>1823.8</v>
      </c>
      <c r="D218" t="str">
        <f t="shared" si="6"/>
        <v>272</v>
      </c>
    </row>
    <row r="219" spans="1:5" x14ac:dyDescent="0.25">
      <c r="A219" t="str">
        <f>"40220147  "</f>
        <v xml:space="preserve">40220147  </v>
      </c>
      <c r="B219" t="s">
        <v>216</v>
      </c>
      <c r="C219" s="1">
        <v>3300</v>
      </c>
      <c r="D219" t="str">
        <f t="shared" si="6"/>
        <v>272</v>
      </c>
    </row>
    <row r="220" spans="1:5" x14ac:dyDescent="0.25">
      <c r="A220" t="str">
        <f>"40220154  "</f>
        <v xml:space="preserve">40220154  </v>
      </c>
      <c r="B220" t="s">
        <v>217</v>
      </c>
      <c r="C220" s="1">
        <v>1760</v>
      </c>
      <c r="D220" t="str">
        <f t="shared" si="6"/>
        <v>272</v>
      </c>
    </row>
    <row r="221" spans="1:5" x14ac:dyDescent="0.25">
      <c r="A221" t="str">
        <f>"40220162  "</f>
        <v xml:space="preserve">40220162  </v>
      </c>
      <c r="B221" t="s">
        <v>217</v>
      </c>
      <c r="C221" s="1">
        <v>4400</v>
      </c>
      <c r="D221" t="str">
        <f t="shared" si="6"/>
        <v>272</v>
      </c>
    </row>
    <row r="222" spans="1:5" x14ac:dyDescent="0.25">
      <c r="A222" t="str">
        <f>"40220170  "</f>
        <v xml:space="preserve">40220170  </v>
      </c>
      <c r="B222" t="s">
        <v>218</v>
      </c>
      <c r="C222" s="1">
        <v>2802.8</v>
      </c>
      <c r="D222" t="str">
        <f>"360"</f>
        <v>360</v>
      </c>
      <c r="E222" t="str">
        <f>"00099"</f>
        <v>00099</v>
      </c>
    </row>
    <row r="223" spans="1:5" x14ac:dyDescent="0.25">
      <c r="A223" t="str">
        <f>"40220188  "</f>
        <v xml:space="preserve">40220188  </v>
      </c>
      <c r="B223" t="s">
        <v>219</v>
      </c>
      <c r="C223" s="1">
        <v>1291.4000000000001</v>
      </c>
      <c r="D223" t="str">
        <f t="shared" ref="D223:D243" si="7">"272"</f>
        <v>272</v>
      </c>
    </row>
    <row r="224" spans="1:5" x14ac:dyDescent="0.25">
      <c r="A224" t="str">
        <f>"40220196  "</f>
        <v xml:space="preserve">40220196  </v>
      </c>
      <c r="B224" t="s">
        <v>220</v>
      </c>
      <c r="C224" s="1">
        <v>2802.8</v>
      </c>
      <c r="D224" t="str">
        <f t="shared" si="7"/>
        <v>272</v>
      </c>
    </row>
    <row r="225" spans="1:4" x14ac:dyDescent="0.25">
      <c r="A225" t="str">
        <f>"40220204  "</f>
        <v xml:space="preserve">40220204  </v>
      </c>
      <c r="B225" t="s">
        <v>221</v>
      </c>
      <c r="C225" s="1">
        <v>2802.8</v>
      </c>
      <c r="D225" t="str">
        <f t="shared" si="7"/>
        <v>272</v>
      </c>
    </row>
    <row r="226" spans="1:4" x14ac:dyDescent="0.25">
      <c r="A226" t="str">
        <f>"40220212  "</f>
        <v xml:space="preserve">40220212  </v>
      </c>
      <c r="B226" t="s">
        <v>222</v>
      </c>
      <c r="C226" s="1">
        <v>2802.8</v>
      </c>
      <c r="D226" t="str">
        <f t="shared" si="7"/>
        <v>272</v>
      </c>
    </row>
    <row r="227" spans="1:4" x14ac:dyDescent="0.25">
      <c r="A227" t="str">
        <f>"40220220  "</f>
        <v xml:space="preserve">40220220  </v>
      </c>
      <c r="B227" t="s">
        <v>223</v>
      </c>
      <c r="C227" s="1">
        <v>2802.8</v>
      </c>
      <c r="D227" t="str">
        <f t="shared" si="7"/>
        <v>272</v>
      </c>
    </row>
    <row r="228" spans="1:4" x14ac:dyDescent="0.25">
      <c r="A228" t="str">
        <f>"40220238  "</f>
        <v xml:space="preserve">40220238  </v>
      </c>
      <c r="B228" t="s">
        <v>224</v>
      </c>
      <c r="C228" s="1">
        <v>2802.8</v>
      </c>
      <c r="D228" t="str">
        <f t="shared" si="7"/>
        <v>272</v>
      </c>
    </row>
    <row r="229" spans="1:4" x14ac:dyDescent="0.25">
      <c r="A229" t="str">
        <f>"40220246  "</f>
        <v xml:space="preserve">40220246  </v>
      </c>
      <c r="B229" t="s">
        <v>225</v>
      </c>
      <c r="C229" s="1">
        <v>3247.2</v>
      </c>
      <c r="D229" t="str">
        <f t="shared" si="7"/>
        <v>272</v>
      </c>
    </row>
    <row r="230" spans="1:4" x14ac:dyDescent="0.25">
      <c r="A230" t="str">
        <f>"40220253  "</f>
        <v xml:space="preserve">40220253  </v>
      </c>
      <c r="B230" t="s">
        <v>226</v>
      </c>
      <c r="C230">
        <v>646.79999999999995</v>
      </c>
      <c r="D230" t="str">
        <f t="shared" si="7"/>
        <v>272</v>
      </c>
    </row>
    <row r="231" spans="1:4" x14ac:dyDescent="0.25">
      <c r="A231" t="str">
        <f>"40220261  "</f>
        <v xml:space="preserve">40220261  </v>
      </c>
      <c r="B231" t="s">
        <v>227</v>
      </c>
      <c r="C231">
        <v>860.2</v>
      </c>
      <c r="D231" t="str">
        <f t="shared" si="7"/>
        <v>272</v>
      </c>
    </row>
    <row r="232" spans="1:4" x14ac:dyDescent="0.25">
      <c r="A232" t="str">
        <f>"40220279  "</f>
        <v xml:space="preserve">40220279  </v>
      </c>
      <c r="B232" t="s">
        <v>228</v>
      </c>
      <c r="C232">
        <v>860.2</v>
      </c>
      <c r="D232" t="str">
        <f t="shared" si="7"/>
        <v>272</v>
      </c>
    </row>
    <row r="233" spans="1:4" x14ac:dyDescent="0.25">
      <c r="A233" t="str">
        <f>"40220287  "</f>
        <v xml:space="preserve">40220287  </v>
      </c>
      <c r="B233" t="s">
        <v>229</v>
      </c>
      <c r="C233">
        <v>860.2</v>
      </c>
      <c r="D233" t="str">
        <f t="shared" si="7"/>
        <v>272</v>
      </c>
    </row>
    <row r="234" spans="1:4" x14ac:dyDescent="0.25">
      <c r="A234" t="str">
        <f>"40220295  "</f>
        <v xml:space="preserve">40220295  </v>
      </c>
      <c r="B234" t="s">
        <v>230</v>
      </c>
      <c r="C234">
        <v>860.2</v>
      </c>
      <c r="D234" t="str">
        <f t="shared" si="7"/>
        <v>272</v>
      </c>
    </row>
    <row r="235" spans="1:4" x14ac:dyDescent="0.25">
      <c r="A235" t="str">
        <f>"40220303  "</f>
        <v xml:space="preserve">40220303  </v>
      </c>
      <c r="B235" t="s">
        <v>231</v>
      </c>
      <c r="C235" s="1">
        <v>1080.2</v>
      </c>
      <c r="D235" t="str">
        <f t="shared" si="7"/>
        <v>272</v>
      </c>
    </row>
    <row r="236" spans="1:4" x14ac:dyDescent="0.25">
      <c r="A236" t="str">
        <f>"40220311  "</f>
        <v xml:space="preserve">40220311  </v>
      </c>
      <c r="B236" t="s">
        <v>232</v>
      </c>
      <c r="C236" s="1">
        <v>1823.8</v>
      </c>
      <c r="D236" t="str">
        <f t="shared" si="7"/>
        <v>272</v>
      </c>
    </row>
    <row r="237" spans="1:4" x14ac:dyDescent="0.25">
      <c r="A237" t="str">
        <f>"40220329  "</f>
        <v xml:space="preserve">40220329  </v>
      </c>
      <c r="B237" t="s">
        <v>233</v>
      </c>
      <c r="C237">
        <v>860.2</v>
      </c>
      <c r="D237" t="str">
        <f t="shared" si="7"/>
        <v>272</v>
      </c>
    </row>
    <row r="238" spans="1:4" x14ac:dyDescent="0.25">
      <c r="A238" t="str">
        <f>"40220337  "</f>
        <v xml:space="preserve">40220337  </v>
      </c>
      <c r="B238" t="s">
        <v>234</v>
      </c>
      <c r="C238">
        <v>939.4</v>
      </c>
      <c r="D238" t="str">
        <f t="shared" si="7"/>
        <v>272</v>
      </c>
    </row>
    <row r="239" spans="1:4" x14ac:dyDescent="0.25">
      <c r="A239" t="str">
        <f>"40220345  "</f>
        <v xml:space="preserve">40220345  </v>
      </c>
      <c r="B239" t="s">
        <v>235</v>
      </c>
      <c r="C239">
        <v>860.2</v>
      </c>
      <c r="D239" t="str">
        <f t="shared" si="7"/>
        <v>272</v>
      </c>
    </row>
    <row r="240" spans="1:4" x14ac:dyDescent="0.25">
      <c r="A240" t="str">
        <f>"40220352  "</f>
        <v xml:space="preserve">40220352  </v>
      </c>
      <c r="B240" t="s">
        <v>236</v>
      </c>
      <c r="C240">
        <v>860.2</v>
      </c>
      <c r="D240" t="str">
        <f t="shared" si="7"/>
        <v>272</v>
      </c>
    </row>
    <row r="241" spans="1:5" x14ac:dyDescent="0.25">
      <c r="A241" t="str">
        <f>"40220360  "</f>
        <v xml:space="preserve">40220360  </v>
      </c>
      <c r="B241" t="s">
        <v>237</v>
      </c>
      <c r="C241">
        <v>860.2</v>
      </c>
      <c r="D241" t="str">
        <f t="shared" si="7"/>
        <v>272</v>
      </c>
    </row>
    <row r="242" spans="1:5" x14ac:dyDescent="0.25">
      <c r="A242" t="str">
        <f>"40220378  "</f>
        <v xml:space="preserve">40220378  </v>
      </c>
      <c r="B242" t="s">
        <v>238</v>
      </c>
      <c r="C242">
        <v>860.2</v>
      </c>
      <c r="D242" t="str">
        <f t="shared" si="7"/>
        <v>272</v>
      </c>
    </row>
    <row r="243" spans="1:5" x14ac:dyDescent="0.25">
      <c r="A243" t="str">
        <f>"40220386  "</f>
        <v xml:space="preserve">40220386  </v>
      </c>
      <c r="B243" t="s">
        <v>239</v>
      </c>
      <c r="C243">
        <v>413.6</v>
      </c>
      <c r="D243" t="str">
        <f t="shared" si="7"/>
        <v>272</v>
      </c>
    </row>
    <row r="244" spans="1:5" x14ac:dyDescent="0.25">
      <c r="A244" t="str">
        <f>"40220394  "</f>
        <v xml:space="preserve">40220394  </v>
      </c>
      <c r="B244" t="s">
        <v>240</v>
      </c>
      <c r="C244">
        <v>209</v>
      </c>
      <c r="D244" t="str">
        <f>"270"</f>
        <v>270</v>
      </c>
      <c r="E244" t="str">
        <f>"00099"</f>
        <v>00099</v>
      </c>
    </row>
    <row r="245" spans="1:5" x14ac:dyDescent="0.25">
      <c r="A245" t="str">
        <f>"40220402  "</f>
        <v xml:space="preserve">40220402  </v>
      </c>
      <c r="B245" t="s">
        <v>241</v>
      </c>
      <c r="C245">
        <v>209</v>
      </c>
      <c r="D245" t="str">
        <f>"272"</f>
        <v>272</v>
      </c>
    </row>
    <row r="246" spans="1:5" x14ac:dyDescent="0.25">
      <c r="A246" t="str">
        <f>"40220428  "</f>
        <v xml:space="preserve">40220428  </v>
      </c>
      <c r="B246" t="s">
        <v>242</v>
      </c>
      <c r="C246">
        <v>521.4</v>
      </c>
      <c r="D246" t="str">
        <f>"270"</f>
        <v>270</v>
      </c>
    </row>
    <row r="247" spans="1:5" x14ac:dyDescent="0.25">
      <c r="A247" t="str">
        <f>"40220436  "</f>
        <v xml:space="preserve">40220436  </v>
      </c>
      <c r="B247" t="s">
        <v>243</v>
      </c>
      <c r="C247">
        <v>895.4</v>
      </c>
      <c r="D247" t="str">
        <f>"272"</f>
        <v>272</v>
      </c>
    </row>
    <row r="248" spans="1:5" x14ac:dyDescent="0.25">
      <c r="A248" t="str">
        <f>"40220444  "</f>
        <v xml:space="preserve">40220444  </v>
      </c>
      <c r="B248" t="s">
        <v>244</v>
      </c>
      <c r="C248">
        <v>418</v>
      </c>
      <c r="D248" t="str">
        <f>"272"</f>
        <v>272</v>
      </c>
    </row>
    <row r="249" spans="1:5" x14ac:dyDescent="0.25">
      <c r="A249" t="str">
        <f>"40220451  "</f>
        <v xml:space="preserve">40220451  </v>
      </c>
      <c r="B249" t="s">
        <v>245</v>
      </c>
      <c r="C249" s="1">
        <v>2158.1999999999998</v>
      </c>
      <c r="D249" t="str">
        <f>"270"</f>
        <v>270</v>
      </c>
    </row>
    <row r="250" spans="1:5" x14ac:dyDescent="0.25">
      <c r="A250" t="str">
        <f>"40220469  "</f>
        <v xml:space="preserve">40220469  </v>
      </c>
      <c r="B250" t="s">
        <v>246</v>
      </c>
      <c r="C250">
        <v>752.4</v>
      </c>
      <c r="D250" t="str">
        <f>"272"</f>
        <v>272</v>
      </c>
    </row>
    <row r="251" spans="1:5" x14ac:dyDescent="0.25">
      <c r="A251" t="str">
        <f>"40220477  "</f>
        <v xml:space="preserve">40220477  </v>
      </c>
      <c r="B251" t="s">
        <v>247</v>
      </c>
      <c r="C251">
        <v>233.2</v>
      </c>
      <c r="D251" t="str">
        <f>"270"</f>
        <v>270</v>
      </c>
    </row>
    <row r="252" spans="1:5" x14ac:dyDescent="0.25">
      <c r="A252" t="str">
        <f>"40220485  "</f>
        <v xml:space="preserve">40220485  </v>
      </c>
      <c r="B252" t="s">
        <v>248</v>
      </c>
      <c r="C252">
        <v>754.6</v>
      </c>
      <c r="D252" t="str">
        <f>"270"</f>
        <v>270</v>
      </c>
    </row>
    <row r="253" spans="1:5" x14ac:dyDescent="0.25">
      <c r="A253" t="str">
        <f>"40220493  "</f>
        <v xml:space="preserve">40220493  </v>
      </c>
      <c r="B253" t="s">
        <v>249</v>
      </c>
      <c r="C253">
        <v>627</v>
      </c>
      <c r="D253" t="str">
        <f>"270"</f>
        <v>270</v>
      </c>
    </row>
    <row r="254" spans="1:5" x14ac:dyDescent="0.25">
      <c r="A254" t="str">
        <f>"40220501  "</f>
        <v xml:space="preserve">40220501  </v>
      </c>
      <c r="B254" t="s">
        <v>250</v>
      </c>
      <c r="C254">
        <v>611.6</v>
      </c>
      <c r="D254" t="str">
        <f>"270"</f>
        <v>270</v>
      </c>
    </row>
    <row r="255" spans="1:5" x14ac:dyDescent="0.25">
      <c r="A255" t="str">
        <f>"40220519  "</f>
        <v xml:space="preserve">40220519  </v>
      </c>
      <c r="B255" t="s">
        <v>251</v>
      </c>
      <c r="C255">
        <v>585.20000000000005</v>
      </c>
      <c r="D255" t="str">
        <f>"270"</f>
        <v>270</v>
      </c>
      <c r="E255" t="str">
        <f>"00099"</f>
        <v>00099</v>
      </c>
    </row>
    <row r="256" spans="1:5" x14ac:dyDescent="0.25">
      <c r="A256" t="str">
        <f>"40220527  "</f>
        <v xml:space="preserve">40220527  </v>
      </c>
      <c r="B256" t="s">
        <v>252</v>
      </c>
      <c r="C256" s="1">
        <v>1762.2</v>
      </c>
      <c r="D256" t="str">
        <f>"272"</f>
        <v>272</v>
      </c>
    </row>
    <row r="257" spans="1:5" x14ac:dyDescent="0.25">
      <c r="A257" t="str">
        <f>"40220535  "</f>
        <v xml:space="preserve">40220535  </v>
      </c>
      <c r="B257" t="s">
        <v>253</v>
      </c>
      <c r="C257" s="1">
        <v>2224.1999999999998</v>
      </c>
      <c r="D257" t="str">
        <f>"272"</f>
        <v>272</v>
      </c>
    </row>
    <row r="258" spans="1:5" x14ac:dyDescent="0.25">
      <c r="A258" t="str">
        <f>"40220543  "</f>
        <v xml:space="preserve">40220543  </v>
      </c>
      <c r="B258" t="s">
        <v>254</v>
      </c>
      <c r="C258">
        <v>585.20000000000005</v>
      </c>
      <c r="D258" t="str">
        <f>"360"</f>
        <v>360</v>
      </c>
    </row>
    <row r="259" spans="1:5" x14ac:dyDescent="0.25">
      <c r="A259" t="str">
        <f>"40220550  "</f>
        <v xml:space="preserve">40220550  </v>
      </c>
      <c r="B259" t="s">
        <v>255</v>
      </c>
      <c r="C259">
        <v>182.6</v>
      </c>
      <c r="D259" t="str">
        <f>"270"</f>
        <v>270</v>
      </c>
    </row>
    <row r="260" spans="1:5" x14ac:dyDescent="0.25">
      <c r="A260" t="str">
        <f>"40220568  "</f>
        <v xml:space="preserve">40220568  </v>
      </c>
      <c r="B260" t="s">
        <v>256</v>
      </c>
      <c r="C260">
        <v>646.79999999999995</v>
      </c>
      <c r="D260" t="str">
        <f>"272"</f>
        <v>272</v>
      </c>
    </row>
    <row r="261" spans="1:5" x14ac:dyDescent="0.25">
      <c r="A261" t="str">
        <f>"40221004  "</f>
        <v xml:space="preserve">40221004  </v>
      </c>
      <c r="B261" t="s">
        <v>257</v>
      </c>
      <c r="C261" s="1">
        <v>2802.8</v>
      </c>
      <c r="D261" t="str">
        <f>"272"</f>
        <v>272</v>
      </c>
    </row>
    <row r="262" spans="1:5" x14ac:dyDescent="0.25">
      <c r="A262" t="str">
        <f>"40221020  "</f>
        <v xml:space="preserve">40221020  </v>
      </c>
      <c r="B262" t="s">
        <v>258</v>
      </c>
      <c r="C262" s="1">
        <v>7704.4</v>
      </c>
      <c r="D262" t="str">
        <f>"272"</f>
        <v>272</v>
      </c>
    </row>
    <row r="263" spans="1:5" x14ac:dyDescent="0.25">
      <c r="A263" t="str">
        <f>"40223398  "</f>
        <v xml:space="preserve">40223398  </v>
      </c>
      <c r="B263" t="s">
        <v>259</v>
      </c>
      <c r="C263" s="1">
        <v>1326.6</v>
      </c>
      <c r="D263" t="str">
        <f>"272"</f>
        <v>272</v>
      </c>
    </row>
    <row r="264" spans="1:5" x14ac:dyDescent="0.25">
      <c r="A264" t="str">
        <f>"40230005  "</f>
        <v xml:space="preserve">40230005  </v>
      </c>
      <c r="B264" t="s">
        <v>260</v>
      </c>
      <c r="C264" s="1">
        <v>1291.4000000000001</v>
      </c>
      <c r="D264" t="str">
        <f>"360"</f>
        <v>360</v>
      </c>
      <c r="E264" t="str">
        <f>"29345"</f>
        <v>29345</v>
      </c>
    </row>
    <row r="265" spans="1:5" x14ac:dyDescent="0.25">
      <c r="A265" t="str">
        <f>"40230013  "</f>
        <v xml:space="preserve">40230013  </v>
      </c>
      <c r="B265" t="s">
        <v>261</v>
      </c>
      <c r="C265">
        <v>860.2</v>
      </c>
      <c r="D265" t="str">
        <f>"360"</f>
        <v>360</v>
      </c>
      <c r="E265" t="str">
        <f>"29405"</f>
        <v>29405</v>
      </c>
    </row>
    <row r="266" spans="1:5" x14ac:dyDescent="0.25">
      <c r="A266" t="str">
        <f>"40230021  "</f>
        <v xml:space="preserve">40230021  </v>
      </c>
      <c r="B266" t="s">
        <v>262</v>
      </c>
      <c r="C266" s="1">
        <v>2224.1999999999998</v>
      </c>
      <c r="D266" t="str">
        <f>"272"</f>
        <v>272</v>
      </c>
    </row>
    <row r="267" spans="1:5" x14ac:dyDescent="0.25">
      <c r="A267" t="str">
        <f>"40230039  "</f>
        <v xml:space="preserve">40230039  </v>
      </c>
      <c r="B267" t="s">
        <v>263</v>
      </c>
      <c r="C267" s="1">
        <v>6600</v>
      </c>
      <c r="D267" t="str">
        <f>"360"</f>
        <v>360</v>
      </c>
    </row>
    <row r="268" spans="1:5" x14ac:dyDescent="0.25">
      <c r="A268" t="str">
        <f>"40230047  "</f>
        <v xml:space="preserve">40230047  </v>
      </c>
      <c r="B268" t="s">
        <v>264</v>
      </c>
      <c r="C268" s="1">
        <v>1464.1</v>
      </c>
      <c r="D268" t="str">
        <f>"360"</f>
        <v>360</v>
      </c>
      <c r="E268" t="str">
        <f>"00099"</f>
        <v>00099</v>
      </c>
    </row>
    <row r="269" spans="1:5" x14ac:dyDescent="0.25">
      <c r="A269" t="str">
        <f>"40245003  "</f>
        <v xml:space="preserve">40245003  </v>
      </c>
      <c r="B269" t="s">
        <v>265</v>
      </c>
      <c r="C269">
        <v>849.2</v>
      </c>
      <c r="D269" t="str">
        <f>"272"</f>
        <v>272</v>
      </c>
    </row>
    <row r="270" spans="1:5" x14ac:dyDescent="0.25">
      <c r="A270" t="str">
        <f>"40245011  "</f>
        <v xml:space="preserve">40245011  </v>
      </c>
      <c r="B270" t="s">
        <v>266</v>
      </c>
      <c r="C270">
        <v>849.2</v>
      </c>
      <c r="D270" t="str">
        <f>"272"</f>
        <v>272</v>
      </c>
    </row>
    <row r="271" spans="1:5" x14ac:dyDescent="0.25">
      <c r="A271" t="str">
        <f>"40250003  "</f>
        <v xml:space="preserve">40250003  </v>
      </c>
      <c r="B271" t="s">
        <v>267</v>
      </c>
      <c r="C271" s="1">
        <v>1072.5</v>
      </c>
      <c r="D271" t="str">
        <f t="shared" ref="D271:D277" si="8">"360"</f>
        <v>360</v>
      </c>
    </row>
    <row r="272" spans="1:5" x14ac:dyDescent="0.25">
      <c r="A272" t="str">
        <f>"40280000  "</f>
        <v xml:space="preserve">40280000  </v>
      </c>
      <c r="B272" t="s">
        <v>268</v>
      </c>
      <c r="C272" s="1">
        <v>3740</v>
      </c>
      <c r="D272" t="str">
        <f t="shared" si="8"/>
        <v>360</v>
      </c>
      <c r="E272" t="str">
        <f>"28890"</f>
        <v>28890</v>
      </c>
    </row>
    <row r="273" spans="1:5" x14ac:dyDescent="0.25">
      <c r="A273" t="str">
        <f>"40280018  "</f>
        <v xml:space="preserve">40280018  </v>
      </c>
      <c r="B273" t="s">
        <v>269</v>
      </c>
      <c r="C273" s="1">
        <v>3740</v>
      </c>
      <c r="D273" t="str">
        <f t="shared" si="8"/>
        <v>360</v>
      </c>
      <c r="E273" t="str">
        <f>"0102T"</f>
        <v>0102T</v>
      </c>
    </row>
    <row r="274" spans="1:5" x14ac:dyDescent="0.25">
      <c r="A274" t="str">
        <f>"40290140  "</f>
        <v xml:space="preserve">40290140  </v>
      </c>
      <c r="B274" t="s">
        <v>270</v>
      </c>
      <c r="C274" s="1">
        <v>2750</v>
      </c>
      <c r="D274" t="str">
        <f t="shared" si="8"/>
        <v>360</v>
      </c>
      <c r="E274" t="str">
        <f>"00099"</f>
        <v>00099</v>
      </c>
    </row>
    <row r="275" spans="1:5" x14ac:dyDescent="0.25">
      <c r="A275" t="str">
        <f>"48801021  "</f>
        <v xml:space="preserve">48801021  </v>
      </c>
      <c r="B275" t="s">
        <v>271</v>
      </c>
      <c r="C275" s="1">
        <v>1355.2</v>
      </c>
      <c r="D275" t="str">
        <f t="shared" si="8"/>
        <v>360</v>
      </c>
      <c r="E275" t="str">
        <f>"62273"</f>
        <v>62273</v>
      </c>
    </row>
    <row r="276" spans="1:5" x14ac:dyDescent="0.25">
      <c r="A276" t="str">
        <f>"48801039  "</f>
        <v xml:space="preserve">48801039  </v>
      </c>
      <c r="B276" t="s">
        <v>272</v>
      </c>
      <c r="C276">
        <v>547.79999999999995</v>
      </c>
      <c r="D276" t="str">
        <f t="shared" si="8"/>
        <v>360</v>
      </c>
    </row>
    <row r="277" spans="1:5" x14ac:dyDescent="0.25">
      <c r="A277" t="str">
        <f>"48801047  "</f>
        <v xml:space="preserve">48801047  </v>
      </c>
      <c r="B277" t="s">
        <v>273</v>
      </c>
      <c r="C277" s="1">
        <v>1696.2</v>
      </c>
      <c r="D277" t="str">
        <f t="shared" si="8"/>
        <v>360</v>
      </c>
      <c r="E277" t="str">
        <f>"00099"</f>
        <v>00099</v>
      </c>
    </row>
    <row r="278" spans="1:5" x14ac:dyDescent="0.25">
      <c r="A278" t="str">
        <f>"48801054  "</f>
        <v xml:space="preserve">48801054  </v>
      </c>
      <c r="B278" t="s">
        <v>274</v>
      </c>
      <c r="C278" s="1">
        <v>1234.2</v>
      </c>
      <c r="D278" t="str">
        <f>"370"</f>
        <v>370</v>
      </c>
      <c r="E278" t="str">
        <f>"62282"</f>
        <v>62282</v>
      </c>
    </row>
    <row r="279" spans="1:5" x14ac:dyDescent="0.25">
      <c r="A279" t="str">
        <f>"48801062  "</f>
        <v xml:space="preserve">48801062  </v>
      </c>
      <c r="B279" t="s">
        <v>275</v>
      </c>
      <c r="C279" s="1">
        <v>1458.6</v>
      </c>
      <c r="D279" t="str">
        <f>"370"</f>
        <v>370</v>
      </c>
    </row>
    <row r="280" spans="1:5" x14ac:dyDescent="0.25">
      <c r="A280" t="str">
        <f>"48801070  "</f>
        <v xml:space="preserve">48801070  </v>
      </c>
      <c r="B280" t="s">
        <v>276</v>
      </c>
      <c r="C280" s="1">
        <v>1170.4000000000001</v>
      </c>
      <c r="D280" t="str">
        <f>"360"</f>
        <v>360</v>
      </c>
      <c r="E280" t="str">
        <f>"00099"</f>
        <v>00099</v>
      </c>
    </row>
    <row r="281" spans="1:5" x14ac:dyDescent="0.25">
      <c r="A281" t="str">
        <f>"48801088  "</f>
        <v xml:space="preserve">48801088  </v>
      </c>
      <c r="B281" t="s">
        <v>277</v>
      </c>
      <c r="C281" s="1">
        <v>1524.6</v>
      </c>
      <c r="D281" t="str">
        <f>"360"</f>
        <v>360</v>
      </c>
    </row>
    <row r="282" spans="1:5" x14ac:dyDescent="0.25">
      <c r="A282" t="str">
        <f>"48801153  "</f>
        <v xml:space="preserve">48801153  </v>
      </c>
      <c r="B282" t="s">
        <v>278</v>
      </c>
      <c r="C282" s="1">
        <v>1001</v>
      </c>
      <c r="D282" t="str">
        <f>"370"</f>
        <v>370</v>
      </c>
    </row>
    <row r="283" spans="1:5" x14ac:dyDescent="0.25">
      <c r="A283" t="str">
        <f>"48801161  "</f>
        <v xml:space="preserve">48801161  </v>
      </c>
      <c r="B283" t="s">
        <v>279</v>
      </c>
      <c r="C283">
        <v>547.79999999999995</v>
      </c>
      <c r="D283" t="str">
        <f>"370"</f>
        <v>370</v>
      </c>
    </row>
    <row r="284" spans="1:5" x14ac:dyDescent="0.25">
      <c r="A284" t="str">
        <f>"48801179  "</f>
        <v xml:space="preserve">48801179  </v>
      </c>
      <c r="B284" t="s">
        <v>280</v>
      </c>
      <c r="C284">
        <v>303.60000000000002</v>
      </c>
      <c r="D284" t="str">
        <f>"360"</f>
        <v>360</v>
      </c>
    </row>
    <row r="285" spans="1:5" x14ac:dyDescent="0.25">
      <c r="A285" t="str">
        <f>"48801187  "</f>
        <v xml:space="preserve">48801187  </v>
      </c>
      <c r="B285" t="s">
        <v>281</v>
      </c>
      <c r="C285" s="1">
        <v>1339.8</v>
      </c>
      <c r="D285" t="str">
        <f>"370"</f>
        <v>370</v>
      </c>
      <c r="E285" t="str">
        <f>"65410"</f>
        <v>65410</v>
      </c>
    </row>
    <row r="286" spans="1:5" x14ac:dyDescent="0.25">
      <c r="A286" t="str">
        <f>"48801187  "</f>
        <v xml:space="preserve">48801187  </v>
      </c>
      <c r="B286" t="s">
        <v>281</v>
      </c>
      <c r="C286" s="1">
        <v>1339.8</v>
      </c>
      <c r="D286" t="str">
        <f>"370"</f>
        <v>370</v>
      </c>
      <c r="E286" t="str">
        <f>"64510"</f>
        <v>64510</v>
      </c>
    </row>
    <row r="287" spans="1:5" x14ac:dyDescent="0.25">
      <c r="A287" t="str">
        <f>"48801211  "</f>
        <v xml:space="preserve">48801211  </v>
      </c>
      <c r="B287" t="s">
        <v>282</v>
      </c>
      <c r="C287" s="1">
        <v>1339.8</v>
      </c>
      <c r="D287" t="str">
        <f>"370"</f>
        <v>370</v>
      </c>
    </row>
    <row r="288" spans="1:5" x14ac:dyDescent="0.25">
      <c r="A288" t="str">
        <f>"48801229  "</f>
        <v xml:space="preserve">48801229  </v>
      </c>
      <c r="B288" t="s">
        <v>283</v>
      </c>
      <c r="C288" s="1">
        <v>1524.6</v>
      </c>
      <c r="D288" t="str">
        <f>"270"</f>
        <v>270</v>
      </c>
      <c r="E288" t="str">
        <f>"96360"</f>
        <v>96360</v>
      </c>
    </row>
    <row r="289" spans="1:5" x14ac:dyDescent="0.25">
      <c r="A289" t="str">
        <f>"48801237  "</f>
        <v xml:space="preserve">48801237  </v>
      </c>
      <c r="B289" t="s">
        <v>284</v>
      </c>
      <c r="C289">
        <v>506</v>
      </c>
      <c r="D289" t="str">
        <f>"360"</f>
        <v>360</v>
      </c>
      <c r="E289" t="str">
        <f>"64450"</f>
        <v>64450</v>
      </c>
    </row>
    <row r="290" spans="1:5" x14ac:dyDescent="0.25">
      <c r="A290" t="str">
        <f>"48801245  "</f>
        <v xml:space="preserve">48801245  </v>
      </c>
      <c r="B290" t="s">
        <v>285</v>
      </c>
      <c r="C290">
        <v>341</v>
      </c>
      <c r="D290" t="str">
        <f>"270"</f>
        <v>270</v>
      </c>
      <c r="E290" t="str">
        <f>"E0745"</f>
        <v>E0745</v>
      </c>
    </row>
    <row r="291" spans="1:5" x14ac:dyDescent="0.25">
      <c r="A291" t="str">
        <f>"48801252  "</f>
        <v xml:space="preserve">48801252  </v>
      </c>
      <c r="B291" t="s">
        <v>286</v>
      </c>
      <c r="C291">
        <v>935</v>
      </c>
      <c r="D291" t="str">
        <f>"370"</f>
        <v>370</v>
      </c>
    </row>
    <row r="292" spans="1:5" x14ac:dyDescent="0.25">
      <c r="A292" t="str">
        <f>"48801260  "</f>
        <v xml:space="preserve">48801260  </v>
      </c>
      <c r="B292" t="s">
        <v>287</v>
      </c>
      <c r="C292" s="1">
        <v>1696.2</v>
      </c>
      <c r="D292" t="str">
        <f>"360"</f>
        <v>360</v>
      </c>
      <c r="E292" t="str">
        <f>"00099"</f>
        <v>00099</v>
      </c>
    </row>
    <row r="293" spans="1:5" x14ac:dyDescent="0.25">
      <c r="A293" t="str">
        <f>"48801278  "</f>
        <v xml:space="preserve">48801278  </v>
      </c>
      <c r="B293" t="s">
        <v>288</v>
      </c>
      <c r="C293">
        <v>426.8</v>
      </c>
      <c r="D293" t="str">
        <f>"370"</f>
        <v>370</v>
      </c>
    </row>
    <row r="294" spans="1:5" x14ac:dyDescent="0.25">
      <c r="A294" t="str">
        <f>"48801294  "</f>
        <v xml:space="preserve">48801294  </v>
      </c>
      <c r="B294" t="s">
        <v>289</v>
      </c>
      <c r="C294" s="1">
        <v>1188</v>
      </c>
      <c r="D294" t="str">
        <f>"370"</f>
        <v>370</v>
      </c>
    </row>
    <row r="295" spans="1:5" x14ac:dyDescent="0.25">
      <c r="A295" t="str">
        <f>"48801302  "</f>
        <v xml:space="preserve">48801302  </v>
      </c>
      <c r="B295" t="s">
        <v>290</v>
      </c>
      <c r="C295">
        <v>849.2</v>
      </c>
      <c r="D295" t="str">
        <f>"370"</f>
        <v>370</v>
      </c>
    </row>
    <row r="296" spans="1:5" x14ac:dyDescent="0.25">
      <c r="A296" t="str">
        <f>"48801328  "</f>
        <v xml:space="preserve">48801328  </v>
      </c>
      <c r="B296" t="s">
        <v>291</v>
      </c>
      <c r="C296" s="1">
        <v>2373.8000000000002</v>
      </c>
      <c r="D296" t="str">
        <f>"360"</f>
        <v>360</v>
      </c>
      <c r="E296" t="str">
        <f>"64400"</f>
        <v>64400</v>
      </c>
    </row>
    <row r="297" spans="1:5" x14ac:dyDescent="0.25">
      <c r="A297" t="str">
        <f>"48801336  "</f>
        <v xml:space="preserve">48801336  </v>
      </c>
      <c r="B297" t="s">
        <v>292</v>
      </c>
      <c r="C297" s="1">
        <v>1018.6</v>
      </c>
      <c r="D297" t="str">
        <f>"370"</f>
        <v>370</v>
      </c>
      <c r="E297" t="str">
        <f>"64425"</f>
        <v>64425</v>
      </c>
    </row>
    <row r="298" spans="1:5" x14ac:dyDescent="0.25">
      <c r="A298" t="str">
        <f>"48801344  "</f>
        <v xml:space="preserve">48801344  </v>
      </c>
      <c r="B298" t="s">
        <v>293</v>
      </c>
      <c r="C298" s="1">
        <v>2677.4</v>
      </c>
      <c r="D298" t="str">
        <f>"360"</f>
        <v>360</v>
      </c>
      <c r="E298" t="str">
        <f>"64420"</f>
        <v>64420</v>
      </c>
    </row>
    <row r="299" spans="1:5" x14ac:dyDescent="0.25">
      <c r="A299" t="str">
        <f>"48801351  "</f>
        <v xml:space="preserve">48801351  </v>
      </c>
      <c r="B299" t="s">
        <v>294</v>
      </c>
      <c r="C299">
        <v>715</v>
      </c>
      <c r="D299" t="str">
        <f>"272"</f>
        <v>272</v>
      </c>
    </row>
    <row r="300" spans="1:5" x14ac:dyDescent="0.25">
      <c r="A300" t="str">
        <f>"48801369  "</f>
        <v xml:space="preserve">48801369  </v>
      </c>
      <c r="B300" t="s">
        <v>295</v>
      </c>
      <c r="C300" s="1">
        <v>1696.2</v>
      </c>
      <c r="D300" t="str">
        <f t="shared" ref="D300:D305" si="9">"370"</f>
        <v>370</v>
      </c>
      <c r="E300" t="str">
        <f>"64680"</f>
        <v>64680</v>
      </c>
    </row>
    <row r="301" spans="1:5" x14ac:dyDescent="0.25">
      <c r="A301" t="str">
        <f>"48801377  "</f>
        <v xml:space="preserve">48801377  </v>
      </c>
      <c r="B301" t="s">
        <v>296</v>
      </c>
      <c r="C301">
        <v>92.4</v>
      </c>
      <c r="D301" t="str">
        <f t="shared" si="9"/>
        <v>370</v>
      </c>
      <c r="E301" t="str">
        <f>"64505"</f>
        <v>64505</v>
      </c>
    </row>
    <row r="302" spans="1:5" x14ac:dyDescent="0.25">
      <c r="A302" t="str">
        <f>"48801385  "</f>
        <v xml:space="preserve">48801385  </v>
      </c>
      <c r="B302" t="s">
        <v>297</v>
      </c>
      <c r="C302" s="1">
        <v>1287</v>
      </c>
      <c r="D302" t="str">
        <f t="shared" si="9"/>
        <v>370</v>
      </c>
    </row>
    <row r="303" spans="1:5" x14ac:dyDescent="0.25">
      <c r="A303" t="str">
        <f>"48801393  "</f>
        <v xml:space="preserve">48801393  </v>
      </c>
      <c r="B303" t="s">
        <v>298</v>
      </c>
      <c r="C303" s="1">
        <v>1612.6</v>
      </c>
      <c r="D303" t="str">
        <f t="shared" si="9"/>
        <v>370</v>
      </c>
      <c r="E303" t="str">
        <f>"64415"</f>
        <v>64415</v>
      </c>
    </row>
    <row r="304" spans="1:5" x14ac:dyDescent="0.25">
      <c r="A304" t="str">
        <f>"48801401  "</f>
        <v xml:space="preserve">48801401  </v>
      </c>
      <c r="B304" t="s">
        <v>299</v>
      </c>
      <c r="C304" s="1">
        <v>1612.6</v>
      </c>
      <c r="D304" t="str">
        <f t="shared" si="9"/>
        <v>370</v>
      </c>
      <c r="E304" t="str">
        <f>"27562"</f>
        <v>27562</v>
      </c>
    </row>
    <row r="305" spans="1:5" x14ac:dyDescent="0.25">
      <c r="A305" t="str">
        <f>"48801419  "</f>
        <v xml:space="preserve">48801419  </v>
      </c>
      <c r="B305" t="s">
        <v>300</v>
      </c>
      <c r="C305" s="1">
        <v>1001</v>
      </c>
      <c r="D305" t="str">
        <f t="shared" si="9"/>
        <v>370</v>
      </c>
    </row>
    <row r="306" spans="1:5" x14ac:dyDescent="0.25">
      <c r="A306" t="str">
        <f>"48801427  "</f>
        <v xml:space="preserve">48801427  </v>
      </c>
      <c r="B306" t="s">
        <v>301</v>
      </c>
      <c r="C306" s="1">
        <v>1001</v>
      </c>
      <c r="D306" t="str">
        <f>"360"</f>
        <v>360</v>
      </c>
      <c r="E306" t="str">
        <f>"64450"</f>
        <v>64450</v>
      </c>
    </row>
    <row r="307" spans="1:5" x14ac:dyDescent="0.25">
      <c r="A307" t="str">
        <f>"48801450  "</f>
        <v xml:space="preserve">48801450  </v>
      </c>
      <c r="B307" t="s">
        <v>302</v>
      </c>
      <c r="C307" s="1">
        <v>1018.6</v>
      </c>
      <c r="D307" t="str">
        <f>"370"</f>
        <v>370</v>
      </c>
    </row>
    <row r="308" spans="1:5" x14ac:dyDescent="0.25">
      <c r="A308" t="str">
        <f>"48801468  "</f>
        <v xml:space="preserve">48801468  </v>
      </c>
      <c r="B308" t="s">
        <v>303</v>
      </c>
      <c r="C308" s="1">
        <v>1001</v>
      </c>
      <c r="D308" t="str">
        <f>"360"</f>
        <v>360</v>
      </c>
      <c r="E308" t="str">
        <f>"64450"</f>
        <v>64450</v>
      </c>
    </row>
    <row r="309" spans="1:5" x14ac:dyDescent="0.25">
      <c r="A309" t="str">
        <f>"48801609  "</f>
        <v xml:space="preserve">48801609  </v>
      </c>
      <c r="B309" t="s">
        <v>304</v>
      </c>
      <c r="C309" s="1">
        <v>3051.4</v>
      </c>
      <c r="D309" t="str">
        <f>"360"</f>
        <v>360</v>
      </c>
      <c r="E309" t="str">
        <f>"00099"</f>
        <v>00099</v>
      </c>
    </row>
    <row r="310" spans="1:5" x14ac:dyDescent="0.25">
      <c r="A310" t="str">
        <f>"48801708  "</f>
        <v xml:space="preserve">48801708  </v>
      </c>
      <c r="B310" t="s">
        <v>305</v>
      </c>
      <c r="C310" s="1">
        <v>2543.1999999999998</v>
      </c>
      <c r="D310" t="str">
        <f>"370"</f>
        <v>370</v>
      </c>
      <c r="E310" t="str">
        <f>"62282"</f>
        <v>62282</v>
      </c>
    </row>
    <row r="311" spans="1:5" x14ac:dyDescent="0.25">
      <c r="A311" t="str">
        <f>"40301004  "</f>
        <v xml:space="preserve">40301004  </v>
      </c>
      <c r="B311" t="s">
        <v>306</v>
      </c>
      <c r="C311">
        <v>253</v>
      </c>
      <c r="D311" t="str">
        <f>"760"</f>
        <v>760</v>
      </c>
    </row>
    <row r="312" spans="1:5" x14ac:dyDescent="0.25">
      <c r="A312" t="str">
        <f>"48801005  "</f>
        <v xml:space="preserve">48801005  </v>
      </c>
      <c r="B312" t="s">
        <v>307</v>
      </c>
      <c r="C312">
        <v>330</v>
      </c>
      <c r="D312" t="str">
        <f>"490"</f>
        <v>490</v>
      </c>
    </row>
    <row r="313" spans="1:5" x14ac:dyDescent="0.25">
      <c r="A313" t="str">
        <f>"48801013  "</f>
        <v xml:space="preserve">48801013  </v>
      </c>
      <c r="B313" t="s">
        <v>308</v>
      </c>
      <c r="C313">
        <v>165</v>
      </c>
      <c r="D313" t="str">
        <f>"490"</f>
        <v>490</v>
      </c>
    </row>
    <row r="314" spans="1:5" x14ac:dyDescent="0.25">
      <c r="A314" t="str">
        <f>"40400004  "</f>
        <v xml:space="preserve">40400004  </v>
      </c>
      <c r="B314" t="s">
        <v>309</v>
      </c>
      <c r="C314">
        <v>0</v>
      </c>
      <c r="D314" t="str">
        <f t="shared" ref="D314:D358" si="10">"370"</f>
        <v>370</v>
      </c>
    </row>
    <row r="315" spans="1:5" x14ac:dyDescent="0.25">
      <c r="A315" t="str">
        <f>"40401002  "</f>
        <v xml:space="preserve">40401002  </v>
      </c>
      <c r="B315" t="s">
        <v>310</v>
      </c>
      <c r="C315">
        <v>638</v>
      </c>
      <c r="D315" t="str">
        <f t="shared" si="10"/>
        <v>370</v>
      </c>
    </row>
    <row r="316" spans="1:5" x14ac:dyDescent="0.25">
      <c r="A316" t="str">
        <f>"40401010  "</f>
        <v xml:space="preserve">40401010  </v>
      </c>
      <c r="B316" t="s">
        <v>311</v>
      </c>
      <c r="C316">
        <v>794.2</v>
      </c>
      <c r="D316" t="str">
        <f t="shared" si="10"/>
        <v>370</v>
      </c>
    </row>
    <row r="317" spans="1:5" x14ac:dyDescent="0.25">
      <c r="A317" t="str">
        <f>"40401028  "</f>
        <v xml:space="preserve">40401028  </v>
      </c>
      <c r="B317" t="s">
        <v>312</v>
      </c>
      <c r="C317">
        <v>941.6</v>
      </c>
      <c r="D317" t="str">
        <f t="shared" si="10"/>
        <v>370</v>
      </c>
    </row>
    <row r="318" spans="1:5" x14ac:dyDescent="0.25">
      <c r="A318" t="str">
        <f>"40401036  "</f>
        <v xml:space="preserve">40401036  </v>
      </c>
      <c r="B318" t="s">
        <v>313</v>
      </c>
      <c r="C318" s="1">
        <v>1106.5999999999999</v>
      </c>
      <c r="D318" t="str">
        <f t="shared" si="10"/>
        <v>370</v>
      </c>
    </row>
    <row r="319" spans="1:5" x14ac:dyDescent="0.25">
      <c r="A319" t="str">
        <f>"40401044  "</f>
        <v xml:space="preserve">40401044  </v>
      </c>
      <c r="B319" t="s">
        <v>314</v>
      </c>
      <c r="C319" s="1">
        <v>1258.4000000000001</v>
      </c>
      <c r="D319" t="str">
        <f t="shared" si="10"/>
        <v>370</v>
      </c>
    </row>
    <row r="320" spans="1:5" x14ac:dyDescent="0.25">
      <c r="A320" t="str">
        <f>"40401051  "</f>
        <v xml:space="preserve">40401051  </v>
      </c>
      <c r="B320" t="s">
        <v>315</v>
      </c>
      <c r="C320" s="1">
        <v>1412.4</v>
      </c>
      <c r="D320" t="str">
        <f t="shared" si="10"/>
        <v>370</v>
      </c>
    </row>
    <row r="321" spans="1:4" x14ac:dyDescent="0.25">
      <c r="A321" t="str">
        <f>"40401069  "</f>
        <v xml:space="preserve">40401069  </v>
      </c>
      <c r="B321" t="s">
        <v>316</v>
      </c>
      <c r="C321" s="1">
        <v>1568.6</v>
      </c>
      <c r="D321" t="str">
        <f t="shared" si="10"/>
        <v>370</v>
      </c>
    </row>
    <row r="322" spans="1:4" x14ac:dyDescent="0.25">
      <c r="A322" t="str">
        <f>"40401077  "</f>
        <v xml:space="preserve">40401077  </v>
      </c>
      <c r="B322" t="s">
        <v>317</v>
      </c>
      <c r="C322" s="1">
        <v>1720.4</v>
      </c>
      <c r="D322" t="str">
        <f t="shared" si="10"/>
        <v>370</v>
      </c>
    </row>
    <row r="323" spans="1:4" x14ac:dyDescent="0.25">
      <c r="A323" t="str">
        <f>"40401085  "</f>
        <v xml:space="preserve">40401085  </v>
      </c>
      <c r="B323" t="s">
        <v>318</v>
      </c>
      <c r="C323" s="1">
        <v>1881</v>
      </c>
      <c r="D323" t="str">
        <f t="shared" si="10"/>
        <v>370</v>
      </c>
    </row>
    <row r="324" spans="1:4" x14ac:dyDescent="0.25">
      <c r="A324" t="str">
        <f>"40401093  "</f>
        <v xml:space="preserve">40401093  </v>
      </c>
      <c r="B324" t="s">
        <v>319</v>
      </c>
      <c r="C324" s="1">
        <v>2037.2</v>
      </c>
      <c r="D324" t="str">
        <f t="shared" si="10"/>
        <v>370</v>
      </c>
    </row>
    <row r="325" spans="1:4" x14ac:dyDescent="0.25">
      <c r="A325" t="str">
        <f>"40401101  "</f>
        <v xml:space="preserve">40401101  </v>
      </c>
      <c r="B325" t="s">
        <v>320</v>
      </c>
      <c r="C325" s="1">
        <v>2186.8000000000002</v>
      </c>
      <c r="D325" t="str">
        <f t="shared" si="10"/>
        <v>370</v>
      </c>
    </row>
    <row r="326" spans="1:4" x14ac:dyDescent="0.25">
      <c r="A326" t="str">
        <f>"40401119  "</f>
        <v xml:space="preserve">40401119  </v>
      </c>
      <c r="B326" t="s">
        <v>321</v>
      </c>
      <c r="C326" s="1">
        <v>2351.8000000000002</v>
      </c>
      <c r="D326" t="str">
        <f t="shared" si="10"/>
        <v>370</v>
      </c>
    </row>
    <row r="327" spans="1:4" x14ac:dyDescent="0.25">
      <c r="A327" t="str">
        <f>"40401127  "</f>
        <v xml:space="preserve">40401127  </v>
      </c>
      <c r="B327" t="s">
        <v>322</v>
      </c>
      <c r="C327" s="1">
        <v>2499.1999999999998</v>
      </c>
      <c r="D327" t="str">
        <f t="shared" si="10"/>
        <v>370</v>
      </c>
    </row>
    <row r="328" spans="1:4" x14ac:dyDescent="0.25">
      <c r="A328" t="str">
        <f>"40401135  "</f>
        <v xml:space="preserve">40401135  </v>
      </c>
      <c r="B328" t="s">
        <v>323</v>
      </c>
      <c r="C328" s="1">
        <v>1327.7</v>
      </c>
      <c r="D328" t="str">
        <f t="shared" si="10"/>
        <v>370</v>
      </c>
    </row>
    <row r="329" spans="1:4" x14ac:dyDescent="0.25">
      <c r="A329" t="str">
        <f>"40401143  "</f>
        <v xml:space="preserve">40401143  </v>
      </c>
      <c r="B329" t="s">
        <v>324</v>
      </c>
      <c r="C329" s="1">
        <v>1411.3</v>
      </c>
      <c r="D329" t="str">
        <f t="shared" si="10"/>
        <v>370</v>
      </c>
    </row>
    <row r="330" spans="1:4" x14ac:dyDescent="0.25">
      <c r="A330" t="str">
        <f>"40401150  "</f>
        <v xml:space="preserve">40401150  </v>
      </c>
      <c r="B330" t="s">
        <v>325</v>
      </c>
      <c r="C330" s="1">
        <v>1487.2</v>
      </c>
      <c r="D330" t="str">
        <f t="shared" si="10"/>
        <v>370</v>
      </c>
    </row>
    <row r="331" spans="1:4" x14ac:dyDescent="0.25">
      <c r="A331" t="str">
        <f>"40401168  "</f>
        <v xml:space="preserve">40401168  </v>
      </c>
      <c r="B331" t="s">
        <v>326</v>
      </c>
      <c r="C331" s="1">
        <v>1562</v>
      </c>
      <c r="D331" t="str">
        <f t="shared" si="10"/>
        <v>370</v>
      </c>
    </row>
    <row r="332" spans="1:4" x14ac:dyDescent="0.25">
      <c r="A332" t="str">
        <f>"40401176  "</f>
        <v xml:space="preserve">40401176  </v>
      </c>
      <c r="B332" t="s">
        <v>327</v>
      </c>
      <c r="C332" s="1">
        <v>1641.2</v>
      </c>
      <c r="D332" t="str">
        <f t="shared" si="10"/>
        <v>370</v>
      </c>
    </row>
    <row r="333" spans="1:4" x14ac:dyDescent="0.25">
      <c r="A333" t="str">
        <f>"40401184  "</f>
        <v xml:space="preserve">40401184  </v>
      </c>
      <c r="B333" t="s">
        <v>328</v>
      </c>
      <c r="C333" s="1">
        <v>1720.4</v>
      </c>
      <c r="D333" t="str">
        <f t="shared" si="10"/>
        <v>370</v>
      </c>
    </row>
    <row r="334" spans="1:4" x14ac:dyDescent="0.25">
      <c r="A334" t="str">
        <f>"40401192  "</f>
        <v xml:space="preserve">40401192  </v>
      </c>
      <c r="B334" t="s">
        <v>329</v>
      </c>
      <c r="C334" s="1">
        <v>1797.4</v>
      </c>
      <c r="D334" t="str">
        <f t="shared" si="10"/>
        <v>370</v>
      </c>
    </row>
    <row r="335" spans="1:4" x14ac:dyDescent="0.25">
      <c r="A335" t="str">
        <f>"40401200  "</f>
        <v xml:space="preserve">40401200  </v>
      </c>
      <c r="B335" t="s">
        <v>330</v>
      </c>
      <c r="C335" s="1">
        <v>1874.4</v>
      </c>
      <c r="D335" t="str">
        <f t="shared" si="10"/>
        <v>370</v>
      </c>
    </row>
    <row r="336" spans="1:4" x14ac:dyDescent="0.25">
      <c r="A336" t="str">
        <f>"40401218  "</f>
        <v xml:space="preserve">40401218  </v>
      </c>
      <c r="B336" t="s">
        <v>331</v>
      </c>
      <c r="C336">
        <v>158.4</v>
      </c>
      <c r="D336" t="str">
        <f t="shared" si="10"/>
        <v>370</v>
      </c>
    </row>
    <row r="337" spans="1:4" x14ac:dyDescent="0.25">
      <c r="A337" t="str">
        <f>"40401226  "</f>
        <v xml:space="preserve">40401226  </v>
      </c>
      <c r="B337" t="s">
        <v>332</v>
      </c>
      <c r="C337">
        <v>323.39999999999998</v>
      </c>
      <c r="D337" t="str">
        <f t="shared" si="10"/>
        <v>370</v>
      </c>
    </row>
    <row r="338" spans="1:4" x14ac:dyDescent="0.25">
      <c r="A338" t="str">
        <f>"40401234  "</f>
        <v xml:space="preserve">40401234  </v>
      </c>
      <c r="B338" t="s">
        <v>333</v>
      </c>
      <c r="C338">
        <v>389.4</v>
      </c>
      <c r="D338" t="str">
        <f t="shared" si="10"/>
        <v>370</v>
      </c>
    </row>
    <row r="339" spans="1:4" x14ac:dyDescent="0.25">
      <c r="A339" t="str">
        <f>"40401242  "</f>
        <v xml:space="preserve">40401242  </v>
      </c>
      <c r="B339" t="s">
        <v>334</v>
      </c>
      <c r="C339">
        <v>475.2</v>
      </c>
      <c r="D339" t="str">
        <f t="shared" si="10"/>
        <v>370</v>
      </c>
    </row>
    <row r="340" spans="1:4" x14ac:dyDescent="0.25">
      <c r="A340" t="str">
        <f>"40401259  "</f>
        <v xml:space="preserve">40401259  </v>
      </c>
      <c r="B340" t="s">
        <v>335</v>
      </c>
      <c r="C340">
        <v>554.4</v>
      </c>
      <c r="D340" t="str">
        <f t="shared" si="10"/>
        <v>370</v>
      </c>
    </row>
    <row r="341" spans="1:4" x14ac:dyDescent="0.25">
      <c r="A341" t="str">
        <f>"40401267  "</f>
        <v xml:space="preserve">40401267  </v>
      </c>
      <c r="B341" t="s">
        <v>336</v>
      </c>
      <c r="C341">
        <v>631.4</v>
      </c>
      <c r="D341" t="str">
        <f t="shared" si="10"/>
        <v>370</v>
      </c>
    </row>
    <row r="342" spans="1:4" x14ac:dyDescent="0.25">
      <c r="A342" t="str">
        <f>"40401275  "</f>
        <v xml:space="preserve">40401275  </v>
      </c>
      <c r="B342" t="s">
        <v>337</v>
      </c>
      <c r="C342">
        <v>710.6</v>
      </c>
      <c r="D342" t="str">
        <f t="shared" si="10"/>
        <v>370</v>
      </c>
    </row>
    <row r="343" spans="1:4" x14ac:dyDescent="0.25">
      <c r="A343" t="str">
        <f>"40401283  "</f>
        <v xml:space="preserve">40401283  </v>
      </c>
      <c r="B343" t="s">
        <v>338</v>
      </c>
      <c r="C343">
        <v>792</v>
      </c>
      <c r="D343" t="str">
        <f t="shared" si="10"/>
        <v>370</v>
      </c>
    </row>
    <row r="344" spans="1:4" x14ac:dyDescent="0.25">
      <c r="A344" t="str">
        <f>"40401291  "</f>
        <v xml:space="preserve">40401291  </v>
      </c>
      <c r="B344" t="s">
        <v>339</v>
      </c>
      <c r="C344">
        <v>869</v>
      </c>
      <c r="D344" t="str">
        <f t="shared" si="10"/>
        <v>370</v>
      </c>
    </row>
    <row r="345" spans="1:4" x14ac:dyDescent="0.25">
      <c r="A345" t="str">
        <f>"40401309  "</f>
        <v xml:space="preserve">40401309  </v>
      </c>
      <c r="B345" t="s">
        <v>340</v>
      </c>
      <c r="C345">
        <v>941.6</v>
      </c>
      <c r="D345" t="str">
        <f t="shared" si="10"/>
        <v>370</v>
      </c>
    </row>
    <row r="346" spans="1:4" x14ac:dyDescent="0.25">
      <c r="A346" t="str">
        <f>"40401317  "</f>
        <v xml:space="preserve">40401317  </v>
      </c>
      <c r="B346" t="s">
        <v>341</v>
      </c>
      <c r="C346" s="1">
        <v>1020.8</v>
      </c>
      <c r="D346" t="str">
        <f t="shared" si="10"/>
        <v>370</v>
      </c>
    </row>
    <row r="347" spans="1:4" x14ac:dyDescent="0.25">
      <c r="A347" t="str">
        <f>"40401325  "</f>
        <v xml:space="preserve">40401325  </v>
      </c>
      <c r="B347" t="s">
        <v>342</v>
      </c>
      <c r="C347" s="1">
        <v>1102.2</v>
      </c>
      <c r="D347" t="str">
        <f t="shared" si="10"/>
        <v>370</v>
      </c>
    </row>
    <row r="348" spans="1:4" x14ac:dyDescent="0.25">
      <c r="A348" t="str">
        <f>"40401333  "</f>
        <v xml:space="preserve">40401333  </v>
      </c>
      <c r="B348" t="s">
        <v>343</v>
      </c>
      <c r="C348" s="1">
        <v>1168.2</v>
      </c>
      <c r="D348" t="str">
        <f t="shared" si="10"/>
        <v>370</v>
      </c>
    </row>
    <row r="349" spans="1:4" x14ac:dyDescent="0.25">
      <c r="A349" t="str">
        <f>"40401341  "</f>
        <v xml:space="preserve">40401341  </v>
      </c>
      <c r="B349" t="s">
        <v>344</v>
      </c>
      <c r="C349" s="1">
        <v>1256.2</v>
      </c>
      <c r="D349" t="str">
        <f t="shared" si="10"/>
        <v>370</v>
      </c>
    </row>
    <row r="350" spans="1:4" x14ac:dyDescent="0.25">
      <c r="A350" t="str">
        <f>"40401358  "</f>
        <v xml:space="preserve">40401358  </v>
      </c>
      <c r="B350" t="s">
        <v>345</v>
      </c>
      <c r="C350">
        <v>664.4</v>
      </c>
      <c r="D350" t="str">
        <f t="shared" si="10"/>
        <v>370</v>
      </c>
    </row>
    <row r="351" spans="1:4" x14ac:dyDescent="0.25">
      <c r="A351" t="str">
        <f>"40401366  "</f>
        <v xml:space="preserve">40401366  </v>
      </c>
      <c r="B351" t="s">
        <v>346</v>
      </c>
      <c r="C351">
        <v>705.1</v>
      </c>
      <c r="D351" t="str">
        <f t="shared" si="10"/>
        <v>370</v>
      </c>
    </row>
    <row r="352" spans="1:4" x14ac:dyDescent="0.25">
      <c r="A352" t="str">
        <f>"40401374  "</f>
        <v xml:space="preserve">40401374  </v>
      </c>
      <c r="B352" t="s">
        <v>347</v>
      </c>
      <c r="C352">
        <v>744.7</v>
      </c>
      <c r="D352" t="str">
        <f t="shared" si="10"/>
        <v>370</v>
      </c>
    </row>
    <row r="353" spans="1:5" x14ac:dyDescent="0.25">
      <c r="A353" t="str">
        <f>"40401382  "</f>
        <v xml:space="preserve">40401382  </v>
      </c>
      <c r="B353" t="s">
        <v>348</v>
      </c>
      <c r="C353">
        <v>782.1</v>
      </c>
      <c r="D353" t="str">
        <f t="shared" si="10"/>
        <v>370</v>
      </c>
    </row>
    <row r="354" spans="1:5" x14ac:dyDescent="0.25">
      <c r="A354" t="str">
        <f>"40401390  "</f>
        <v xml:space="preserve">40401390  </v>
      </c>
      <c r="B354" t="s">
        <v>349</v>
      </c>
      <c r="C354">
        <v>820.6</v>
      </c>
      <c r="D354" t="str">
        <f t="shared" si="10"/>
        <v>370</v>
      </c>
    </row>
    <row r="355" spans="1:5" x14ac:dyDescent="0.25">
      <c r="A355" t="str">
        <f>"40401408  "</f>
        <v xml:space="preserve">40401408  </v>
      </c>
      <c r="B355" t="s">
        <v>350</v>
      </c>
      <c r="C355">
        <v>860.2</v>
      </c>
      <c r="D355" t="str">
        <f t="shared" si="10"/>
        <v>370</v>
      </c>
    </row>
    <row r="356" spans="1:5" x14ac:dyDescent="0.25">
      <c r="A356" t="str">
        <f>"40401416  "</f>
        <v xml:space="preserve">40401416  </v>
      </c>
      <c r="B356" t="s">
        <v>351</v>
      </c>
      <c r="C356">
        <v>902</v>
      </c>
      <c r="D356" t="str">
        <f t="shared" si="10"/>
        <v>370</v>
      </c>
    </row>
    <row r="357" spans="1:5" x14ac:dyDescent="0.25">
      <c r="A357" t="str">
        <f>"40401424  "</f>
        <v xml:space="preserve">40401424  </v>
      </c>
      <c r="B357" t="s">
        <v>352</v>
      </c>
      <c r="C357">
        <v>939.4</v>
      </c>
      <c r="D357" t="str">
        <f t="shared" si="10"/>
        <v>370</v>
      </c>
    </row>
    <row r="358" spans="1:5" x14ac:dyDescent="0.25">
      <c r="A358" t="str">
        <f>"40401432  "</f>
        <v xml:space="preserve">40401432  </v>
      </c>
      <c r="B358" t="s">
        <v>353</v>
      </c>
      <c r="C358">
        <v>40.700000000000003</v>
      </c>
      <c r="D358" t="str">
        <f t="shared" si="10"/>
        <v>370</v>
      </c>
    </row>
    <row r="359" spans="1:5" x14ac:dyDescent="0.25">
      <c r="A359" t="str">
        <f>"40401440  "</f>
        <v xml:space="preserve">40401440  </v>
      </c>
      <c r="B359" t="s">
        <v>354</v>
      </c>
      <c r="C359">
        <v>193.6</v>
      </c>
      <c r="D359" t="str">
        <f>"410"</f>
        <v>410</v>
      </c>
      <c r="E359" t="str">
        <f>"94762"</f>
        <v>94762</v>
      </c>
    </row>
    <row r="360" spans="1:5" x14ac:dyDescent="0.25">
      <c r="A360" t="str">
        <f>"40401457  "</f>
        <v xml:space="preserve">40401457  </v>
      </c>
      <c r="B360" t="s">
        <v>355</v>
      </c>
      <c r="C360">
        <v>114.4</v>
      </c>
      <c r="D360" t="str">
        <f t="shared" ref="D360:D365" si="11">"370"</f>
        <v>370</v>
      </c>
    </row>
    <row r="361" spans="1:5" x14ac:dyDescent="0.25">
      <c r="A361" t="str">
        <f>"40401465  "</f>
        <v xml:space="preserve">40401465  </v>
      </c>
      <c r="B361" t="s">
        <v>356</v>
      </c>
      <c r="C361">
        <v>50.6</v>
      </c>
      <c r="D361" t="str">
        <f t="shared" si="11"/>
        <v>370</v>
      </c>
    </row>
    <row r="362" spans="1:5" x14ac:dyDescent="0.25">
      <c r="A362" t="str">
        <f>"40401473  "</f>
        <v xml:space="preserve">40401473  </v>
      </c>
      <c r="B362" t="s">
        <v>357</v>
      </c>
      <c r="C362">
        <v>479.6</v>
      </c>
      <c r="D362" t="str">
        <f t="shared" si="11"/>
        <v>370</v>
      </c>
    </row>
    <row r="363" spans="1:5" x14ac:dyDescent="0.25">
      <c r="A363" t="str">
        <f>"40401481  "</f>
        <v xml:space="preserve">40401481  </v>
      </c>
      <c r="B363" t="s">
        <v>358</v>
      </c>
      <c r="C363">
        <v>94.6</v>
      </c>
      <c r="D363" t="str">
        <f t="shared" si="11"/>
        <v>370</v>
      </c>
    </row>
    <row r="364" spans="1:5" x14ac:dyDescent="0.25">
      <c r="A364" t="str">
        <f>"40401515  "</f>
        <v xml:space="preserve">40401515  </v>
      </c>
      <c r="B364" t="s">
        <v>359</v>
      </c>
      <c r="C364">
        <v>550</v>
      </c>
      <c r="D364" t="str">
        <f t="shared" si="11"/>
        <v>370</v>
      </c>
    </row>
    <row r="365" spans="1:5" x14ac:dyDescent="0.25">
      <c r="A365" t="str">
        <f>"40401523  "</f>
        <v xml:space="preserve">40401523  </v>
      </c>
      <c r="B365" t="s">
        <v>360</v>
      </c>
      <c r="C365">
        <v>114.4</v>
      </c>
      <c r="D365" t="str">
        <f t="shared" si="11"/>
        <v>370</v>
      </c>
    </row>
    <row r="366" spans="1:5" x14ac:dyDescent="0.25">
      <c r="A366" t="str">
        <f>"40401556  "</f>
        <v xml:space="preserve">40401556  </v>
      </c>
      <c r="B366" t="s">
        <v>361</v>
      </c>
      <c r="C366">
        <v>231</v>
      </c>
      <c r="D366" t="str">
        <f>"270"</f>
        <v>270</v>
      </c>
    </row>
    <row r="367" spans="1:5" x14ac:dyDescent="0.25">
      <c r="A367" t="str">
        <f>"40401564  "</f>
        <v xml:space="preserve">40401564  </v>
      </c>
      <c r="B367" t="s">
        <v>362</v>
      </c>
      <c r="C367">
        <v>275</v>
      </c>
      <c r="D367" t="str">
        <f t="shared" ref="D367:D378" si="12">"370"</f>
        <v>370</v>
      </c>
    </row>
    <row r="368" spans="1:5" x14ac:dyDescent="0.25">
      <c r="A368" t="str">
        <f>"40401606  "</f>
        <v xml:space="preserve">40401606  </v>
      </c>
      <c r="B368" t="s">
        <v>363</v>
      </c>
      <c r="C368">
        <v>85.8</v>
      </c>
      <c r="D368" t="str">
        <f t="shared" si="12"/>
        <v>370</v>
      </c>
    </row>
    <row r="369" spans="1:5" x14ac:dyDescent="0.25">
      <c r="A369" t="str">
        <f>"40401622  "</f>
        <v xml:space="preserve">40401622  </v>
      </c>
      <c r="B369" t="s">
        <v>364</v>
      </c>
      <c r="C369">
        <v>158.4</v>
      </c>
      <c r="D369" t="str">
        <f t="shared" si="12"/>
        <v>370</v>
      </c>
    </row>
    <row r="370" spans="1:5" x14ac:dyDescent="0.25">
      <c r="A370" t="str">
        <f>"40401648  "</f>
        <v xml:space="preserve">40401648  </v>
      </c>
      <c r="B370" t="s">
        <v>365</v>
      </c>
      <c r="C370">
        <v>158.4</v>
      </c>
      <c r="D370" t="str">
        <f t="shared" si="12"/>
        <v>370</v>
      </c>
      <c r="E370" t="str">
        <f>"99144"</f>
        <v>99144</v>
      </c>
    </row>
    <row r="371" spans="1:5" x14ac:dyDescent="0.25">
      <c r="A371" t="str">
        <f>"40401705  "</f>
        <v xml:space="preserve">40401705  </v>
      </c>
      <c r="B371" t="s">
        <v>366</v>
      </c>
      <c r="C371" s="1">
        <v>1122</v>
      </c>
      <c r="D371" t="str">
        <f t="shared" si="12"/>
        <v>370</v>
      </c>
    </row>
    <row r="372" spans="1:5" x14ac:dyDescent="0.25">
      <c r="A372" t="str">
        <f>"40401804  "</f>
        <v xml:space="preserve">40401804  </v>
      </c>
      <c r="B372" t="s">
        <v>367</v>
      </c>
      <c r="C372">
        <v>356.4</v>
      </c>
      <c r="D372" t="str">
        <f t="shared" si="12"/>
        <v>370</v>
      </c>
    </row>
    <row r="373" spans="1:5" x14ac:dyDescent="0.25">
      <c r="A373" t="str">
        <f>"40401903  "</f>
        <v xml:space="preserve">40401903  </v>
      </c>
      <c r="B373" t="s">
        <v>368</v>
      </c>
      <c r="C373">
        <v>188.1</v>
      </c>
      <c r="D373" t="str">
        <f t="shared" si="12"/>
        <v>370</v>
      </c>
    </row>
    <row r="374" spans="1:5" x14ac:dyDescent="0.25">
      <c r="A374" t="str">
        <f>"40405003  "</f>
        <v xml:space="preserve">40405003  </v>
      </c>
      <c r="B374" t="s">
        <v>369</v>
      </c>
      <c r="C374">
        <v>0</v>
      </c>
      <c r="D374" t="str">
        <f t="shared" si="12"/>
        <v>370</v>
      </c>
    </row>
    <row r="375" spans="1:5" x14ac:dyDescent="0.25">
      <c r="A375" t="str">
        <f>"40410003  "</f>
        <v xml:space="preserve">40410003  </v>
      </c>
      <c r="B375" t="s">
        <v>370</v>
      </c>
      <c r="C375">
        <v>303.60000000000002</v>
      </c>
      <c r="D375" t="str">
        <f t="shared" si="12"/>
        <v>370</v>
      </c>
    </row>
    <row r="376" spans="1:5" x14ac:dyDescent="0.25">
      <c r="A376" t="str">
        <f>"40410011  "</f>
        <v xml:space="preserve">40410011  </v>
      </c>
      <c r="B376" t="s">
        <v>371</v>
      </c>
      <c r="C376">
        <v>957</v>
      </c>
      <c r="D376" t="str">
        <f t="shared" si="12"/>
        <v>370</v>
      </c>
    </row>
    <row r="377" spans="1:5" x14ac:dyDescent="0.25">
      <c r="A377" t="str">
        <f>"40420002  "</f>
        <v xml:space="preserve">40420002  </v>
      </c>
      <c r="B377" t="s">
        <v>372</v>
      </c>
      <c r="C377" s="1">
        <v>1150.5999999999999</v>
      </c>
      <c r="D377" t="str">
        <f t="shared" si="12"/>
        <v>370</v>
      </c>
    </row>
    <row r="378" spans="1:5" x14ac:dyDescent="0.25">
      <c r="A378" t="str">
        <f>"40420010  "</f>
        <v xml:space="preserve">40420010  </v>
      </c>
      <c r="B378" t="s">
        <v>373</v>
      </c>
      <c r="C378">
        <v>376.2</v>
      </c>
      <c r="D378" t="str">
        <f t="shared" si="12"/>
        <v>370</v>
      </c>
    </row>
    <row r="379" spans="1:5" x14ac:dyDescent="0.25">
      <c r="A379" t="str">
        <f>"40500100  "</f>
        <v xml:space="preserve">40500100  </v>
      </c>
      <c r="B379" t="s">
        <v>374</v>
      </c>
      <c r="C379">
        <v>63.8</v>
      </c>
      <c r="D379" t="str">
        <f>"272"</f>
        <v>272</v>
      </c>
      <c r="E379" t="str">
        <f>"A4550"</f>
        <v>A4550</v>
      </c>
    </row>
    <row r="380" spans="1:5" x14ac:dyDescent="0.25">
      <c r="A380" t="str">
        <f>"40500101"</f>
        <v>40500101</v>
      </c>
      <c r="B380" t="s">
        <v>375</v>
      </c>
      <c r="C380" s="1">
        <v>1918.4</v>
      </c>
      <c r="D380" t="str">
        <f>"278"</f>
        <v>278</v>
      </c>
    </row>
    <row r="381" spans="1:5" x14ac:dyDescent="0.25">
      <c r="A381" t="str">
        <f>"40500118  "</f>
        <v xml:space="preserve">40500118  </v>
      </c>
      <c r="B381" t="s">
        <v>376</v>
      </c>
      <c r="C381">
        <v>33</v>
      </c>
      <c r="D381" t="str">
        <f t="shared" ref="D381:D389" si="13">"270"</f>
        <v>270</v>
      </c>
    </row>
    <row r="382" spans="1:5" x14ac:dyDescent="0.25">
      <c r="A382" t="str">
        <f>"40500159  "</f>
        <v xml:space="preserve">40500159  </v>
      </c>
      <c r="B382" t="s">
        <v>377</v>
      </c>
      <c r="C382">
        <v>63.8</v>
      </c>
      <c r="D382" t="str">
        <f t="shared" si="13"/>
        <v>270</v>
      </c>
    </row>
    <row r="383" spans="1:5" x14ac:dyDescent="0.25">
      <c r="A383" t="str">
        <f>"40500217  "</f>
        <v xml:space="preserve">40500217  </v>
      </c>
      <c r="B383" t="s">
        <v>378</v>
      </c>
      <c r="C383">
        <v>28.6</v>
      </c>
      <c r="D383" t="str">
        <f t="shared" si="13"/>
        <v>270</v>
      </c>
    </row>
    <row r="384" spans="1:5" x14ac:dyDescent="0.25">
      <c r="A384" t="str">
        <f>"40500266  "</f>
        <v xml:space="preserve">40500266  </v>
      </c>
      <c r="B384" t="s">
        <v>379</v>
      </c>
      <c r="C384">
        <v>248.6</v>
      </c>
      <c r="D384" t="str">
        <f t="shared" si="13"/>
        <v>270</v>
      </c>
      <c r="E384" t="str">
        <f>"X7700"</f>
        <v>X7700</v>
      </c>
    </row>
    <row r="385" spans="1:4" x14ac:dyDescent="0.25">
      <c r="A385" t="str">
        <f>"40500274  "</f>
        <v xml:space="preserve">40500274  </v>
      </c>
      <c r="B385" t="s">
        <v>380</v>
      </c>
      <c r="C385">
        <v>12.1</v>
      </c>
      <c r="D385" t="str">
        <f t="shared" si="13"/>
        <v>270</v>
      </c>
    </row>
    <row r="386" spans="1:4" x14ac:dyDescent="0.25">
      <c r="A386" t="str">
        <f>"40500282  "</f>
        <v xml:space="preserve">40500282  </v>
      </c>
      <c r="B386" t="s">
        <v>381</v>
      </c>
      <c r="C386">
        <v>12.1</v>
      </c>
      <c r="D386" t="str">
        <f t="shared" si="13"/>
        <v>270</v>
      </c>
    </row>
    <row r="387" spans="1:4" x14ac:dyDescent="0.25">
      <c r="A387" t="str">
        <f>"40500290  "</f>
        <v xml:space="preserve">40500290  </v>
      </c>
      <c r="B387" t="s">
        <v>382</v>
      </c>
      <c r="C387">
        <v>2.2000000000000002</v>
      </c>
      <c r="D387" t="str">
        <f t="shared" si="13"/>
        <v>270</v>
      </c>
    </row>
    <row r="388" spans="1:4" x14ac:dyDescent="0.25">
      <c r="A388" t="str">
        <f>"40500316  "</f>
        <v xml:space="preserve">40500316  </v>
      </c>
      <c r="B388" t="s">
        <v>383</v>
      </c>
      <c r="C388">
        <v>3.3</v>
      </c>
      <c r="D388" t="str">
        <f t="shared" si="13"/>
        <v>270</v>
      </c>
    </row>
    <row r="389" spans="1:4" x14ac:dyDescent="0.25">
      <c r="A389" t="str">
        <f>"40500324  "</f>
        <v xml:space="preserve">40500324  </v>
      </c>
      <c r="B389" t="s">
        <v>384</v>
      </c>
      <c r="C389">
        <v>7.7</v>
      </c>
      <c r="D389" t="str">
        <f t="shared" si="13"/>
        <v>270</v>
      </c>
    </row>
    <row r="390" spans="1:4" x14ac:dyDescent="0.25">
      <c r="A390" t="str">
        <f>"40500506  "</f>
        <v xml:space="preserve">40500506  </v>
      </c>
      <c r="B390" t="s">
        <v>385</v>
      </c>
      <c r="C390">
        <v>952.6</v>
      </c>
      <c r="D390" t="str">
        <f>"278"</f>
        <v>278</v>
      </c>
    </row>
    <row r="391" spans="1:4" x14ac:dyDescent="0.25">
      <c r="A391" t="str">
        <f>"40501009  "</f>
        <v xml:space="preserve">40501009  </v>
      </c>
      <c r="B391" t="s">
        <v>386</v>
      </c>
      <c r="C391">
        <v>8.8000000000000007</v>
      </c>
      <c r="D391" t="str">
        <f>"270"</f>
        <v>270</v>
      </c>
    </row>
    <row r="392" spans="1:4" x14ac:dyDescent="0.25">
      <c r="A392" t="str">
        <f>"40501011"</f>
        <v>40501011</v>
      </c>
      <c r="B392" t="s">
        <v>387</v>
      </c>
      <c r="C392" s="1">
        <v>8822</v>
      </c>
      <c r="D392" t="str">
        <f>"278"</f>
        <v>278</v>
      </c>
    </row>
    <row r="393" spans="1:4" x14ac:dyDescent="0.25">
      <c r="A393" t="str">
        <f>"40501021"</f>
        <v>40501021</v>
      </c>
      <c r="B393" t="s">
        <v>388</v>
      </c>
      <c r="C393" s="1">
        <v>3877.5</v>
      </c>
      <c r="D393" t="str">
        <f>"278"</f>
        <v>278</v>
      </c>
    </row>
    <row r="394" spans="1:4" x14ac:dyDescent="0.25">
      <c r="A394" t="str">
        <f>"40501033  "</f>
        <v xml:space="preserve">40501033  </v>
      </c>
      <c r="B394" t="s">
        <v>389</v>
      </c>
      <c r="C394">
        <v>8.8000000000000007</v>
      </c>
      <c r="D394" t="str">
        <f>"270"</f>
        <v>270</v>
      </c>
    </row>
    <row r="395" spans="1:4" x14ac:dyDescent="0.25">
      <c r="A395" t="str">
        <f>"40501041"</f>
        <v>40501041</v>
      </c>
      <c r="B395" t="s">
        <v>390</v>
      </c>
      <c r="C395" s="1">
        <v>4760.8</v>
      </c>
      <c r="D395" t="str">
        <f>"278"</f>
        <v>278</v>
      </c>
    </row>
    <row r="396" spans="1:4" x14ac:dyDescent="0.25">
      <c r="A396" t="str">
        <f>"40501066  "</f>
        <v xml:space="preserve">40501066  </v>
      </c>
      <c r="B396" t="s">
        <v>391</v>
      </c>
      <c r="C396">
        <v>3.3</v>
      </c>
      <c r="D396" t="str">
        <f>"270"</f>
        <v>270</v>
      </c>
    </row>
    <row r="397" spans="1:4" x14ac:dyDescent="0.25">
      <c r="A397" t="str">
        <f>"40501071"</f>
        <v>40501071</v>
      </c>
      <c r="B397" t="s">
        <v>392</v>
      </c>
      <c r="C397" s="1">
        <v>1736.9</v>
      </c>
      <c r="D397" t="str">
        <f>"270"</f>
        <v>270</v>
      </c>
    </row>
    <row r="398" spans="1:4" x14ac:dyDescent="0.25">
      <c r="A398" t="str">
        <f>"40501081"</f>
        <v>40501081</v>
      </c>
      <c r="B398" t="s">
        <v>393</v>
      </c>
      <c r="C398" s="1">
        <v>1094.5</v>
      </c>
      <c r="D398" t="str">
        <f>"278"</f>
        <v>278</v>
      </c>
    </row>
    <row r="399" spans="1:4" x14ac:dyDescent="0.25">
      <c r="A399" t="str">
        <f>"40501090  "</f>
        <v xml:space="preserve">40501090  </v>
      </c>
      <c r="B399" t="s">
        <v>394</v>
      </c>
      <c r="C399">
        <v>89.1</v>
      </c>
      <c r="D399" t="str">
        <f t="shared" ref="D399:D430" si="14">"270"</f>
        <v>270</v>
      </c>
    </row>
    <row r="400" spans="1:4" x14ac:dyDescent="0.25">
      <c r="A400" t="str">
        <f>"40501102"</f>
        <v>40501102</v>
      </c>
      <c r="B400" t="s">
        <v>395</v>
      </c>
      <c r="C400">
        <v>742.5</v>
      </c>
      <c r="D400" t="str">
        <f t="shared" si="14"/>
        <v>270</v>
      </c>
    </row>
    <row r="401" spans="1:4" x14ac:dyDescent="0.25">
      <c r="A401" t="str">
        <f>"40501110"</f>
        <v>40501110</v>
      </c>
      <c r="B401" t="s">
        <v>396</v>
      </c>
      <c r="C401">
        <v>577.5</v>
      </c>
      <c r="D401" t="str">
        <f t="shared" si="14"/>
        <v>270</v>
      </c>
    </row>
    <row r="402" spans="1:4" x14ac:dyDescent="0.25">
      <c r="A402" t="str">
        <f>"40501112"</f>
        <v>40501112</v>
      </c>
      <c r="B402" t="s">
        <v>397</v>
      </c>
      <c r="C402">
        <v>896.5</v>
      </c>
      <c r="D402" t="str">
        <f t="shared" si="14"/>
        <v>270</v>
      </c>
    </row>
    <row r="403" spans="1:4" x14ac:dyDescent="0.25">
      <c r="A403" t="str">
        <f>"40501124  "</f>
        <v xml:space="preserve">40501124  </v>
      </c>
      <c r="B403" t="s">
        <v>398</v>
      </c>
      <c r="C403">
        <v>7.7</v>
      </c>
      <c r="D403" t="str">
        <f t="shared" si="14"/>
        <v>270</v>
      </c>
    </row>
    <row r="404" spans="1:4" x14ac:dyDescent="0.25">
      <c r="A404" t="str">
        <f>"40501130"</f>
        <v>40501130</v>
      </c>
      <c r="B404" t="s">
        <v>399</v>
      </c>
      <c r="C404">
        <v>198</v>
      </c>
      <c r="D404" t="str">
        <f t="shared" si="14"/>
        <v>270</v>
      </c>
    </row>
    <row r="405" spans="1:4" x14ac:dyDescent="0.25">
      <c r="A405" t="str">
        <f>"40501140"</f>
        <v>40501140</v>
      </c>
      <c r="B405" t="s">
        <v>400</v>
      </c>
      <c r="C405">
        <v>825</v>
      </c>
      <c r="D405" t="str">
        <f t="shared" si="14"/>
        <v>270</v>
      </c>
    </row>
    <row r="406" spans="1:4" x14ac:dyDescent="0.25">
      <c r="A406" t="str">
        <f>"40501150"</f>
        <v>40501150</v>
      </c>
      <c r="B406" t="s">
        <v>401</v>
      </c>
      <c r="C406">
        <v>577.5</v>
      </c>
      <c r="D406" t="str">
        <f t="shared" si="14"/>
        <v>270</v>
      </c>
    </row>
    <row r="407" spans="1:4" x14ac:dyDescent="0.25">
      <c r="A407" t="str">
        <f>"40501165  "</f>
        <v xml:space="preserve">40501165  </v>
      </c>
      <c r="B407" t="s">
        <v>402</v>
      </c>
      <c r="C407">
        <v>178.2</v>
      </c>
      <c r="D407" t="str">
        <f t="shared" si="14"/>
        <v>270</v>
      </c>
    </row>
    <row r="408" spans="1:4" x14ac:dyDescent="0.25">
      <c r="A408" t="str">
        <f>"40501170"</f>
        <v>40501170</v>
      </c>
      <c r="B408" t="s">
        <v>403</v>
      </c>
      <c r="C408">
        <v>110</v>
      </c>
      <c r="D408" t="str">
        <f t="shared" si="14"/>
        <v>270</v>
      </c>
    </row>
    <row r="409" spans="1:4" x14ac:dyDescent="0.25">
      <c r="A409" t="str">
        <f>"40501180"</f>
        <v>40501180</v>
      </c>
      <c r="B409" t="s">
        <v>404</v>
      </c>
      <c r="C409">
        <v>742.5</v>
      </c>
      <c r="D409" t="str">
        <f t="shared" si="14"/>
        <v>270</v>
      </c>
    </row>
    <row r="410" spans="1:4" x14ac:dyDescent="0.25">
      <c r="A410" t="str">
        <f>"40501199  "</f>
        <v xml:space="preserve">40501199  </v>
      </c>
      <c r="B410" t="s">
        <v>405</v>
      </c>
      <c r="C410">
        <v>3.3</v>
      </c>
      <c r="D410" t="str">
        <f t="shared" si="14"/>
        <v>270</v>
      </c>
    </row>
    <row r="411" spans="1:4" x14ac:dyDescent="0.25">
      <c r="A411" t="str">
        <f>"40501200"</f>
        <v>40501200</v>
      </c>
      <c r="B411" t="s">
        <v>406</v>
      </c>
      <c r="C411">
        <v>866.8</v>
      </c>
      <c r="D411" t="str">
        <f t="shared" si="14"/>
        <v>270</v>
      </c>
    </row>
    <row r="412" spans="1:4" x14ac:dyDescent="0.25">
      <c r="A412" t="str">
        <f>"40501210"</f>
        <v>40501210</v>
      </c>
      <c r="B412" t="s">
        <v>407</v>
      </c>
      <c r="C412">
        <v>544.5</v>
      </c>
      <c r="D412" t="str">
        <f t="shared" si="14"/>
        <v>270</v>
      </c>
    </row>
    <row r="413" spans="1:4" x14ac:dyDescent="0.25">
      <c r="A413" t="str">
        <f>"40501223  "</f>
        <v xml:space="preserve">40501223  </v>
      </c>
      <c r="B413" t="s">
        <v>408</v>
      </c>
      <c r="C413">
        <v>2.2000000000000002</v>
      </c>
      <c r="D413" t="str">
        <f t="shared" si="14"/>
        <v>270</v>
      </c>
    </row>
    <row r="414" spans="1:4" x14ac:dyDescent="0.25">
      <c r="A414" t="str">
        <f>"40501230"</f>
        <v>40501230</v>
      </c>
      <c r="B414" t="s">
        <v>409</v>
      </c>
      <c r="C414">
        <v>124.3</v>
      </c>
      <c r="D414" t="str">
        <f t="shared" si="14"/>
        <v>270</v>
      </c>
    </row>
    <row r="415" spans="1:4" x14ac:dyDescent="0.25">
      <c r="A415" t="str">
        <f>"40501240"</f>
        <v>40501240</v>
      </c>
      <c r="B415" t="s">
        <v>410</v>
      </c>
      <c r="C415">
        <v>566.5</v>
      </c>
      <c r="D415" t="str">
        <f t="shared" si="14"/>
        <v>270</v>
      </c>
    </row>
    <row r="416" spans="1:4" x14ac:dyDescent="0.25">
      <c r="A416" t="str">
        <f>"40501256  "</f>
        <v xml:space="preserve">40501256  </v>
      </c>
      <c r="B416" t="s">
        <v>411</v>
      </c>
      <c r="C416">
        <v>2.2000000000000002</v>
      </c>
      <c r="D416" t="str">
        <f t="shared" si="14"/>
        <v>270</v>
      </c>
    </row>
    <row r="417" spans="1:4" x14ac:dyDescent="0.25">
      <c r="A417" t="str">
        <f>"40501260"</f>
        <v>40501260</v>
      </c>
      <c r="B417" t="s">
        <v>412</v>
      </c>
      <c r="C417">
        <v>135.30000000000001</v>
      </c>
      <c r="D417" t="str">
        <f t="shared" si="14"/>
        <v>270</v>
      </c>
    </row>
    <row r="418" spans="1:4" x14ac:dyDescent="0.25">
      <c r="A418" t="str">
        <f>"40501270"</f>
        <v>40501270</v>
      </c>
      <c r="B418" t="s">
        <v>413</v>
      </c>
      <c r="C418">
        <v>607.20000000000005</v>
      </c>
      <c r="D418" t="str">
        <f t="shared" si="14"/>
        <v>270</v>
      </c>
    </row>
    <row r="419" spans="1:4" x14ac:dyDescent="0.25">
      <c r="A419" t="str">
        <f>"40501280  "</f>
        <v xml:space="preserve">40501280  </v>
      </c>
      <c r="B419" t="s">
        <v>414</v>
      </c>
      <c r="C419">
        <v>8.8000000000000007</v>
      </c>
      <c r="D419" t="str">
        <f t="shared" si="14"/>
        <v>270</v>
      </c>
    </row>
    <row r="420" spans="1:4" x14ac:dyDescent="0.25">
      <c r="A420" t="str">
        <f>"40501298  "</f>
        <v xml:space="preserve">40501298  </v>
      </c>
      <c r="B420" t="s">
        <v>415</v>
      </c>
      <c r="C420">
        <v>52.8</v>
      </c>
      <c r="D420" t="str">
        <f t="shared" si="14"/>
        <v>270</v>
      </c>
    </row>
    <row r="421" spans="1:4" x14ac:dyDescent="0.25">
      <c r="A421" t="str">
        <f>"40501300"</f>
        <v>40501300</v>
      </c>
      <c r="B421" t="s">
        <v>416</v>
      </c>
      <c r="C421">
        <v>58.08</v>
      </c>
      <c r="D421" t="str">
        <f t="shared" si="14"/>
        <v>270</v>
      </c>
    </row>
    <row r="422" spans="1:4" x14ac:dyDescent="0.25">
      <c r="A422" t="str">
        <f>"40501314  "</f>
        <v xml:space="preserve">40501314  </v>
      </c>
      <c r="B422" t="s">
        <v>417</v>
      </c>
      <c r="C422">
        <v>2.2000000000000002</v>
      </c>
      <c r="D422" t="str">
        <f t="shared" si="14"/>
        <v>270</v>
      </c>
    </row>
    <row r="423" spans="1:4" x14ac:dyDescent="0.25">
      <c r="A423" t="str">
        <f>"40501320"</f>
        <v>40501320</v>
      </c>
      <c r="B423" t="s">
        <v>418</v>
      </c>
      <c r="C423">
        <v>495</v>
      </c>
      <c r="D423" t="str">
        <f t="shared" si="14"/>
        <v>270</v>
      </c>
    </row>
    <row r="424" spans="1:4" x14ac:dyDescent="0.25">
      <c r="A424" t="str">
        <f>"40501330"</f>
        <v>40501330</v>
      </c>
      <c r="B424" t="s">
        <v>419</v>
      </c>
      <c r="C424" s="1">
        <v>2420</v>
      </c>
      <c r="D424" t="str">
        <f t="shared" si="14"/>
        <v>270</v>
      </c>
    </row>
    <row r="425" spans="1:4" x14ac:dyDescent="0.25">
      <c r="A425" t="str">
        <f>"40501348  "</f>
        <v xml:space="preserve">40501348  </v>
      </c>
      <c r="B425" t="s">
        <v>420</v>
      </c>
      <c r="C425">
        <v>17.600000000000001</v>
      </c>
      <c r="D425" t="str">
        <f t="shared" si="14"/>
        <v>270</v>
      </c>
    </row>
    <row r="426" spans="1:4" x14ac:dyDescent="0.25">
      <c r="A426" t="str">
        <f>"40501350"</f>
        <v>40501350</v>
      </c>
      <c r="B426" t="s">
        <v>421</v>
      </c>
      <c r="C426">
        <v>291.5</v>
      </c>
      <c r="D426" t="str">
        <f t="shared" si="14"/>
        <v>270</v>
      </c>
    </row>
    <row r="427" spans="1:4" x14ac:dyDescent="0.25">
      <c r="A427" t="str">
        <f>"40501360"</f>
        <v>40501360</v>
      </c>
      <c r="B427" t="s">
        <v>422</v>
      </c>
      <c r="C427">
        <v>82.5</v>
      </c>
      <c r="D427" t="str">
        <f t="shared" si="14"/>
        <v>270</v>
      </c>
    </row>
    <row r="428" spans="1:4" x14ac:dyDescent="0.25">
      <c r="A428" t="str">
        <f>"40501371  "</f>
        <v xml:space="preserve">40501371  </v>
      </c>
      <c r="B428" t="s">
        <v>423</v>
      </c>
      <c r="C428">
        <v>16.5</v>
      </c>
      <c r="D428" t="str">
        <f t="shared" si="14"/>
        <v>270</v>
      </c>
    </row>
    <row r="429" spans="1:4" x14ac:dyDescent="0.25">
      <c r="A429" t="str">
        <f>"40501387"</f>
        <v>40501387</v>
      </c>
      <c r="B429" t="s">
        <v>424</v>
      </c>
      <c r="C429">
        <v>302.5</v>
      </c>
      <c r="D429" t="str">
        <f t="shared" si="14"/>
        <v>270</v>
      </c>
    </row>
    <row r="430" spans="1:4" x14ac:dyDescent="0.25">
      <c r="A430" t="str">
        <f>"40501399"</f>
        <v>40501399</v>
      </c>
      <c r="B430" t="s">
        <v>425</v>
      </c>
      <c r="C430">
        <v>96.8</v>
      </c>
      <c r="D430" t="str">
        <f t="shared" si="14"/>
        <v>270</v>
      </c>
    </row>
    <row r="431" spans="1:4" x14ac:dyDescent="0.25">
      <c r="A431" t="str">
        <f>"40501405  "</f>
        <v xml:space="preserve">40501405  </v>
      </c>
      <c r="B431" t="s">
        <v>426</v>
      </c>
      <c r="C431">
        <v>19.8</v>
      </c>
      <c r="D431" t="str">
        <f t="shared" ref="D431:D462" si="15">"270"</f>
        <v>270</v>
      </c>
    </row>
    <row r="432" spans="1:4" x14ac:dyDescent="0.25">
      <c r="A432" t="str">
        <f>"40501412"</f>
        <v>40501412</v>
      </c>
      <c r="B432" t="s">
        <v>427</v>
      </c>
      <c r="C432">
        <v>184.8</v>
      </c>
      <c r="D432" t="str">
        <f t="shared" si="15"/>
        <v>270</v>
      </c>
    </row>
    <row r="433" spans="1:4" x14ac:dyDescent="0.25">
      <c r="A433" t="str">
        <f>"40501422"</f>
        <v>40501422</v>
      </c>
      <c r="B433" t="s">
        <v>428</v>
      </c>
      <c r="C433" s="1">
        <v>1045</v>
      </c>
      <c r="D433" t="str">
        <f t="shared" si="15"/>
        <v>270</v>
      </c>
    </row>
    <row r="434" spans="1:4" x14ac:dyDescent="0.25">
      <c r="A434" t="str">
        <f>"40501439  "</f>
        <v xml:space="preserve">40501439  </v>
      </c>
      <c r="B434" t="s">
        <v>429</v>
      </c>
      <c r="C434">
        <v>24.2</v>
      </c>
      <c r="D434" t="str">
        <f t="shared" si="15"/>
        <v>270</v>
      </c>
    </row>
    <row r="435" spans="1:4" x14ac:dyDescent="0.25">
      <c r="A435" t="str">
        <f>"40501444"</f>
        <v>40501444</v>
      </c>
      <c r="B435" t="s">
        <v>430</v>
      </c>
      <c r="C435">
        <v>63.8</v>
      </c>
      <c r="D435" t="str">
        <f t="shared" si="15"/>
        <v>270</v>
      </c>
    </row>
    <row r="436" spans="1:4" x14ac:dyDescent="0.25">
      <c r="A436" t="str">
        <f>"40501455"</f>
        <v>40501455</v>
      </c>
      <c r="B436" t="s">
        <v>431</v>
      </c>
      <c r="C436">
        <v>528</v>
      </c>
      <c r="D436" t="str">
        <f t="shared" si="15"/>
        <v>270</v>
      </c>
    </row>
    <row r="437" spans="1:4" x14ac:dyDescent="0.25">
      <c r="A437" t="str">
        <f>"40501462  "</f>
        <v xml:space="preserve">40501462  </v>
      </c>
      <c r="B437" t="s">
        <v>432</v>
      </c>
      <c r="C437">
        <v>27.5</v>
      </c>
      <c r="D437" t="str">
        <f t="shared" si="15"/>
        <v>270</v>
      </c>
    </row>
    <row r="438" spans="1:4" x14ac:dyDescent="0.25">
      <c r="A438" t="str">
        <f>"40501470"</f>
        <v>40501470</v>
      </c>
      <c r="B438" t="s">
        <v>433</v>
      </c>
      <c r="C438">
        <v>34.1</v>
      </c>
      <c r="D438" t="str">
        <f t="shared" si="15"/>
        <v>270</v>
      </c>
    </row>
    <row r="439" spans="1:4" x14ac:dyDescent="0.25">
      <c r="A439" t="str">
        <f>"40501488  "</f>
        <v xml:space="preserve">40501488  </v>
      </c>
      <c r="B439" t="s">
        <v>434</v>
      </c>
      <c r="C439">
        <v>74.8</v>
      </c>
      <c r="D439" t="str">
        <f t="shared" si="15"/>
        <v>270</v>
      </c>
    </row>
    <row r="440" spans="1:4" x14ac:dyDescent="0.25">
      <c r="A440" t="str">
        <f>"40501496  "</f>
        <v xml:space="preserve">40501496  </v>
      </c>
      <c r="B440" t="s">
        <v>435</v>
      </c>
      <c r="C440">
        <v>14.3</v>
      </c>
      <c r="D440" t="str">
        <f t="shared" si="15"/>
        <v>270</v>
      </c>
    </row>
    <row r="441" spans="1:4" x14ac:dyDescent="0.25">
      <c r="A441" t="str">
        <f>"40501500"</f>
        <v>40501500</v>
      </c>
      <c r="B441" t="s">
        <v>436</v>
      </c>
      <c r="C441">
        <v>81.400000000000006</v>
      </c>
      <c r="D441" t="str">
        <f t="shared" si="15"/>
        <v>270</v>
      </c>
    </row>
    <row r="442" spans="1:4" x14ac:dyDescent="0.25">
      <c r="A442" t="str">
        <f>"40501511"</f>
        <v>40501511</v>
      </c>
      <c r="B442" t="s">
        <v>437</v>
      </c>
      <c r="C442">
        <v>78.099999999999994</v>
      </c>
      <c r="D442" t="str">
        <f t="shared" si="15"/>
        <v>270</v>
      </c>
    </row>
    <row r="443" spans="1:4" x14ac:dyDescent="0.25">
      <c r="A443" t="str">
        <f>"40501520  "</f>
        <v xml:space="preserve">40501520  </v>
      </c>
      <c r="B443" t="s">
        <v>438</v>
      </c>
      <c r="C443">
        <v>8.8000000000000007</v>
      </c>
      <c r="D443" t="str">
        <f t="shared" si="15"/>
        <v>270</v>
      </c>
    </row>
    <row r="444" spans="1:4" x14ac:dyDescent="0.25">
      <c r="A444" t="str">
        <f>"40501531"</f>
        <v>40501531</v>
      </c>
      <c r="B444" t="s">
        <v>439</v>
      </c>
      <c r="C444">
        <v>734.8</v>
      </c>
      <c r="D444" t="str">
        <f t="shared" si="15"/>
        <v>270</v>
      </c>
    </row>
    <row r="445" spans="1:4" x14ac:dyDescent="0.25">
      <c r="A445" t="str">
        <f>"40501541"</f>
        <v>40501541</v>
      </c>
      <c r="B445" t="s">
        <v>440</v>
      </c>
      <c r="C445">
        <v>88</v>
      </c>
      <c r="D445" t="str">
        <f t="shared" si="15"/>
        <v>270</v>
      </c>
    </row>
    <row r="446" spans="1:4" x14ac:dyDescent="0.25">
      <c r="A446" t="str">
        <f>"40501553  "</f>
        <v xml:space="preserve">40501553  </v>
      </c>
      <c r="B446" t="s">
        <v>441</v>
      </c>
      <c r="C446">
        <v>5.5</v>
      </c>
      <c r="D446" t="str">
        <f t="shared" si="15"/>
        <v>270</v>
      </c>
    </row>
    <row r="447" spans="1:4" x14ac:dyDescent="0.25">
      <c r="A447" t="str">
        <f>"40501561"</f>
        <v>40501561</v>
      </c>
      <c r="B447" t="s">
        <v>442</v>
      </c>
      <c r="C447">
        <v>137.5</v>
      </c>
      <c r="D447" t="str">
        <f t="shared" si="15"/>
        <v>270</v>
      </c>
    </row>
    <row r="448" spans="1:4" x14ac:dyDescent="0.25">
      <c r="A448" t="str">
        <f>"40501579  "</f>
        <v xml:space="preserve">40501579  </v>
      </c>
      <c r="B448" t="s">
        <v>443</v>
      </c>
      <c r="C448">
        <v>166.1</v>
      </c>
      <c r="D448" t="str">
        <f t="shared" si="15"/>
        <v>270</v>
      </c>
    </row>
    <row r="449" spans="1:4" x14ac:dyDescent="0.25">
      <c r="A449" t="str">
        <f>"40501587  "</f>
        <v xml:space="preserve">40501587  </v>
      </c>
      <c r="B449" t="s">
        <v>444</v>
      </c>
      <c r="C449">
        <v>3.3</v>
      </c>
      <c r="D449" t="str">
        <f t="shared" si="15"/>
        <v>270</v>
      </c>
    </row>
    <row r="450" spans="1:4" x14ac:dyDescent="0.25">
      <c r="A450" t="str">
        <f>"40501590"</f>
        <v>40501590</v>
      </c>
      <c r="B450" t="s">
        <v>445</v>
      </c>
      <c r="C450" s="1">
        <v>2302.3000000000002</v>
      </c>
      <c r="D450" t="str">
        <f t="shared" si="15"/>
        <v>270</v>
      </c>
    </row>
    <row r="451" spans="1:4" x14ac:dyDescent="0.25">
      <c r="A451" t="str">
        <f>"4050160"</f>
        <v>4050160</v>
      </c>
      <c r="B451" t="s">
        <v>446</v>
      </c>
      <c r="C451">
        <v>60.5</v>
      </c>
      <c r="D451" t="str">
        <f t="shared" si="15"/>
        <v>270</v>
      </c>
    </row>
    <row r="452" spans="1:4" x14ac:dyDescent="0.25">
      <c r="A452" t="str">
        <f>"40501611  "</f>
        <v xml:space="preserve">40501611  </v>
      </c>
      <c r="B452" t="s">
        <v>447</v>
      </c>
      <c r="C452">
        <v>8.8000000000000007</v>
      </c>
      <c r="D452" t="str">
        <f t="shared" si="15"/>
        <v>270</v>
      </c>
    </row>
    <row r="453" spans="1:4" x14ac:dyDescent="0.25">
      <c r="A453" t="str">
        <f>"40501622"</f>
        <v>40501622</v>
      </c>
      <c r="B453" t="s">
        <v>448</v>
      </c>
      <c r="C453">
        <v>17.600000000000001</v>
      </c>
      <c r="D453" t="str">
        <f t="shared" si="15"/>
        <v>270</v>
      </c>
    </row>
    <row r="454" spans="1:4" x14ac:dyDescent="0.25">
      <c r="A454" t="str">
        <f>"40501633"</f>
        <v>40501633</v>
      </c>
      <c r="B454" t="s">
        <v>449</v>
      </c>
      <c r="C454">
        <v>42.9</v>
      </c>
      <c r="D454" t="str">
        <f t="shared" si="15"/>
        <v>270</v>
      </c>
    </row>
    <row r="455" spans="1:4" x14ac:dyDescent="0.25">
      <c r="A455" t="str">
        <f>"40501645  "</f>
        <v xml:space="preserve">40501645  </v>
      </c>
      <c r="B455" t="s">
        <v>450</v>
      </c>
      <c r="C455">
        <v>7.7</v>
      </c>
      <c r="D455" t="str">
        <f t="shared" si="15"/>
        <v>270</v>
      </c>
    </row>
    <row r="456" spans="1:4" x14ac:dyDescent="0.25">
      <c r="A456" t="str">
        <f>"40501652  "</f>
        <v xml:space="preserve">40501652  </v>
      </c>
      <c r="B456" t="s">
        <v>451</v>
      </c>
      <c r="C456">
        <v>157.30000000000001</v>
      </c>
      <c r="D456" t="str">
        <f t="shared" si="15"/>
        <v>270</v>
      </c>
    </row>
    <row r="457" spans="1:4" x14ac:dyDescent="0.25">
      <c r="A457" t="str">
        <f>"40501666"</f>
        <v>40501666</v>
      </c>
      <c r="B457" t="s">
        <v>452</v>
      </c>
      <c r="C457">
        <v>248.6</v>
      </c>
      <c r="D457" t="str">
        <f t="shared" si="15"/>
        <v>270</v>
      </c>
    </row>
    <row r="458" spans="1:4" x14ac:dyDescent="0.25">
      <c r="A458" t="str">
        <f>"40501678  "</f>
        <v xml:space="preserve">40501678  </v>
      </c>
      <c r="B458" t="s">
        <v>453</v>
      </c>
      <c r="C458">
        <v>3.3</v>
      </c>
      <c r="D458" t="str">
        <f t="shared" si="15"/>
        <v>270</v>
      </c>
    </row>
    <row r="459" spans="1:4" x14ac:dyDescent="0.25">
      <c r="A459" t="str">
        <f>"40501686  "</f>
        <v xml:space="preserve">40501686  </v>
      </c>
      <c r="B459" t="s">
        <v>454</v>
      </c>
      <c r="C459">
        <v>8.8000000000000007</v>
      </c>
      <c r="D459" t="str">
        <f t="shared" si="15"/>
        <v>270</v>
      </c>
    </row>
    <row r="460" spans="1:4" x14ac:dyDescent="0.25">
      <c r="A460" t="str">
        <f>"40501691"</f>
        <v>40501691</v>
      </c>
      <c r="B460" t="s">
        <v>455</v>
      </c>
      <c r="C460">
        <v>60.5</v>
      </c>
      <c r="D460" t="str">
        <f t="shared" si="15"/>
        <v>270</v>
      </c>
    </row>
    <row r="461" spans="1:4" x14ac:dyDescent="0.25">
      <c r="A461" t="str">
        <f>"40501699"</f>
        <v>40501699</v>
      </c>
      <c r="B461" t="s">
        <v>455</v>
      </c>
      <c r="C461">
        <v>60.5</v>
      </c>
      <c r="D461" t="str">
        <f t="shared" si="15"/>
        <v>270</v>
      </c>
    </row>
    <row r="462" spans="1:4" x14ac:dyDescent="0.25">
      <c r="A462" t="str">
        <f>"40501702  "</f>
        <v xml:space="preserve">40501702  </v>
      </c>
      <c r="B462" t="s">
        <v>456</v>
      </c>
      <c r="C462">
        <v>129.80000000000001</v>
      </c>
      <c r="D462" t="str">
        <f t="shared" si="15"/>
        <v>270</v>
      </c>
    </row>
    <row r="463" spans="1:4" x14ac:dyDescent="0.25">
      <c r="A463" t="str">
        <f>"40501711"</f>
        <v>40501711</v>
      </c>
      <c r="B463" t="s">
        <v>457</v>
      </c>
      <c r="C463">
        <v>28.6</v>
      </c>
      <c r="D463" t="str">
        <f t="shared" ref="D463:D480" si="16">"270"</f>
        <v>270</v>
      </c>
    </row>
    <row r="464" spans="1:4" x14ac:dyDescent="0.25">
      <c r="A464" t="str">
        <f>"40501722"</f>
        <v>40501722</v>
      </c>
      <c r="B464" t="s">
        <v>458</v>
      </c>
      <c r="C464">
        <v>508.2</v>
      </c>
      <c r="D464" t="str">
        <f t="shared" si="16"/>
        <v>270</v>
      </c>
    </row>
    <row r="465" spans="1:5" x14ac:dyDescent="0.25">
      <c r="A465" t="str">
        <f>"40501736  "</f>
        <v xml:space="preserve">40501736  </v>
      </c>
      <c r="B465" t="s">
        <v>459</v>
      </c>
      <c r="C465">
        <v>3.3</v>
      </c>
      <c r="D465" t="str">
        <f t="shared" si="16"/>
        <v>270</v>
      </c>
    </row>
    <row r="466" spans="1:5" x14ac:dyDescent="0.25">
      <c r="A466" t="str">
        <f>"40501744"</f>
        <v>40501744</v>
      </c>
      <c r="B466" t="s">
        <v>460</v>
      </c>
      <c r="C466">
        <v>24.2</v>
      </c>
      <c r="D466" t="str">
        <f t="shared" si="16"/>
        <v>270</v>
      </c>
    </row>
    <row r="467" spans="1:5" x14ac:dyDescent="0.25">
      <c r="A467" t="str">
        <f>"40501750"</f>
        <v>40501750</v>
      </c>
      <c r="B467" t="s">
        <v>461</v>
      </c>
      <c r="C467" s="1">
        <v>7121.4</v>
      </c>
      <c r="D467" t="str">
        <f t="shared" si="16"/>
        <v>270</v>
      </c>
    </row>
    <row r="468" spans="1:5" x14ac:dyDescent="0.25">
      <c r="A468" t="str">
        <f>"40501769  "</f>
        <v xml:space="preserve">40501769  </v>
      </c>
      <c r="B468" t="s">
        <v>462</v>
      </c>
      <c r="C468">
        <v>260.7</v>
      </c>
      <c r="D468" t="str">
        <f t="shared" si="16"/>
        <v>270</v>
      </c>
    </row>
    <row r="469" spans="1:5" x14ac:dyDescent="0.25">
      <c r="A469" t="str">
        <f>"4050177"</f>
        <v>4050177</v>
      </c>
      <c r="B469" t="s">
        <v>463</v>
      </c>
      <c r="C469">
        <v>541.20000000000005</v>
      </c>
      <c r="D469" t="str">
        <f t="shared" si="16"/>
        <v>270</v>
      </c>
    </row>
    <row r="470" spans="1:5" x14ac:dyDescent="0.25">
      <c r="A470" t="str">
        <f>"4050178"</f>
        <v>4050178</v>
      </c>
      <c r="B470" t="s">
        <v>464</v>
      </c>
      <c r="C470">
        <v>316.8</v>
      </c>
      <c r="D470" t="str">
        <f t="shared" si="16"/>
        <v>270</v>
      </c>
    </row>
    <row r="471" spans="1:5" x14ac:dyDescent="0.25">
      <c r="A471" t="str">
        <f>"4050179"</f>
        <v>4050179</v>
      </c>
      <c r="B471" t="s">
        <v>465</v>
      </c>
      <c r="C471">
        <v>635.79999999999995</v>
      </c>
      <c r="D471" t="str">
        <f t="shared" si="16"/>
        <v>270</v>
      </c>
    </row>
    <row r="472" spans="1:5" x14ac:dyDescent="0.25">
      <c r="A472" t="str">
        <f>"4050180"</f>
        <v>4050180</v>
      </c>
      <c r="B472" t="s">
        <v>466</v>
      </c>
      <c r="C472">
        <v>635.79999999999995</v>
      </c>
      <c r="D472" t="str">
        <f t="shared" si="16"/>
        <v>270</v>
      </c>
    </row>
    <row r="473" spans="1:5" x14ac:dyDescent="0.25">
      <c r="A473" t="str">
        <f>"4050181"</f>
        <v>4050181</v>
      </c>
      <c r="B473" t="s">
        <v>467</v>
      </c>
      <c r="C473">
        <v>88</v>
      </c>
      <c r="D473" t="str">
        <f t="shared" si="16"/>
        <v>270</v>
      </c>
    </row>
    <row r="474" spans="1:5" x14ac:dyDescent="0.25">
      <c r="A474" t="str">
        <f>"40501827  "</f>
        <v xml:space="preserve">40501827  </v>
      </c>
      <c r="B474" t="s">
        <v>468</v>
      </c>
      <c r="C474">
        <v>3.3</v>
      </c>
      <c r="D474" t="str">
        <f t="shared" si="16"/>
        <v>270</v>
      </c>
    </row>
    <row r="475" spans="1:5" x14ac:dyDescent="0.25">
      <c r="A475" t="str">
        <f>"4050183"</f>
        <v>4050183</v>
      </c>
      <c r="B475" t="s">
        <v>469</v>
      </c>
      <c r="C475" s="1">
        <v>1114.3</v>
      </c>
      <c r="D475" t="str">
        <f t="shared" si="16"/>
        <v>270</v>
      </c>
    </row>
    <row r="476" spans="1:5" x14ac:dyDescent="0.25">
      <c r="A476" t="str">
        <f>"4050184"</f>
        <v>4050184</v>
      </c>
      <c r="B476" t="s">
        <v>470</v>
      </c>
      <c r="C476">
        <v>520.29999999999995</v>
      </c>
      <c r="D476" t="str">
        <f t="shared" si="16"/>
        <v>270</v>
      </c>
    </row>
    <row r="477" spans="1:5" x14ac:dyDescent="0.25">
      <c r="A477" t="str">
        <f>"4050185"</f>
        <v>4050185</v>
      </c>
      <c r="B477" t="s">
        <v>471</v>
      </c>
      <c r="C477">
        <v>902</v>
      </c>
      <c r="D477" t="str">
        <f t="shared" si="16"/>
        <v>270</v>
      </c>
    </row>
    <row r="478" spans="1:5" x14ac:dyDescent="0.25">
      <c r="A478" t="str">
        <f>"40501850  "</f>
        <v xml:space="preserve">40501850  </v>
      </c>
      <c r="B478" t="s">
        <v>472</v>
      </c>
      <c r="C478">
        <v>129.80000000000001</v>
      </c>
      <c r="D478" t="str">
        <f t="shared" si="16"/>
        <v>270</v>
      </c>
    </row>
    <row r="479" spans="1:5" x14ac:dyDescent="0.25">
      <c r="A479" t="str">
        <f>"40501860"</f>
        <v>40501860</v>
      </c>
      <c r="B479" t="s">
        <v>473</v>
      </c>
      <c r="C479" s="1">
        <v>1617</v>
      </c>
      <c r="D479" t="str">
        <f t="shared" si="16"/>
        <v>270</v>
      </c>
      <c r="E479" t="str">
        <f>"0232T"</f>
        <v>0232T</v>
      </c>
    </row>
    <row r="480" spans="1:5" x14ac:dyDescent="0.25">
      <c r="A480" t="str">
        <f>"40501861"</f>
        <v>40501861</v>
      </c>
      <c r="B480" t="s">
        <v>474</v>
      </c>
      <c r="C480">
        <v>41.8</v>
      </c>
      <c r="D480" t="str">
        <f t="shared" si="16"/>
        <v>270</v>
      </c>
      <c r="E480" t="str">
        <f>"49465"</f>
        <v>49465</v>
      </c>
    </row>
    <row r="481" spans="1:4" x14ac:dyDescent="0.25">
      <c r="A481" t="str">
        <f>"40501876  "</f>
        <v xml:space="preserve">40501876  </v>
      </c>
      <c r="B481" t="s">
        <v>475</v>
      </c>
      <c r="C481">
        <v>29.7</v>
      </c>
      <c r="D481" t="str">
        <f>"271"</f>
        <v>271</v>
      </c>
    </row>
    <row r="482" spans="1:4" x14ac:dyDescent="0.25">
      <c r="A482" t="str">
        <f>"40501884  "</f>
        <v xml:space="preserve">40501884  </v>
      </c>
      <c r="B482" t="s">
        <v>476</v>
      </c>
      <c r="C482">
        <v>39.6</v>
      </c>
      <c r="D482" t="str">
        <f>"270"</f>
        <v>270</v>
      </c>
    </row>
    <row r="483" spans="1:4" x14ac:dyDescent="0.25">
      <c r="A483" t="str">
        <f>"40501890"</f>
        <v>40501890</v>
      </c>
      <c r="B483" t="s">
        <v>477</v>
      </c>
      <c r="C483">
        <v>99</v>
      </c>
      <c r="D483" t="str">
        <f>"270"</f>
        <v>270</v>
      </c>
    </row>
    <row r="484" spans="1:4" x14ac:dyDescent="0.25">
      <c r="A484" t="str">
        <f>"40501900  "</f>
        <v xml:space="preserve">40501900  </v>
      </c>
      <c r="B484" t="s">
        <v>478</v>
      </c>
      <c r="C484">
        <v>45.1</v>
      </c>
      <c r="D484" t="str">
        <f>"270"</f>
        <v>270</v>
      </c>
    </row>
    <row r="485" spans="1:4" x14ac:dyDescent="0.25">
      <c r="A485" t="str">
        <f>"40501901"</f>
        <v>40501901</v>
      </c>
      <c r="B485" t="s">
        <v>479</v>
      </c>
      <c r="C485" s="1">
        <v>1567.5</v>
      </c>
      <c r="D485" t="str">
        <f>"270"</f>
        <v>270</v>
      </c>
    </row>
    <row r="486" spans="1:4" x14ac:dyDescent="0.25">
      <c r="A486" t="str">
        <f>"40501918  "</f>
        <v xml:space="preserve">40501918  </v>
      </c>
      <c r="B486" t="s">
        <v>480</v>
      </c>
      <c r="C486" s="1">
        <v>2962.3</v>
      </c>
      <c r="D486" t="str">
        <f>"270"</f>
        <v>270</v>
      </c>
    </row>
    <row r="487" spans="1:4" x14ac:dyDescent="0.25">
      <c r="A487" t="str">
        <f>"40501921"</f>
        <v>40501921</v>
      </c>
      <c r="B487" t="s">
        <v>481</v>
      </c>
      <c r="C487" s="1">
        <v>3135</v>
      </c>
      <c r="D487" t="str">
        <f>"278"</f>
        <v>278</v>
      </c>
    </row>
    <row r="488" spans="1:4" x14ac:dyDescent="0.25">
      <c r="A488" t="str">
        <f>"40501922"</f>
        <v>40501922</v>
      </c>
      <c r="B488" t="s">
        <v>482</v>
      </c>
      <c r="C488">
        <v>596.20000000000005</v>
      </c>
      <c r="D488" t="str">
        <f>"278"</f>
        <v>278</v>
      </c>
    </row>
    <row r="489" spans="1:4" x14ac:dyDescent="0.25">
      <c r="A489" t="str">
        <f>"40501934  "</f>
        <v xml:space="preserve">40501934  </v>
      </c>
      <c r="B489" t="s">
        <v>483</v>
      </c>
      <c r="C489">
        <v>7.7</v>
      </c>
      <c r="D489" t="str">
        <f t="shared" ref="D489:D498" si="17">"270"</f>
        <v>270</v>
      </c>
    </row>
    <row r="490" spans="1:4" x14ac:dyDescent="0.25">
      <c r="A490" t="str">
        <f>"40501941"</f>
        <v>40501941</v>
      </c>
      <c r="B490" t="s">
        <v>484</v>
      </c>
      <c r="C490">
        <v>245.3</v>
      </c>
      <c r="D490" t="str">
        <f t="shared" si="17"/>
        <v>270</v>
      </c>
    </row>
    <row r="491" spans="1:4" x14ac:dyDescent="0.25">
      <c r="A491" t="str">
        <f>"40501942"</f>
        <v>40501942</v>
      </c>
      <c r="B491" t="s">
        <v>485</v>
      </c>
      <c r="C491">
        <v>756.8</v>
      </c>
      <c r="D491" t="str">
        <f t="shared" si="17"/>
        <v>270</v>
      </c>
    </row>
    <row r="492" spans="1:4" x14ac:dyDescent="0.25">
      <c r="A492" t="str">
        <f>"40501967  "</f>
        <v xml:space="preserve">40501967  </v>
      </c>
      <c r="B492" t="s">
        <v>486</v>
      </c>
      <c r="C492">
        <v>8.8000000000000007</v>
      </c>
      <c r="D492" t="str">
        <f t="shared" si="17"/>
        <v>270</v>
      </c>
    </row>
    <row r="493" spans="1:4" x14ac:dyDescent="0.25">
      <c r="A493" t="str">
        <f>"40501983  "</f>
        <v xml:space="preserve">40501983  </v>
      </c>
      <c r="B493" t="s">
        <v>487</v>
      </c>
      <c r="C493">
        <v>8.8000000000000007</v>
      </c>
      <c r="D493" t="str">
        <f t="shared" si="17"/>
        <v>270</v>
      </c>
    </row>
    <row r="494" spans="1:4" x14ac:dyDescent="0.25">
      <c r="A494" t="str">
        <f>"40502015  "</f>
        <v xml:space="preserve">40502015  </v>
      </c>
      <c r="B494" t="s">
        <v>488</v>
      </c>
      <c r="C494">
        <v>4.4000000000000004</v>
      </c>
      <c r="D494" t="str">
        <f t="shared" si="17"/>
        <v>270</v>
      </c>
    </row>
    <row r="495" spans="1:4" x14ac:dyDescent="0.25">
      <c r="A495" t="str">
        <f>"40502021"</f>
        <v>40502021</v>
      </c>
      <c r="B495" t="s">
        <v>489</v>
      </c>
      <c r="C495">
        <v>809.6</v>
      </c>
      <c r="D495" t="str">
        <f t="shared" si="17"/>
        <v>270</v>
      </c>
    </row>
    <row r="496" spans="1:4" x14ac:dyDescent="0.25">
      <c r="A496" t="str">
        <f>"405020241"</f>
        <v>405020241</v>
      </c>
      <c r="B496" t="s">
        <v>490</v>
      </c>
      <c r="C496">
        <v>823.9</v>
      </c>
      <c r="D496" t="str">
        <f t="shared" si="17"/>
        <v>270</v>
      </c>
    </row>
    <row r="497" spans="1:4" x14ac:dyDescent="0.25">
      <c r="A497" t="str">
        <f>"40502030"</f>
        <v>40502030</v>
      </c>
      <c r="B497" t="s">
        <v>491</v>
      </c>
      <c r="C497" s="1">
        <v>1016.4</v>
      </c>
      <c r="D497" t="str">
        <f t="shared" si="17"/>
        <v>270</v>
      </c>
    </row>
    <row r="498" spans="1:4" x14ac:dyDescent="0.25">
      <c r="A498" t="str">
        <f>"40502050"</f>
        <v>40502050</v>
      </c>
      <c r="B498" t="s">
        <v>492</v>
      </c>
      <c r="C498">
        <v>283.8</v>
      </c>
      <c r="D498" t="str">
        <f t="shared" si="17"/>
        <v>270</v>
      </c>
    </row>
    <row r="499" spans="1:4" x14ac:dyDescent="0.25">
      <c r="A499" t="str">
        <f>"40502051"</f>
        <v>40502051</v>
      </c>
      <c r="B499" t="s">
        <v>493</v>
      </c>
      <c r="C499">
        <v>577.5</v>
      </c>
      <c r="D499" t="str">
        <f>"278"</f>
        <v>278</v>
      </c>
    </row>
    <row r="500" spans="1:4" x14ac:dyDescent="0.25">
      <c r="A500" t="str">
        <f>"40502052"</f>
        <v>40502052</v>
      </c>
      <c r="B500" t="s">
        <v>494</v>
      </c>
      <c r="C500">
        <v>12.1</v>
      </c>
      <c r="D500" t="str">
        <f t="shared" ref="D500:D513" si="18">"270"</f>
        <v>270</v>
      </c>
    </row>
    <row r="501" spans="1:4" x14ac:dyDescent="0.25">
      <c r="A501" t="str">
        <f>"40502061"</f>
        <v>40502061</v>
      </c>
      <c r="B501" t="s">
        <v>495</v>
      </c>
      <c r="C501">
        <v>150.69999999999999</v>
      </c>
      <c r="D501" t="str">
        <f t="shared" si="18"/>
        <v>270</v>
      </c>
    </row>
    <row r="502" spans="1:4" x14ac:dyDescent="0.25">
      <c r="A502" t="str">
        <f>"40502070"</f>
        <v>40502070</v>
      </c>
      <c r="B502" t="s">
        <v>496</v>
      </c>
      <c r="C502">
        <v>8.8000000000000007</v>
      </c>
      <c r="D502" t="str">
        <f t="shared" si="18"/>
        <v>270</v>
      </c>
    </row>
    <row r="503" spans="1:4" x14ac:dyDescent="0.25">
      <c r="A503" t="str">
        <f>"40502081"</f>
        <v>40502081</v>
      </c>
      <c r="B503" t="s">
        <v>497</v>
      </c>
      <c r="C503">
        <v>550</v>
      </c>
      <c r="D503" t="str">
        <f t="shared" si="18"/>
        <v>270</v>
      </c>
    </row>
    <row r="504" spans="1:4" x14ac:dyDescent="0.25">
      <c r="A504" t="str">
        <f>"40502101"</f>
        <v>40502101</v>
      </c>
      <c r="B504" t="s">
        <v>498</v>
      </c>
      <c r="C504" s="1">
        <v>2054.8000000000002</v>
      </c>
      <c r="D504" t="str">
        <f t="shared" si="18"/>
        <v>270</v>
      </c>
    </row>
    <row r="505" spans="1:4" x14ac:dyDescent="0.25">
      <c r="A505" t="str">
        <f>"40502102"</f>
        <v>40502102</v>
      </c>
      <c r="B505" t="s">
        <v>499</v>
      </c>
      <c r="C505" s="1">
        <v>3759.8</v>
      </c>
      <c r="D505" t="str">
        <f t="shared" si="18"/>
        <v>270</v>
      </c>
    </row>
    <row r="506" spans="1:4" x14ac:dyDescent="0.25">
      <c r="A506" t="str">
        <f>"40502122  "</f>
        <v xml:space="preserve">40502122  </v>
      </c>
      <c r="B506" t="s">
        <v>500</v>
      </c>
      <c r="C506">
        <v>3.3</v>
      </c>
      <c r="D506" t="str">
        <f t="shared" si="18"/>
        <v>270</v>
      </c>
    </row>
    <row r="507" spans="1:4" x14ac:dyDescent="0.25">
      <c r="A507" t="str">
        <f>"40502131"</f>
        <v>40502131</v>
      </c>
      <c r="B507" t="s">
        <v>501</v>
      </c>
      <c r="C507" s="1">
        <v>1155</v>
      </c>
      <c r="D507" t="str">
        <f t="shared" si="18"/>
        <v>270</v>
      </c>
    </row>
    <row r="508" spans="1:4" x14ac:dyDescent="0.25">
      <c r="A508" t="str">
        <f>"40502148  "</f>
        <v xml:space="preserve">40502148  </v>
      </c>
      <c r="B508" t="s">
        <v>502</v>
      </c>
      <c r="C508">
        <v>7.7</v>
      </c>
      <c r="D508" t="str">
        <f t="shared" si="18"/>
        <v>270</v>
      </c>
    </row>
    <row r="509" spans="1:4" x14ac:dyDescent="0.25">
      <c r="A509" t="str">
        <f>"40502151"</f>
        <v>40502151</v>
      </c>
      <c r="B509" t="s">
        <v>503</v>
      </c>
      <c r="C509" s="1">
        <v>1650</v>
      </c>
      <c r="D509" t="str">
        <f t="shared" si="18"/>
        <v>270</v>
      </c>
    </row>
    <row r="510" spans="1:4" x14ac:dyDescent="0.25">
      <c r="A510" t="str">
        <f>"40502163  "</f>
        <v xml:space="preserve">40502163  </v>
      </c>
      <c r="B510" t="s">
        <v>504</v>
      </c>
      <c r="C510">
        <v>12.1</v>
      </c>
      <c r="D510" t="str">
        <f t="shared" si="18"/>
        <v>270</v>
      </c>
    </row>
    <row r="511" spans="1:4" x14ac:dyDescent="0.25">
      <c r="A511" t="str">
        <f>"40502171  "</f>
        <v xml:space="preserve">40502171  </v>
      </c>
      <c r="B511" t="s">
        <v>505</v>
      </c>
      <c r="C511">
        <v>85.8</v>
      </c>
      <c r="D511" t="str">
        <f t="shared" si="18"/>
        <v>270</v>
      </c>
    </row>
    <row r="512" spans="1:4" x14ac:dyDescent="0.25">
      <c r="A512" t="str">
        <f>"40502189  "</f>
        <v xml:space="preserve">40502189  </v>
      </c>
      <c r="B512" t="s">
        <v>506</v>
      </c>
      <c r="C512">
        <v>13.2</v>
      </c>
      <c r="D512" t="str">
        <f t="shared" si="18"/>
        <v>270</v>
      </c>
    </row>
    <row r="513" spans="1:4" x14ac:dyDescent="0.25">
      <c r="A513" t="str">
        <f>"40502197  "</f>
        <v xml:space="preserve">40502197  </v>
      </c>
      <c r="B513" t="s">
        <v>507</v>
      </c>
      <c r="C513">
        <v>46.2</v>
      </c>
      <c r="D513" t="str">
        <f t="shared" si="18"/>
        <v>270</v>
      </c>
    </row>
    <row r="514" spans="1:4" x14ac:dyDescent="0.25">
      <c r="A514" t="str">
        <f>"40502205  "</f>
        <v xml:space="preserve">40502205  </v>
      </c>
      <c r="B514" t="s">
        <v>508</v>
      </c>
      <c r="C514">
        <v>2.2000000000000002</v>
      </c>
      <c r="D514" t="str">
        <f>"271"</f>
        <v>271</v>
      </c>
    </row>
    <row r="515" spans="1:4" x14ac:dyDescent="0.25">
      <c r="A515" t="str">
        <f>"40502213  "</f>
        <v xml:space="preserve">40502213  </v>
      </c>
      <c r="B515" t="s">
        <v>509</v>
      </c>
      <c r="C515">
        <v>71.5</v>
      </c>
      <c r="D515" t="str">
        <f>"271"</f>
        <v>271</v>
      </c>
    </row>
    <row r="516" spans="1:4" x14ac:dyDescent="0.25">
      <c r="A516" t="str">
        <f>"40502221  "</f>
        <v xml:space="preserve">40502221  </v>
      </c>
      <c r="B516" t="s">
        <v>510</v>
      </c>
      <c r="C516">
        <v>7.7</v>
      </c>
      <c r="D516" t="str">
        <f>"271"</f>
        <v>271</v>
      </c>
    </row>
    <row r="517" spans="1:4" x14ac:dyDescent="0.25">
      <c r="A517" t="str">
        <f>"40502239  "</f>
        <v xml:space="preserve">40502239  </v>
      </c>
      <c r="B517" t="s">
        <v>511</v>
      </c>
      <c r="C517">
        <v>448.8</v>
      </c>
      <c r="D517" t="str">
        <f t="shared" ref="D517:D532" si="19">"270"</f>
        <v>270</v>
      </c>
    </row>
    <row r="518" spans="1:4" x14ac:dyDescent="0.25">
      <c r="A518" t="str">
        <f>"40502247  "</f>
        <v xml:space="preserve">40502247  </v>
      </c>
      <c r="B518" t="s">
        <v>512</v>
      </c>
      <c r="C518">
        <v>22</v>
      </c>
      <c r="D518" t="str">
        <f t="shared" si="19"/>
        <v>270</v>
      </c>
    </row>
    <row r="519" spans="1:4" x14ac:dyDescent="0.25">
      <c r="A519" t="str">
        <f>"40502251"</f>
        <v>40502251</v>
      </c>
      <c r="B519" t="s">
        <v>513</v>
      </c>
      <c r="C519">
        <v>316.8</v>
      </c>
      <c r="D519" t="str">
        <f t="shared" si="19"/>
        <v>270</v>
      </c>
    </row>
    <row r="520" spans="1:4" x14ac:dyDescent="0.25">
      <c r="A520" t="str">
        <f>"40502262  "</f>
        <v xml:space="preserve">40502262  </v>
      </c>
      <c r="B520" t="s">
        <v>514</v>
      </c>
      <c r="C520">
        <v>22</v>
      </c>
      <c r="D520" t="str">
        <f t="shared" si="19"/>
        <v>270</v>
      </c>
    </row>
    <row r="521" spans="1:4" x14ac:dyDescent="0.25">
      <c r="A521" t="str">
        <f>"40502270  "</f>
        <v xml:space="preserve">40502270  </v>
      </c>
      <c r="B521" t="s">
        <v>515</v>
      </c>
      <c r="C521">
        <v>55</v>
      </c>
      <c r="D521" t="str">
        <f t="shared" si="19"/>
        <v>270</v>
      </c>
    </row>
    <row r="522" spans="1:4" x14ac:dyDescent="0.25">
      <c r="A522" t="str">
        <f>"40502288"</f>
        <v>40502288</v>
      </c>
      <c r="B522" t="s">
        <v>516</v>
      </c>
      <c r="C522">
        <v>40.700000000000003</v>
      </c>
      <c r="D522" t="str">
        <f t="shared" si="19"/>
        <v>270</v>
      </c>
    </row>
    <row r="523" spans="1:4" x14ac:dyDescent="0.25">
      <c r="A523" t="str">
        <f>"40502291"</f>
        <v>40502291</v>
      </c>
      <c r="B523" t="s">
        <v>517</v>
      </c>
      <c r="C523">
        <v>316.8</v>
      </c>
      <c r="D523" t="str">
        <f t="shared" si="19"/>
        <v>270</v>
      </c>
    </row>
    <row r="524" spans="1:4" x14ac:dyDescent="0.25">
      <c r="A524" t="str">
        <f>"40502304  "</f>
        <v xml:space="preserve">40502304  </v>
      </c>
      <c r="B524" t="s">
        <v>518</v>
      </c>
      <c r="C524">
        <v>2.2000000000000002</v>
      </c>
      <c r="D524" t="str">
        <f t="shared" si="19"/>
        <v>270</v>
      </c>
    </row>
    <row r="525" spans="1:4" x14ac:dyDescent="0.25">
      <c r="A525" t="str">
        <f>"40502312  "</f>
        <v xml:space="preserve">40502312  </v>
      </c>
      <c r="B525" t="s">
        <v>519</v>
      </c>
      <c r="C525">
        <v>498.3</v>
      </c>
      <c r="D525" t="str">
        <f t="shared" si="19"/>
        <v>270</v>
      </c>
    </row>
    <row r="526" spans="1:4" x14ac:dyDescent="0.25">
      <c r="A526" t="str">
        <f>"40502320  "</f>
        <v xml:space="preserve">40502320  </v>
      </c>
      <c r="B526" t="s">
        <v>520</v>
      </c>
      <c r="C526">
        <v>63.8</v>
      </c>
      <c r="D526" t="str">
        <f t="shared" si="19"/>
        <v>270</v>
      </c>
    </row>
    <row r="527" spans="1:4" x14ac:dyDescent="0.25">
      <c r="A527" t="str">
        <f>"40502338  "</f>
        <v xml:space="preserve">40502338  </v>
      </c>
      <c r="B527" t="s">
        <v>521</v>
      </c>
      <c r="C527">
        <v>52.8</v>
      </c>
      <c r="D527" t="str">
        <f t="shared" si="19"/>
        <v>270</v>
      </c>
    </row>
    <row r="528" spans="1:4" x14ac:dyDescent="0.25">
      <c r="A528" t="str">
        <f>"40502346  "</f>
        <v xml:space="preserve">40502346  </v>
      </c>
      <c r="B528" t="s">
        <v>522</v>
      </c>
      <c r="C528">
        <v>154</v>
      </c>
      <c r="D528" t="str">
        <f t="shared" si="19"/>
        <v>270</v>
      </c>
    </row>
    <row r="529" spans="1:4" x14ac:dyDescent="0.25">
      <c r="A529" t="str">
        <f>"40502361  "</f>
        <v xml:space="preserve">40502361  </v>
      </c>
      <c r="B529" t="s">
        <v>523</v>
      </c>
      <c r="C529">
        <v>281.60000000000002</v>
      </c>
      <c r="D529" t="str">
        <f t="shared" si="19"/>
        <v>270</v>
      </c>
    </row>
    <row r="530" spans="1:4" x14ac:dyDescent="0.25">
      <c r="A530" t="str">
        <f>"40502387  "</f>
        <v xml:space="preserve">40502387  </v>
      </c>
      <c r="B530" t="s">
        <v>524</v>
      </c>
      <c r="C530">
        <v>14.3</v>
      </c>
      <c r="D530" t="str">
        <f t="shared" si="19"/>
        <v>270</v>
      </c>
    </row>
    <row r="531" spans="1:4" x14ac:dyDescent="0.25">
      <c r="A531" t="str">
        <f>"40502395  "</f>
        <v xml:space="preserve">40502395  </v>
      </c>
      <c r="B531" t="s">
        <v>525</v>
      </c>
      <c r="C531">
        <v>278.3</v>
      </c>
      <c r="D531" t="str">
        <f t="shared" si="19"/>
        <v>270</v>
      </c>
    </row>
    <row r="532" spans="1:4" x14ac:dyDescent="0.25">
      <c r="A532" t="str">
        <f>"40502403  "</f>
        <v xml:space="preserve">40502403  </v>
      </c>
      <c r="B532" t="s">
        <v>526</v>
      </c>
      <c r="C532">
        <v>3.3</v>
      </c>
      <c r="D532" t="str">
        <f t="shared" si="19"/>
        <v>270</v>
      </c>
    </row>
    <row r="533" spans="1:4" x14ac:dyDescent="0.25">
      <c r="A533" t="str">
        <f>"40502411"</f>
        <v>40502411</v>
      </c>
      <c r="B533" t="s">
        <v>527</v>
      </c>
      <c r="C533" s="1">
        <v>7260</v>
      </c>
      <c r="D533" t="str">
        <f>"278"</f>
        <v>278</v>
      </c>
    </row>
    <row r="534" spans="1:4" x14ac:dyDescent="0.25">
      <c r="A534" t="str">
        <f>"40502429  "</f>
        <v xml:space="preserve">40502429  </v>
      </c>
      <c r="B534" t="s">
        <v>528</v>
      </c>
      <c r="C534">
        <v>105.6</v>
      </c>
      <c r="D534" t="str">
        <f t="shared" ref="D534:D539" si="20">"270"</f>
        <v>270</v>
      </c>
    </row>
    <row r="535" spans="1:4" x14ac:dyDescent="0.25">
      <c r="A535" t="str">
        <f>"40502430"</f>
        <v>40502430</v>
      </c>
      <c r="B535" t="s">
        <v>529</v>
      </c>
      <c r="C535">
        <v>37.4</v>
      </c>
      <c r="D535" t="str">
        <f t="shared" si="20"/>
        <v>270</v>
      </c>
    </row>
    <row r="536" spans="1:4" x14ac:dyDescent="0.25">
      <c r="A536" t="str">
        <f>"40502445  "</f>
        <v xml:space="preserve">40502445  </v>
      </c>
      <c r="B536" t="s">
        <v>530</v>
      </c>
      <c r="C536">
        <v>2.2000000000000002</v>
      </c>
      <c r="D536" t="str">
        <f t="shared" si="20"/>
        <v>270</v>
      </c>
    </row>
    <row r="537" spans="1:4" x14ac:dyDescent="0.25">
      <c r="A537" t="str">
        <f>"40502452  "</f>
        <v xml:space="preserve">40502452  </v>
      </c>
      <c r="B537" t="s">
        <v>531</v>
      </c>
      <c r="C537">
        <v>24.2</v>
      </c>
      <c r="D537" t="str">
        <f t="shared" si="20"/>
        <v>270</v>
      </c>
    </row>
    <row r="538" spans="1:4" x14ac:dyDescent="0.25">
      <c r="A538" t="str">
        <f>"40502460  "</f>
        <v xml:space="preserve">40502460  </v>
      </c>
      <c r="B538" t="s">
        <v>532</v>
      </c>
      <c r="C538">
        <v>7.7</v>
      </c>
      <c r="D538" t="str">
        <f t="shared" si="20"/>
        <v>270</v>
      </c>
    </row>
    <row r="539" spans="1:4" x14ac:dyDescent="0.25">
      <c r="A539" t="str">
        <f>"40502478  "</f>
        <v xml:space="preserve">40502478  </v>
      </c>
      <c r="B539" t="s">
        <v>533</v>
      </c>
      <c r="C539">
        <v>7.7</v>
      </c>
      <c r="D539" t="str">
        <f t="shared" si="20"/>
        <v>270</v>
      </c>
    </row>
    <row r="540" spans="1:4" x14ac:dyDescent="0.25">
      <c r="A540" t="str">
        <f>"40502486  "</f>
        <v xml:space="preserve">40502486  </v>
      </c>
      <c r="B540" t="s">
        <v>534</v>
      </c>
      <c r="C540">
        <v>3.3</v>
      </c>
      <c r="D540" t="str">
        <f>"271"</f>
        <v>271</v>
      </c>
    </row>
    <row r="541" spans="1:4" x14ac:dyDescent="0.25">
      <c r="A541" t="str">
        <f>"40502494  "</f>
        <v xml:space="preserve">40502494  </v>
      </c>
      <c r="B541" t="s">
        <v>535</v>
      </c>
      <c r="C541">
        <v>22</v>
      </c>
      <c r="D541" t="str">
        <f>"270"</f>
        <v>270</v>
      </c>
    </row>
    <row r="542" spans="1:4" x14ac:dyDescent="0.25">
      <c r="A542" t="str">
        <f>"40502528  "</f>
        <v xml:space="preserve">40502528  </v>
      </c>
      <c r="B542" t="s">
        <v>536</v>
      </c>
      <c r="C542">
        <v>12.1</v>
      </c>
      <c r="D542" t="str">
        <f>"270"</f>
        <v>270</v>
      </c>
    </row>
    <row r="543" spans="1:4" x14ac:dyDescent="0.25">
      <c r="A543" t="str">
        <f>"40502536  "</f>
        <v xml:space="preserve">40502536  </v>
      </c>
      <c r="B543" t="s">
        <v>537</v>
      </c>
      <c r="C543">
        <v>8.8000000000000007</v>
      </c>
      <c r="D543" t="str">
        <f>"270"</f>
        <v>270</v>
      </c>
    </row>
    <row r="544" spans="1:4" x14ac:dyDescent="0.25">
      <c r="A544" t="str">
        <f>"40502668  "</f>
        <v xml:space="preserve">40502668  </v>
      </c>
      <c r="B544" t="s">
        <v>538</v>
      </c>
      <c r="C544">
        <v>151.80000000000001</v>
      </c>
      <c r="D544" t="str">
        <f t="shared" ref="D544:D552" si="21">"271"</f>
        <v>271</v>
      </c>
    </row>
    <row r="545" spans="1:5" x14ac:dyDescent="0.25">
      <c r="A545" t="str">
        <f>"40502676  "</f>
        <v xml:space="preserve">40502676  </v>
      </c>
      <c r="B545" t="s">
        <v>539</v>
      </c>
      <c r="C545">
        <v>53.9</v>
      </c>
      <c r="D545" t="str">
        <f t="shared" si="21"/>
        <v>271</v>
      </c>
    </row>
    <row r="546" spans="1:5" x14ac:dyDescent="0.25">
      <c r="A546" t="str">
        <f>"40502700"</f>
        <v>40502700</v>
      </c>
      <c r="B546" t="s">
        <v>540</v>
      </c>
      <c r="C546">
        <v>37.4</v>
      </c>
      <c r="D546" t="str">
        <f t="shared" si="21"/>
        <v>271</v>
      </c>
    </row>
    <row r="547" spans="1:5" x14ac:dyDescent="0.25">
      <c r="A547" t="str">
        <f>"40502718  "</f>
        <v xml:space="preserve">40502718  </v>
      </c>
      <c r="B547" t="s">
        <v>541</v>
      </c>
      <c r="C547">
        <v>58.3</v>
      </c>
      <c r="D547" t="str">
        <f t="shared" si="21"/>
        <v>271</v>
      </c>
    </row>
    <row r="548" spans="1:5" x14ac:dyDescent="0.25">
      <c r="A548" t="str">
        <f>"40502726  "</f>
        <v xml:space="preserve">40502726  </v>
      </c>
      <c r="B548" t="s">
        <v>542</v>
      </c>
      <c r="C548">
        <v>39.6</v>
      </c>
      <c r="D548" t="str">
        <f t="shared" si="21"/>
        <v>271</v>
      </c>
    </row>
    <row r="549" spans="1:5" x14ac:dyDescent="0.25">
      <c r="A549" t="str">
        <f>"40502742  "</f>
        <v xml:space="preserve">40502742  </v>
      </c>
      <c r="B549" t="s">
        <v>543</v>
      </c>
      <c r="C549">
        <v>58.3</v>
      </c>
      <c r="D549" t="str">
        <f t="shared" si="21"/>
        <v>271</v>
      </c>
    </row>
    <row r="550" spans="1:5" x14ac:dyDescent="0.25">
      <c r="A550" t="str">
        <f>"40502759  "</f>
        <v xml:space="preserve">40502759  </v>
      </c>
      <c r="B550" t="s">
        <v>544</v>
      </c>
      <c r="C550">
        <v>27.5</v>
      </c>
      <c r="D550" t="str">
        <f t="shared" si="21"/>
        <v>271</v>
      </c>
    </row>
    <row r="551" spans="1:5" x14ac:dyDescent="0.25">
      <c r="A551" t="str">
        <f>"40502767  "</f>
        <v xml:space="preserve">40502767  </v>
      </c>
      <c r="B551" t="s">
        <v>545</v>
      </c>
      <c r="C551">
        <v>27.5</v>
      </c>
      <c r="D551" t="str">
        <f t="shared" si="21"/>
        <v>271</v>
      </c>
    </row>
    <row r="552" spans="1:5" x14ac:dyDescent="0.25">
      <c r="A552" t="str">
        <f>"40502783  "</f>
        <v xml:space="preserve">40502783  </v>
      </c>
      <c r="B552" t="s">
        <v>546</v>
      </c>
      <c r="C552">
        <v>7.7</v>
      </c>
      <c r="D552" t="str">
        <f t="shared" si="21"/>
        <v>271</v>
      </c>
    </row>
    <row r="553" spans="1:5" x14ac:dyDescent="0.25">
      <c r="A553" t="str">
        <f>"40502799"</f>
        <v>40502799</v>
      </c>
      <c r="B553" t="s">
        <v>547</v>
      </c>
      <c r="C553" s="1">
        <v>3595.9</v>
      </c>
      <c r="D553" t="str">
        <f>"270"</f>
        <v>270</v>
      </c>
    </row>
    <row r="554" spans="1:5" x14ac:dyDescent="0.25">
      <c r="A554" t="str">
        <f>"40502817  "</f>
        <v xml:space="preserve">40502817  </v>
      </c>
      <c r="B554" t="s">
        <v>548</v>
      </c>
      <c r="C554" s="1">
        <v>1348.6</v>
      </c>
      <c r="D554" t="str">
        <f>"272"</f>
        <v>272</v>
      </c>
      <c r="E554" t="str">
        <f>"A4550"</f>
        <v>A4550</v>
      </c>
    </row>
    <row r="555" spans="1:5" x14ac:dyDescent="0.25">
      <c r="A555" t="str">
        <f>"40502825  "</f>
        <v xml:space="preserve">40502825  </v>
      </c>
      <c r="B555" t="s">
        <v>549</v>
      </c>
      <c r="C555">
        <v>51.7</v>
      </c>
      <c r="D555" t="str">
        <f>"270"</f>
        <v>270</v>
      </c>
    </row>
    <row r="556" spans="1:5" x14ac:dyDescent="0.25">
      <c r="A556" t="str">
        <f>"40502841  "</f>
        <v xml:space="preserve">40502841  </v>
      </c>
      <c r="B556" t="s">
        <v>550</v>
      </c>
      <c r="C556">
        <v>17.600000000000001</v>
      </c>
      <c r="D556" t="str">
        <f>"270"</f>
        <v>270</v>
      </c>
    </row>
    <row r="557" spans="1:5" x14ac:dyDescent="0.25">
      <c r="A557" t="str">
        <f>"40502858  "</f>
        <v xml:space="preserve">40502858  </v>
      </c>
      <c r="B557" t="s">
        <v>551</v>
      </c>
      <c r="C557">
        <v>379.5</v>
      </c>
      <c r="D557" t="str">
        <f>"272"</f>
        <v>272</v>
      </c>
    </row>
    <row r="558" spans="1:5" x14ac:dyDescent="0.25">
      <c r="A558" t="str">
        <f>"40502874  "</f>
        <v xml:space="preserve">40502874  </v>
      </c>
      <c r="B558" t="s">
        <v>552</v>
      </c>
      <c r="C558">
        <v>147.4</v>
      </c>
      <c r="D558" t="str">
        <f>"270"</f>
        <v>270</v>
      </c>
    </row>
    <row r="559" spans="1:5" x14ac:dyDescent="0.25">
      <c r="A559" t="str">
        <f>"40502890  "</f>
        <v xml:space="preserve">40502890  </v>
      </c>
      <c r="B559" t="s">
        <v>553</v>
      </c>
      <c r="C559">
        <v>84.7</v>
      </c>
      <c r="D559" t="str">
        <f>"270"</f>
        <v>270</v>
      </c>
    </row>
    <row r="560" spans="1:5" x14ac:dyDescent="0.25">
      <c r="A560" t="str">
        <f>"40502908  "</f>
        <v xml:space="preserve">40502908  </v>
      </c>
      <c r="B560" t="s">
        <v>554</v>
      </c>
      <c r="C560">
        <v>84.7</v>
      </c>
      <c r="D560" t="str">
        <f>"272"</f>
        <v>272</v>
      </c>
      <c r="E560" t="str">
        <f>"A4550"</f>
        <v>A4550</v>
      </c>
    </row>
    <row r="561" spans="1:5" x14ac:dyDescent="0.25">
      <c r="A561" t="str">
        <f>"40502924  "</f>
        <v xml:space="preserve">40502924  </v>
      </c>
      <c r="B561" t="s">
        <v>555</v>
      </c>
      <c r="C561">
        <v>84.7</v>
      </c>
      <c r="D561" t="str">
        <f t="shared" ref="D561:D575" si="22">"270"</f>
        <v>270</v>
      </c>
    </row>
    <row r="562" spans="1:5" x14ac:dyDescent="0.25">
      <c r="A562" t="str">
        <f>"40502940  "</f>
        <v xml:space="preserve">40502940  </v>
      </c>
      <c r="B562" t="s">
        <v>556</v>
      </c>
      <c r="C562">
        <v>74.8</v>
      </c>
      <c r="D562" t="str">
        <f t="shared" si="22"/>
        <v>270</v>
      </c>
    </row>
    <row r="563" spans="1:5" x14ac:dyDescent="0.25">
      <c r="A563" t="str">
        <f>"40502957  "</f>
        <v xml:space="preserve">40502957  </v>
      </c>
      <c r="B563" t="s">
        <v>557</v>
      </c>
      <c r="C563" s="1">
        <v>1014.2</v>
      </c>
      <c r="D563" t="str">
        <f t="shared" si="22"/>
        <v>270</v>
      </c>
    </row>
    <row r="564" spans="1:5" x14ac:dyDescent="0.25">
      <c r="A564" t="str">
        <f>"40502965  "</f>
        <v xml:space="preserve">40502965  </v>
      </c>
      <c r="B564" t="s">
        <v>558</v>
      </c>
      <c r="C564">
        <v>74.8</v>
      </c>
      <c r="D564" t="str">
        <f t="shared" si="22"/>
        <v>270</v>
      </c>
    </row>
    <row r="565" spans="1:5" x14ac:dyDescent="0.25">
      <c r="A565" t="str">
        <f>"40502981  "</f>
        <v xml:space="preserve">40502981  </v>
      </c>
      <c r="B565" t="s">
        <v>559</v>
      </c>
      <c r="C565">
        <v>74.8</v>
      </c>
      <c r="D565" t="str">
        <f t="shared" si="22"/>
        <v>270</v>
      </c>
    </row>
    <row r="566" spans="1:5" x14ac:dyDescent="0.25">
      <c r="A566" t="str">
        <f>"40503021  "</f>
        <v xml:space="preserve">40503021  </v>
      </c>
      <c r="B566" t="s">
        <v>560</v>
      </c>
      <c r="C566">
        <v>29.7</v>
      </c>
      <c r="D566" t="str">
        <f t="shared" si="22"/>
        <v>270</v>
      </c>
    </row>
    <row r="567" spans="1:5" x14ac:dyDescent="0.25">
      <c r="A567" t="str">
        <f>"40503039  "</f>
        <v xml:space="preserve">40503039  </v>
      </c>
      <c r="B567" t="s">
        <v>561</v>
      </c>
      <c r="C567">
        <v>185.9</v>
      </c>
      <c r="D567" t="str">
        <f t="shared" si="22"/>
        <v>270</v>
      </c>
    </row>
    <row r="568" spans="1:5" x14ac:dyDescent="0.25">
      <c r="A568" t="str">
        <f>"40503047  "</f>
        <v xml:space="preserve">40503047  </v>
      </c>
      <c r="B568" t="s">
        <v>562</v>
      </c>
      <c r="C568">
        <v>51.7</v>
      </c>
      <c r="D568" t="str">
        <f t="shared" si="22"/>
        <v>270</v>
      </c>
    </row>
    <row r="569" spans="1:5" x14ac:dyDescent="0.25">
      <c r="A569" t="str">
        <f>"40503062  "</f>
        <v xml:space="preserve">40503062  </v>
      </c>
      <c r="B569" t="s">
        <v>563</v>
      </c>
      <c r="C569">
        <v>141.9</v>
      </c>
      <c r="D569" t="str">
        <f t="shared" si="22"/>
        <v>270</v>
      </c>
    </row>
    <row r="570" spans="1:5" x14ac:dyDescent="0.25">
      <c r="A570" t="str">
        <f>"40503088  "</f>
        <v xml:space="preserve">40503088  </v>
      </c>
      <c r="B570" t="s">
        <v>564</v>
      </c>
      <c r="C570">
        <v>49.5</v>
      </c>
      <c r="D570" t="str">
        <f t="shared" si="22"/>
        <v>270</v>
      </c>
    </row>
    <row r="571" spans="1:5" x14ac:dyDescent="0.25">
      <c r="A571" t="str">
        <f>"40503096  "</f>
        <v xml:space="preserve">40503096  </v>
      </c>
      <c r="B571" t="s">
        <v>565</v>
      </c>
      <c r="C571">
        <v>360.8</v>
      </c>
      <c r="D571" t="str">
        <f t="shared" si="22"/>
        <v>270</v>
      </c>
    </row>
    <row r="572" spans="1:5" x14ac:dyDescent="0.25">
      <c r="A572" t="str">
        <f>"40503104  "</f>
        <v xml:space="preserve">40503104  </v>
      </c>
      <c r="B572" t="s">
        <v>566</v>
      </c>
      <c r="C572">
        <v>108.9</v>
      </c>
      <c r="D572" t="str">
        <f t="shared" si="22"/>
        <v>270</v>
      </c>
    </row>
    <row r="573" spans="1:5" x14ac:dyDescent="0.25">
      <c r="A573" t="str">
        <f>"40503112  "</f>
        <v xml:space="preserve">40503112  </v>
      </c>
      <c r="B573" t="s">
        <v>567</v>
      </c>
      <c r="C573">
        <v>67.099999999999994</v>
      </c>
      <c r="D573" t="str">
        <f t="shared" si="22"/>
        <v>270</v>
      </c>
    </row>
    <row r="574" spans="1:5" x14ac:dyDescent="0.25">
      <c r="A574" t="str">
        <f>"40503120  "</f>
        <v xml:space="preserve">40503120  </v>
      </c>
      <c r="B574" t="s">
        <v>568</v>
      </c>
      <c r="C574">
        <v>72.599999999999994</v>
      </c>
      <c r="D574" t="str">
        <f t="shared" si="22"/>
        <v>270</v>
      </c>
    </row>
    <row r="575" spans="1:5" x14ac:dyDescent="0.25">
      <c r="A575" t="str">
        <f>"40503138  "</f>
        <v xml:space="preserve">40503138  </v>
      </c>
      <c r="B575" t="s">
        <v>569</v>
      </c>
      <c r="C575">
        <v>45.1</v>
      </c>
      <c r="D575" t="str">
        <f t="shared" si="22"/>
        <v>270</v>
      </c>
    </row>
    <row r="576" spans="1:5" x14ac:dyDescent="0.25">
      <c r="A576" t="str">
        <f>"40503146  "</f>
        <v xml:space="preserve">40503146  </v>
      </c>
      <c r="B576" t="s">
        <v>570</v>
      </c>
      <c r="C576">
        <v>13.2</v>
      </c>
      <c r="D576" t="str">
        <f>"272"</f>
        <v>272</v>
      </c>
      <c r="E576" t="str">
        <f>"A4320"</f>
        <v>A4320</v>
      </c>
    </row>
    <row r="577" spans="1:5" x14ac:dyDescent="0.25">
      <c r="A577" t="str">
        <f>"40503161  "</f>
        <v xml:space="preserve">40503161  </v>
      </c>
      <c r="B577" t="s">
        <v>571</v>
      </c>
      <c r="C577">
        <v>31.9</v>
      </c>
      <c r="D577" t="str">
        <f t="shared" ref="D577:D582" si="23">"270"</f>
        <v>270</v>
      </c>
    </row>
    <row r="578" spans="1:5" x14ac:dyDescent="0.25">
      <c r="A578" t="str">
        <f>"40503187  "</f>
        <v xml:space="preserve">40503187  </v>
      </c>
      <c r="B578" t="s">
        <v>572</v>
      </c>
      <c r="C578">
        <v>134.19999999999999</v>
      </c>
      <c r="D578" t="str">
        <f t="shared" si="23"/>
        <v>270</v>
      </c>
    </row>
    <row r="579" spans="1:5" x14ac:dyDescent="0.25">
      <c r="A579" t="str">
        <f>"40503195  "</f>
        <v xml:space="preserve">40503195  </v>
      </c>
      <c r="B579" t="s">
        <v>573</v>
      </c>
      <c r="C579">
        <v>704</v>
      </c>
      <c r="D579" t="str">
        <f t="shared" si="23"/>
        <v>270</v>
      </c>
    </row>
    <row r="580" spans="1:5" x14ac:dyDescent="0.25">
      <c r="A580" t="str">
        <f>"40503203  "</f>
        <v xml:space="preserve">40503203  </v>
      </c>
      <c r="B580" t="s">
        <v>574</v>
      </c>
      <c r="C580">
        <v>13.2</v>
      </c>
      <c r="D580" t="str">
        <f t="shared" si="23"/>
        <v>270</v>
      </c>
    </row>
    <row r="581" spans="1:5" x14ac:dyDescent="0.25">
      <c r="A581" t="str">
        <f>"40503229  "</f>
        <v xml:space="preserve">40503229  </v>
      </c>
      <c r="B581" t="s">
        <v>575</v>
      </c>
      <c r="C581">
        <v>39.6</v>
      </c>
      <c r="D581" t="str">
        <f t="shared" si="23"/>
        <v>270</v>
      </c>
    </row>
    <row r="582" spans="1:5" x14ac:dyDescent="0.25">
      <c r="A582" t="str">
        <f>"40503237  "</f>
        <v xml:space="preserve">40503237  </v>
      </c>
      <c r="B582" t="s">
        <v>576</v>
      </c>
      <c r="C582">
        <v>668.94</v>
      </c>
      <c r="D582" t="str">
        <f t="shared" si="23"/>
        <v>270</v>
      </c>
    </row>
    <row r="583" spans="1:5" x14ac:dyDescent="0.25">
      <c r="A583" t="str">
        <f>"40503245  "</f>
        <v xml:space="preserve">40503245  </v>
      </c>
      <c r="B583" t="s">
        <v>577</v>
      </c>
      <c r="C583">
        <v>53.9</v>
      </c>
      <c r="D583" t="str">
        <f>"271"</f>
        <v>271</v>
      </c>
    </row>
    <row r="584" spans="1:5" x14ac:dyDescent="0.25">
      <c r="A584" t="str">
        <f>"40503252  "</f>
        <v xml:space="preserve">40503252  </v>
      </c>
      <c r="B584" t="s">
        <v>578</v>
      </c>
      <c r="C584">
        <v>38.5</v>
      </c>
      <c r="D584" t="str">
        <f>"270"</f>
        <v>270</v>
      </c>
    </row>
    <row r="585" spans="1:5" x14ac:dyDescent="0.25">
      <c r="A585" t="str">
        <f>"40503260  "</f>
        <v xml:space="preserve">40503260  </v>
      </c>
      <c r="B585" t="s">
        <v>579</v>
      </c>
      <c r="C585">
        <v>33</v>
      </c>
      <c r="D585" t="str">
        <f>"270"</f>
        <v>270</v>
      </c>
    </row>
    <row r="586" spans="1:5" x14ac:dyDescent="0.25">
      <c r="A586" t="str">
        <f>"40503278  "</f>
        <v xml:space="preserve">40503278  </v>
      </c>
      <c r="B586" t="s">
        <v>580</v>
      </c>
      <c r="C586">
        <v>77</v>
      </c>
      <c r="D586" t="str">
        <f>"270"</f>
        <v>270</v>
      </c>
    </row>
    <row r="587" spans="1:5" x14ac:dyDescent="0.25">
      <c r="A587" t="str">
        <f>"40503286  "</f>
        <v xml:space="preserve">40503286  </v>
      </c>
      <c r="B587" t="s">
        <v>121</v>
      </c>
      <c r="C587">
        <v>138.6</v>
      </c>
      <c r="D587" t="str">
        <f>"270"</f>
        <v>270</v>
      </c>
    </row>
    <row r="588" spans="1:5" x14ac:dyDescent="0.25">
      <c r="A588" t="str">
        <f>"40503294  "</f>
        <v xml:space="preserve">40503294  </v>
      </c>
      <c r="B588" t="s">
        <v>581</v>
      </c>
      <c r="C588">
        <v>51.7</v>
      </c>
      <c r="D588" t="str">
        <f>"271"</f>
        <v>271</v>
      </c>
    </row>
    <row r="589" spans="1:5" x14ac:dyDescent="0.25">
      <c r="A589" t="str">
        <f>"40503302  "</f>
        <v xml:space="preserve">40503302  </v>
      </c>
      <c r="B589" t="s">
        <v>582</v>
      </c>
      <c r="C589">
        <v>105.6</v>
      </c>
      <c r="D589" t="str">
        <f>"270"</f>
        <v>270</v>
      </c>
    </row>
    <row r="590" spans="1:5" x14ac:dyDescent="0.25">
      <c r="A590" t="str">
        <f>"40503310  "</f>
        <v xml:space="preserve">40503310  </v>
      </c>
      <c r="B590" t="s">
        <v>583</v>
      </c>
      <c r="C590">
        <v>39.6</v>
      </c>
      <c r="D590" t="str">
        <f>"272"</f>
        <v>272</v>
      </c>
      <c r="E590" t="str">
        <f>"A4550"</f>
        <v>A4550</v>
      </c>
    </row>
    <row r="591" spans="1:5" x14ac:dyDescent="0.25">
      <c r="A591" t="str">
        <f>"40503328  "</f>
        <v xml:space="preserve">40503328  </v>
      </c>
      <c r="B591" t="s">
        <v>584</v>
      </c>
      <c r="C591">
        <v>24.2</v>
      </c>
      <c r="D591" t="str">
        <f>"270"</f>
        <v>270</v>
      </c>
    </row>
    <row r="592" spans="1:5" x14ac:dyDescent="0.25">
      <c r="A592" t="str">
        <f>"40503344  "</f>
        <v xml:space="preserve">40503344  </v>
      </c>
      <c r="B592" t="s">
        <v>585</v>
      </c>
      <c r="C592">
        <v>447.7</v>
      </c>
      <c r="D592" t="str">
        <f>"272"</f>
        <v>272</v>
      </c>
      <c r="E592" t="str">
        <f>"A4550"</f>
        <v>A4550</v>
      </c>
    </row>
    <row r="593" spans="1:5" x14ac:dyDescent="0.25">
      <c r="A593" t="str">
        <f>"40503351  "</f>
        <v xml:space="preserve">40503351  </v>
      </c>
      <c r="B593" t="s">
        <v>586</v>
      </c>
      <c r="C593" s="1">
        <v>1453.1</v>
      </c>
      <c r="D593" t="str">
        <f>"270"</f>
        <v>270</v>
      </c>
    </row>
    <row r="594" spans="1:5" x14ac:dyDescent="0.25">
      <c r="A594" t="str">
        <f>"40503369  "</f>
        <v xml:space="preserve">40503369  </v>
      </c>
      <c r="B594" t="s">
        <v>587</v>
      </c>
      <c r="C594">
        <v>55</v>
      </c>
      <c r="D594" t="str">
        <f>"270"</f>
        <v>270</v>
      </c>
    </row>
    <row r="595" spans="1:5" x14ac:dyDescent="0.25">
      <c r="A595" t="str">
        <f>"40503385  "</f>
        <v xml:space="preserve">40503385  </v>
      </c>
      <c r="B595" t="s">
        <v>588</v>
      </c>
      <c r="C595">
        <v>295.89999999999998</v>
      </c>
      <c r="D595" t="str">
        <f>"270"</f>
        <v>270</v>
      </c>
    </row>
    <row r="596" spans="1:5" x14ac:dyDescent="0.25">
      <c r="A596" t="str">
        <f>"40503401  "</f>
        <v xml:space="preserve">40503401  </v>
      </c>
      <c r="B596" t="s">
        <v>589</v>
      </c>
      <c r="C596">
        <v>13.2</v>
      </c>
      <c r="D596" t="str">
        <f>"271"</f>
        <v>271</v>
      </c>
    </row>
    <row r="597" spans="1:5" x14ac:dyDescent="0.25">
      <c r="A597" t="str">
        <f>"40503427  "</f>
        <v xml:space="preserve">40503427  </v>
      </c>
      <c r="B597" t="s">
        <v>590</v>
      </c>
      <c r="C597">
        <v>13.2</v>
      </c>
      <c r="D597" t="str">
        <f t="shared" ref="D597:D605" si="24">"270"</f>
        <v>270</v>
      </c>
    </row>
    <row r="598" spans="1:5" x14ac:dyDescent="0.25">
      <c r="A598" t="str">
        <f>"40503443  "</f>
        <v xml:space="preserve">40503443  </v>
      </c>
      <c r="B598" t="s">
        <v>591</v>
      </c>
      <c r="C598">
        <v>66</v>
      </c>
      <c r="D598" t="str">
        <f t="shared" si="24"/>
        <v>270</v>
      </c>
    </row>
    <row r="599" spans="1:5" x14ac:dyDescent="0.25">
      <c r="A599" t="str">
        <f>"40503484  "</f>
        <v xml:space="preserve">40503484  </v>
      </c>
      <c r="B599" t="s">
        <v>592</v>
      </c>
      <c r="C599">
        <v>72.599999999999994</v>
      </c>
      <c r="D599" t="str">
        <f t="shared" si="24"/>
        <v>270</v>
      </c>
      <c r="E599" t="str">
        <f>"A4550"</f>
        <v>A4550</v>
      </c>
    </row>
    <row r="600" spans="1:5" x14ac:dyDescent="0.25">
      <c r="A600" t="str">
        <f>"40503500  "</f>
        <v xml:space="preserve">40503500  </v>
      </c>
      <c r="B600" t="s">
        <v>593</v>
      </c>
      <c r="C600">
        <v>139.69999999999999</v>
      </c>
      <c r="D600" t="str">
        <f t="shared" si="24"/>
        <v>270</v>
      </c>
    </row>
    <row r="601" spans="1:5" x14ac:dyDescent="0.25">
      <c r="A601" t="str">
        <f>"40503526  "</f>
        <v xml:space="preserve">40503526  </v>
      </c>
      <c r="B601" t="s">
        <v>594</v>
      </c>
      <c r="C601">
        <v>468.6</v>
      </c>
      <c r="D601" t="str">
        <f t="shared" si="24"/>
        <v>270</v>
      </c>
    </row>
    <row r="602" spans="1:5" x14ac:dyDescent="0.25">
      <c r="A602" t="str">
        <f>"40503542  "</f>
        <v xml:space="preserve">40503542  </v>
      </c>
      <c r="B602" t="s">
        <v>595</v>
      </c>
      <c r="C602">
        <v>13.2</v>
      </c>
      <c r="D602" t="str">
        <f t="shared" si="24"/>
        <v>270</v>
      </c>
    </row>
    <row r="603" spans="1:5" x14ac:dyDescent="0.25">
      <c r="A603" t="str">
        <f>"40503559  "</f>
        <v xml:space="preserve">40503559  </v>
      </c>
      <c r="B603" t="s">
        <v>596</v>
      </c>
      <c r="C603">
        <v>8.8000000000000007</v>
      </c>
      <c r="D603" t="str">
        <f t="shared" si="24"/>
        <v>270</v>
      </c>
    </row>
    <row r="604" spans="1:5" x14ac:dyDescent="0.25">
      <c r="A604" t="str">
        <f>"40503567  "</f>
        <v xml:space="preserve">40503567  </v>
      </c>
      <c r="B604" t="s">
        <v>597</v>
      </c>
      <c r="C604">
        <v>145.19999999999999</v>
      </c>
      <c r="D604" t="str">
        <f t="shared" si="24"/>
        <v>270</v>
      </c>
    </row>
    <row r="605" spans="1:5" x14ac:dyDescent="0.25">
      <c r="A605" t="str">
        <f>"40503591  "</f>
        <v xml:space="preserve">40503591  </v>
      </c>
      <c r="B605" t="s">
        <v>598</v>
      </c>
      <c r="C605">
        <v>161.69999999999999</v>
      </c>
      <c r="D605" t="str">
        <f t="shared" si="24"/>
        <v>270</v>
      </c>
    </row>
    <row r="606" spans="1:5" x14ac:dyDescent="0.25">
      <c r="A606" t="str">
        <f>"40503609  "</f>
        <v xml:space="preserve">40503609  </v>
      </c>
      <c r="B606" t="s">
        <v>599</v>
      </c>
      <c r="C606">
        <v>77</v>
      </c>
      <c r="D606" t="str">
        <f>"272"</f>
        <v>272</v>
      </c>
      <c r="E606" t="str">
        <f>"A4550"</f>
        <v>A4550</v>
      </c>
    </row>
    <row r="607" spans="1:5" x14ac:dyDescent="0.25">
      <c r="A607" t="str">
        <f>"40503633  "</f>
        <v xml:space="preserve">40503633  </v>
      </c>
      <c r="B607" t="s">
        <v>600</v>
      </c>
      <c r="C607">
        <v>8.8000000000000007</v>
      </c>
      <c r="D607" t="str">
        <f>"271"</f>
        <v>271</v>
      </c>
    </row>
    <row r="608" spans="1:5" x14ac:dyDescent="0.25">
      <c r="A608" t="str">
        <f>"40503641  "</f>
        <v xml:space="preserve">40503641  </v>
      </c>
      <c r="B608" t="s">
        <v>601</v>
      </c>
      <c r="C608">
        <v>29.7</v>
      </c>
      <c r="D608" t="str">
        <f>"270"</f>
        <v>270</v>
      </c>
    </row>
    <row r="609" spans="1:5" x14ac:dyDescent="0.25">
      <c r="A609" t="str">
        <f>"40503666  "</f>
        <v xml:space="preserve">40503666  </v>
      </c>
      <c r="B609" t="s">
        <v>602</v>
      </c>
      <c r="C609">
        <v>103.4</v>
      </c>
      <c r="D609" t="str">
        <f>"271"</f>
        <v>271</v>
      </c>
    </row>
    <row r="610" spans="1:5" x14ac:dyDescent="0.25">
      <c r="A610" t="str">
        <f>"40503682  "</f>
        <v xml:space="preserve">40503682  </v>
      </c>
      <c r="B610" t="s">
        <v>603</v>
      </c>
      <c r="C610">
        <v>51.7</v>
      </c>
      <c r="D610" t="str">
        <f>"271"</f>
        <v>271</v>
      </c>
    </row>
    <row r="611" spans="1:5" x14ac:dyDescent="0.25">
      <c r="A611" t="str">
        <f>"40503690  "</f>
        <v xml:space="preserve">40503690  </v>
      </c>
      <c r="B611" t="s">
        <v>604</v>
      </c>
      <c r="C611">
        <v>28.6</v>
      </c>
      <c r="D611" t="str">
        <f>"270"</f>
        <v>270</v>
      </c>
      <c r="E611" t="str">
        <f>"A7526"</f>
        <v>A7526</v>
      </c>
    </row>
    <row r="612" spans="1:5" x14ac:dyDescent="0.25">
      <c r="A612" t="str">
        <f>"40503708  "</f>
        <v xml:space="preserve">40503708  </v>
      </c>
      <c r="B612" t="s">
        <v>605</v>
      </c>
      <c r="C612">
        <v>139.69999999999999</v>
      </c>
      <c r="D612" t="str">
        <f>"270"</f>
        <v>270</v>
      </c>
    </row>
    <row r="613" spans="1:5" x14ac:dyDescent="0.25">
      <c r="A613" t="str">
        <f>"40503724  "</f>
        <v xml:space="preserve">40503724  </v>
      </c>
      <c r="B613" t="s">
        <v>606</v>
      </c>
      <c r="C613">
        <v>22</v>
      </c>
      <c r="D613" t="str">
        <f>"270"</f>
        <v>270</v>
      </c>
    </row>
    <row r="614" spans="1:5" x14ac:dyDescent="0.25">
      <c r="A614" t="str">
        <f>"40503732  "</f>
        <v xml:space="preserve">40503732  </v>
      </c>
      <c r="B614" t="s">
        <v>607</v>
      </c>
      <c r="C614">
        <v>171.6</v>
      </c>
      <c r="D614" t="str">
        <f>"270"</f>
        <v>270</v>
      </c>
    </row>
    <row r="615" spans="1:5" x14ac:dyDescent="0.25">
      <c r="A615" t="str">
        <f>"40503757  "</f>
        <v xml:space="preserve">40503757  </v>
      </c>
      <c r="B615" t="s">
        <v>608</v>
      </c>
      <c r="C615">
        <v>237.6</v>
      </c>
      <c r="D615" t="str">
        <f>"271"</f>
        <v>271</v>
      </c>
    </row>
    <row r="616" spans="1:5" x14ac:dyDescent="0.25">
      <c r="A616" t="str">
        <f>"40503765  "</f>
        <v xml:space="preserve">40503765  </v>
      </c>
      <c r="B616" t="s">
        <v>609</v>
      </c>
      <c r="C616">
        <v>55</v>
      </c>
      <c r="D616" t="str">
        <f>"270"</f>
        <v>270</v>
      </c>
    </row>
    <row r="617" spans="1:5" x14ac:dyDescent="0.25">
      <c r="A617" t="str">
        <f>"40503773  "</f>
        <v xml:space="preserve">40503773  </v>
      </c>
      <c r="B617" t="s">
        <v>610</v>
      </c>
      <c r="C617">
        <v>184.8</v>
      </c>
      <c r="D617" t="str">
        <f>"270"</f>
        <v>270</v>
      </c>
    </row>
    <row r="618" spans="1:5" x14ac:dyDescent="0.25">
      <c r="A618" t="str">
        <f>"40503781  "</f>
        <v xml:space="preserve">40503781  </v>
      </c>
      <c r="B618" t="s">
        <v>611</v>
      </c>
      <c r="C618">
        <v>198</v>
      </c>
      <c r="D618" t="str">
        <f>"270"</f>
        <v>270</v>
      </c>
    </row>
    <row r="619" spans="1:5" x14ac:dyDescent="0.25">
      <c r="A619" t="str">
        <f>"40503807  "</f>
        <v xml:space="preserve">40503807  </v>
      </c>
      <c r="B619" t="s">
        <v>612</v>
      </c>
      <c r="C619">
        <v>12.1</v>
      </c>
      <c r="D619" t="str">
        <f>"270"</f>
        <v>270</v>
      </c>
    </row>
    <row r="620" spans="1:5" x14ac:dyDescent="0.25">
      <c r="A620" t="str">
        <f>"40503815  "</f>
        <v xml:space="preserve">40503815  </v>
      </c>
      <c r="B620" t="s">
        <v>613</v>
      </c>
      <c r="C620">
        <v>297</v>
      </c>
      <c r="D620" t="str">
        <f>"270"</f>
        <v>270</v>
      </c>
    </row>
    <row r="621" spans="1:5" x14ac:dyDescent="0.25">
      <c r="A621" t="str">
        <f>"40503823  "</f>
        <v xml:space="preserve">40503823  </v>
      </c>
      <c r="B621" t="s">
        <v>589</v>
      </c>
      <c r="C621">
        <v>12.1</v>
      </c>
      <c r="D621" t="str">
        <f>"271"</f>
        <v>271</v>
      </c>
    </row>
    <row r="622" spans="1:5" x14ac:dyDescent="0.25">
      <c r="A622" t="str">
        <f>"4050383"</f>
        <v>4050383</v>
      </c>
      <c r="B622" t="s">
        <v>614</v>
      </c>
      <c r="C622">
        <v>52.8</v>
      </c>
      <c r="D622" t="str">
        <f t="shared" ref="D622:D627" si="25">"270"</f>
        <v>270</v>
      </c>
    </row>
    <row r="623" spans="1:5" x14ac:dyDescent="0.25">
      <c r="A623" t="str">
        <f>"40503849  "</f>
        <v xml:space="preserve">40503849  </v>
      </c>
      <c r="B623" t="s">
        <v>615</v>
      </c>
      <c r="C623">
        <v>13.2</v>
      </c>
      <c r="D623" t="str">
        <f t="shared" si="25"/>
        <v>270</v>
      </c>
    </row>
    <row r="624" spans="1:5" x14ac:dyDescent="0.25">
      <c r="A624" t="str">
        <f>"4050385"</f>
        <v>4050385</v>
      </c>
      <c r="B624" t="s">
        <v>616</v>
      </c>
      <c r="C624">
        <v>71.5</v>
      </c>
      <c r="D624" t="str">
        <f t="shared" si="25"/>
        <v>270</v>
      </c>
    </row>
    <row r="625" spans="1:4" x14ac:dyDescent="0.25">
      <c r="A625" t="str">
        <f>"40503864  "</f>
        <v xml:space="preserve">40503864  </v>
      </c>
      <c r="B625" t="s">
        <v>617</v>
      </c>
      <c r="C625">
        <v>13.2</v>
      </c>
      <c r="D625" t="str">
        <f t="shared" si="25"/>
        <v>270</v>
      </c>
    </row>
    <row r="626" spans="1:4" x14ac:dyDescent="0.25">
      <c r="A626" t="str">
        <f>"4050387"</f>
        <v>4050387</v>
      </c>
      <c r="B626" t="s">
        <v>618</v>
      </c>
      <c r="C626">
        <v>379.5</v>
      </c>
      <c r="D626" t="str">
        <f t="shared" si="25"/>
        <v>270</v>
      </c>
    </row>
    <row r="627" spans="1:4" x14ac:dyDescent="0.25">
      <c r="A627" t="str">
        <f>"40503880  "</f>
        <v xml:space="preserve">40503880  </v>
      </c>
      <c r="B627" t="s">
        <v>619</v>
      </c>
      <c r="C627">
        <v>3.3</v>
      </c>
      <c r="D627" t="str">
        <f t="shared" si="25"/>
        <v>270</v>
      </c>
    </row>
    <row r="628" spans="1:4" x14ac:dyDescent="0.25">
      <c r="A628" t="str">
        <f>"40503906  "</f>
        <v xml:space="preserve">40503906  </v>
      </c>
      <c r="B628" t="s">
        <v>620</v>
      </c>
      <c r="C628">
        <v>22</v>
      </c>
      <c r="D628" t="str">
        <f>"271"</f>
        <v>271</v>
      </c>
    </row>
    <row r="629" spans="1:4" x14ac:dyDescent="0.25">
      <c r="A629" t="str">
        <f>"40503914  "</f>
        <v xml:space="preserve">40503914  </v>
      </c>
      <c r="B629" t="s">
        <v>621</v>
      </c>
      <c r="C629">
        <v>14.3</v>
      </c>
      <c r="D629" t="str">
        <f>"271"</f>
        <v>271</v>
      </c>
    </row>
    <row r="630" spans="1:4" x14ac:dyDescent="0.25">
      <c r="A630" t="str">
        <f>"40503922  "</f>
        <v xml:space="preserve">40503922  </v>
      </c>
      <c r="B630" t="s">
        <v>622</v>
      </c>
      <c r="C630">
        <v>7.7</v>
      </c>
      <c r="D630" t="str">
        <f>"271"</f>
        <v>271</v>
      </c>
    </row>
    <row r="631" spans="1:4" x14ac:dyDescent="0.25">
      <c r="A631" t="str">
        <f>"40503930  "</f>
        <v xml:space="preserve">40503930  </v>
      </c>
      <c r="B631" t="s">
        <v>623</v>
      </c>
      <c r="C631">
        <v>28.6</v>
      </c>
      <c r="D631" t="str">
        <f>"271"</f>
        <v>271</v>
      </c>
    </row>
    <row r="632" spans="1:4" x14ac:dyDescent="0.25">
      <c r="A632" t="str">
        <f>"40503948  "</f>
        <v xml:space="preserve">40503948  </v>
      </c>
      <c r="B632" t="s">
        <v>624</v>
      </c>
      <c r="C632">
        <v>17.600000000000001</v>
      </c>
      <c r="D632" t="str">
        <f>"271"</f>
        <v>271</v>
      </c>
    </row>
    <row r="633" spans="1:4" x14ac:dyDescent="0.25">
      <c r="A633" t="str">
        <f>"4050395"</f>
        <v>4050395</v>
      </c>
      <c r="B633" t="s">
        <v>625</v>
      </c>
      <c r="C633" s="1">
        <v>28000.5</v>
      </c>
      <c r="D633" t="str">
        <f>"278"</f>
        <v>278</v>
      </c>
    </row>
    <row r="634" spans="1:4" x14ac:dyDescent="0.25">
      <c r="A634" t="str">
        <f>"40503963  "</f>
        <v xml:space="preserve">40503963  </v>
      </c>
      <c r="B634" t="s">
        <v>589</v>
      </c>
      <c r="C634">
        <v>2.2000000000000002</v>
      </c>
      <c r="D634" t="str">
        <f>"271"</f>
        <v>271</v>
      </c>
    </row>
    <row r="635" spans="1:4" x14ac:dyDescent="0.25">
      <c r="A635" t="str">
        <f>"40503989  "</f>
        <v xml:space="preserve">40503989  </v>
      </c>
      <c r="B635" t="s">
        <v>626</v>
      </c>
      <c r="C635">
        <v>438.9</v>
      </c>
      <c r="D635" t="str">
        <f>"271"</f>
        <v>271</v>
      </c>
    </row>
    <row r="636" spans="1:4" x14ac:dyDescent="0.25">
      <c r="A636" t="str">
        <f>"4050399"</f>
        <v>4050399</v>
      </c>
      <c r="B636" t="s">
        <v>627</v>
      </c>
      <c r="C636" s="1">
        <v>6154.5</v>
      </c>
      <c r="D636" t="str">
        <f>"278"</f>
        <v>278</v>
      </c>
    </row>
    <row r="637" spans="1:4" x14ac:dyDescent="0.25">
      <c r="A637" t="str">
        <f>"40504003  "</f>
        <v xml:space="preserve">40504003  </v>
      </c>
      <c r="B637" t="s">
        <v>628</v>
      </c>
      <c r="C637">
        <v>3.3</v>
      </c>
      <c r="D637" t="str">
        <f>"271"</f>
        <v>271</v>
      </c>
    </row>
    <row r="638" spans="1:4" x14ac:dyDescent="0.25">
      <c r="A638" t="str">
        <f>"4050401"</f>
        <v>4050401</v>
      </c>
      <c r="B638" t="s">
        <v>629</v>
      </c>
      <c r="C638" s="1">
        <v>6435</v>
      </c>
      <c r="D638" t="str">
        <f>"278"</f>
        <v>278</v>
      </c>
    </row>
    <row r="639" spans="1:4" x14ac:dyDescent="0.25">
      <c r="A639" t="str">
        <f>"40504029  "</f>
        <v xml:space="preserve">40504029  </v>
      </c>
      <c r="B639" t="s">
        <v>630</v>
      </c>
      <c r="C639">
        <v>38.5</v>
      </c>
      <c r="D639" t="str">
        <f>"270"</f>
        <v>270</v>
      </c>
    </row>
    <row r="640" spans="1:4" x14ac:dyDescent="0.25">
      <c r="A640" t="str">
        <f>"4050403"</f>
        <v>4050403</v>
      </c>
      <c r="B640" t="s">
        <v>631</v>
      </c>
      <c r="C640" s="1">
        <v>13909.5</v>
      </c>
      <c r="D640" t="str">
        <f>"278"</f>
        <v>278</v>
      </c>
    </row>
    <row r="641" spans="1:5" x14ac:dyDescent="0.25">
      <c r="A641" t="str">
        <f>"40504045  "</f>
        <v xml:space="preserve">40504045  </v>
      </c>
      <c r="B641" t="s">
        <v>632</v>
      </c>
      <c r="C641">
        <v>39.6</v>
      </c>
      <c r="D641" t="str">
        <f>"272"</f>
        <v>272</v>
      </c>
    </row>
    <row r="642" spans="1:5" x14ac:dyDescent="0.25">
      <c r="A642" t="str">
        <f>"40504060  "</f>
        <v xml:space="preserve">40504060  </v>
      </c>
      <c r="B642" t="s">
        <v>633</v>
      </c>
      <c r="C642">
        <v>39.6</v>
      </c>
      <c r="D642" t="str">
        <f>"270"</f>
        <v>270</v>
      </c>
    </row>
    <row r="643" spans="1:5" x14ac:dyDescent="0.25">
      <c r="A643" t="str">
        <f>"40504078  "</f>
        <v xml:space="preserve">40504078  </v>
      </c>
      <c r="B643" t="s">
        <v>634</v>
      </c>
      <c r="C643">
        <v>49.5</v>
      </c>
      <c r="D643" t="str">
        <f>"272"</f>
        <v>272</v>
      </c>
    </row>
    <row r="644" spans="1:5" x14ac:dyDescent="0.25">
      <c r="A644" t="str">
        <f>"40504086  "</f>
        <v xml:space="preserve">40504086  </v>
      </c>
      <c r="B644" t="s">
        <v>635</v>
      </c>
      <c r="C644">
        <v>49.5</v>
      </c>
      <c r="D644" t="str">
        <f>"272"</f>
        <v>272</v>
      </c>
    </row>
    <row r="645" spans="1:5" x14ac:dyDescent="0.25">
      <c r="A645" t="str">
        <f>"40504094  "</f>
        <v xml:space="preserve">40504094  </v>
      </c>
      <c r="B645" t="s">
        <v>636</v>
      </c>
      <c r="C645">
        <v>58.3</v>
      </c>
      <c r="D645" t="str">
        <f>"270"</f>
        <v>270</v>
      </c>
    </row>
    <row r="646" spans="1:5" x14ac:dyDescent="0.25">
      <c r="A646" t="str">
        <f>"40504102  "</f>
        <v xml:space="preserve">40504102  </v>
      </c>
      <c r="B646" t="s">
        <v>637</v>
      </c>
      <c r="C646">
        <v>53.9</v>
      </c>
      <c r="D646" t="str">
        <f>"272"</f>
        <v>272</v>
      </c>
    </row>
    <row r="647" spans="1:5" x14ac:dyDescent="0.25">
      <c r="A647" t="str">
        <f>"4050411"</f>
        <v>4050411</v>
      </c>
      <c r="B647" t="s">
        <v>638</v>
      </c>
      <c r="C647" s="1">
        <v>5032.5</v>
      </c>
      <c r="D647" t="str">
        <f>"278"</f>
        <v>278</v>
      </c>
    </row>
    <row r="648" spans="1:5" x14ac:dyDescent="0.25">
      <c r="A648" t="str">
        <f>"40504128  "</f>
        <v xml:space="preserve">40504128  </v>
      </c>
      <c r="B648" t="s">
        <v>589</v>
      </c>
      <c r="C648">
        <v>3.3</v>
      </c>
      <c r="D648" t="str">
        <f>"270"</f>
        <v>270</v>
      </c>
    </row>
    <row r="649" spans="1:5" x14ac:dyDescent="0.25">
      <c r="A649" t="str">
        <f>"4050413"</f>
        <v>4050413</v>
      </c>
      <c r="B649" t="s">
        <v>639</v>
      </c>
      <c r="C649">
        <v>880</v>
      </c>
      <c r="D649" t="str">
        <f>"278"</f>
        <v>278</v>
      </c>
    </row>
    <row r="650" spans="1:5" x14ac:dyDescent="0.25">
      <c r="A650" t="str">
        <f>"40504144  "</f>
        <v xml:space="preserve">40504144  </v>
      </c>
      <c r="B650" t="s">
        <v>640</v>
      </c>
      <c r="C650">
        <v>39.6</v>
      </c>
      <c r="D650" t="str">
        <f>"270"</f>
        <v>270</v>
      </c>
    </row>
    <row r="651" spans="1:5" x14ac:dyDescent="0.25">
      <c r="A651" t="str">
        <f>"40504169  "</f>
        <v xml:space="preserve">40504169  </v>
      </c>
      <c r="B651" t="s">
        <v>641</v>
      </c>
      <c r="C651">
        <v>39.6</v>
      </c>
      <c r="D651" t="str">
        <f>"270"</f>
        <v>270</v>
      </c>
    </row>
    <row r="652" spans="1:5" x14ac:dyDescent="0.25">
      <c r="A652" t="str">
        <f>"40504185  "</f>
        <v xml:space="preserve">40504185  </v>
      </c>
      <c r="B652" t="s">
        <v>642</v>
      </c>
      <c r="C652">
        <v>39.6</v>
      </c>
      <c r="D652" t="str">
        <f>"270"</f>
        <v>270</v>
      </c>
    </row>
    <row r="653" spans="1:5" x14ac:dyDescent="0.25">
      <c r="A653" t="str">
        <f>"40504201  "</f>
        <v xml:space="preserve">40504201  </v>
      </c>
      <c r="B653" t="s">
        <v>643</v>
      </c>
      <c r="C653">
        <v>8.8000000000000007</v>
      </c>
      <c r="D653" t="str">
        <f>"270"</f>
        <v>270</v>
      </c>
    </row>
    <row r="654" spans="1:5" x14ac:dyDescent="0.25">
      <c r="A654" t="str">
        <f>"40504227  "</f>
        <v xml:space="preserve">40504227  </v>
      </c>
      <c r="B654" t="s">
        <v>644</v>
      </c>
      <c r="C654">
        <v>17.600000000000001</v>
      </c>
      <c r="D654" t="str">
        <f>"271"</f>
        <v>271</v>
      </c>
    </row>
    <row r="655" spans="1:5" x14ac:dyDescent="0.25">
      <c r="A655" t="str">
        <f>"40504250  "</f>
        <v xml:space="preserve">40504250  </v>
      </c>
      <c r="B655" t="s">
        <v>645</v>
      </c>
      <c r="C655">
        <v>14.3</v>
      </c>
      <c r="D655" t="str">
        <f>"271"</f>
        <v>271</v>
      </c>
      <c r="E655" t="str">
        <f>"A4398"</f>
        <v>A4398</v>
      </c>
    </row>
    <row r="656" spans="1:5" x14ac:dyDescent="0.25">
      <c r="A656" t="str">
        <f>"40504284  "</f>
        <v xml:space="preserve">40504284  </v>
      </c>
      <c r="B656" t="s">
        <v>646</v>
      </c>
      <c r="C656">
        <v>28.6</v>
      </c>
      <c r="D656" t="str">
        <f>"270"</f>
        <v>270</v>
      </c>
    </row>
    <row r="657" spans="1:4" x14ac:dyDescent="0.25">
      <c r="A657" t="str">
        <f>"40504300  "</f>
        <v xml:space="preserve">40504300  </v>
      </c>
      <c r="B657" t="s">
        <v>647</v>
      </c>
      <c r="C657">
        <v>55</v>
      </c>
      <c r="D657" t="str">
        <f>"270"</f>
        <v>270</v>
      </c>
    </row>
    <row r="658" spans="1:4" x14ac:dyDescent="0.25">
      <c r="A658" t="str">
        <f>"40504326  "</f>
        <v xml:space="preserve">40504326  </v>
      </c>
      <c r="B658" t="s">
        <v>648</v>
      </c>
      <c r="C658">
        <v>19.8</v>
      </c>
      <c r="D658" t="str">
        <f>"270"</f>
        <v>270</v>
      </c>
    </row>
    <row r="659" spans="1:4" x14ac:dyDescent="0.25">
      <c r="A659" t="str">
        <f>"40504334  "</f>
        <v xml:space="preserve">40504334  </v>
      </c>
      <c r="B659" t="s">
        <v>649</v>
      </c>
      <c r="C659" s="1">
        <v>1397</v>
      </c>
      <c r="D659" t="str">
        <f>"270"</f>
        <v>270</v>
      </c>
    </row>
    <row r="660" spans="1:4" x14ac:dyDescent="0.25">
      <c r="A660" t="str">
        <f>"40504375  "</f>
        <v xml:space="preserve">40504375  </v>
      </c>
      <c r="B660" t="s">
        <v>650</v>
      </c>
      <c r="C660">
        <v>29.7</v>
      </c>
      <c r="D660" t="str">
        <f>"270"</f>
        <v>270</v>
      </c>
    </row>
    <row r="661" spans="1:4" x14ac:dyDescent="0.25">
      <c r="A661" t="str">
        <f>"40504383  "</f>
        <v xml:space="preserve">40504383  </v>
      </c>
      <c r="B661" t="s">
        <v>651</v>
      </c>
      <c r="C661">
        <v>37.4</v>
      </c>
      <c r="D661" t="str">
        <f>"271"</f>
        <v>271</v>
      </c>
    </row>
    <row r="662" spans="1:4" x14ac:dyDescent="0.25">
      <c r="A662" t="str">
        <f>"40504398"</f>
        <v>40504398</v>
      </c>
      <c r="B662" t="s">
        <v>652</v>
      </c>
      <c r="C662">
        <v>664.4</v>
      </c>
      <c r="D662" t="str">
        <f>"270"</f>
        <v>270</v>
      </c>
    </row>
    <row r="663" spans="1:4" x14ac:dyDescent="0.25">
      <c r="A663" t="str">
        <f>"40504409  "</f>
        <v xml:space="preserve">40504409  </v>
      </c>
      <c r="B663" t="s">
        <v>653</v>
      </c>
      <c r="C663">
        <v>19.8</v>
      </c>
      <c r="D663" t="str">
        <f>"271"</f>
        <v>271</v>
      </c>
    </row>
    <row r="664" spans="1:4" x14ac:dyDescent="0.25">
      <c r="A664" t="str">
        <f>"40504418"</f>
        <v>40504418</v>
      </c>
      <c r="B664" t="s">
        <v>654</v>
      </c>
      <c r="C664">
        <v>44</v>
      </c>
      <c r="D664" t="str">
        <f>"270"</f>
        <v>270</v>
      </c>
    </row>
    <row r="665" spans="1:4" x14ac:dyDescent="0.25">
      <c r="A665" t="str">
        <f>"40504425  "</f>
        <v xml:space="preserve">40504425  </v>
      </c>
      <c r="B665" t="s">
        <v>655</v>
      </c>
      <c r="C665">
        <v>8.8000000000000007</v>
      </c>
      <c r="D665" t="str">
        <f>"271"</f>
        <v>271</v>
      </c>
    </row>
    <row r="666" spans="1:4" x14ac:dyDescent="0.25">
      <c r="A666" t="str">
        <f>"40504441  "</f>
        <v xml:space="preserve">40504441  </v>
      </c>
      <c r="B666" t="s">
        <v>656</v>
      </c>
      <c r="C666">
        <v>74.8</v>
      </c>
      <c r="D666" t="str">
        <f>"271"</f>
        <v>271</v>
      </c>
    </row>
    <row r="667" spans="1:4" x14ac:dyDescent="0.25">
      <c r="A667" t="str">
        <f>"40504466  "</f>
        <v xml:space="preserve">40504466  </v>
      </c>
      <c r="B667" t="s">
        <v>657</v>
      </c>
      <c r="C667">
        <v>1.1000000000000001</v>
      </c>
      <c r="D667" t="str">
        <f>"270"</f>
        <v>270</v>
      </c>
    </row>
    <row r="668" spans="1:4" x14ac:dyDescent="0.25">
      <c r="A668" t="str">
        <f>"40504482  "</f>
        <v xml:space="preserve">40504482  </v>
      </c>
      <c r="B668" t="s">
        <v>658</v>
      </c>
      <c r="C668">
        <v>39.6</v>
      </c>
      <c r="D668" t="str">
        <f>"270"</f>
        <v>270</v>
      </c>
    </row>
    <row r="669" spans="1:4" x14ac:dyDescent="0.25">
      <c r="A669" t="str">
        <f>"40504508  "</f>
        <v xml:space="preserve">40504508  </v>
      </c>
      <c r="B669" t="s">
        <v>659</v>
      </c>
      <c r="C669">
        <v>42.9</v>
      </c>
      <c r="D669" t="str">
        <f>"270"</f>
        <v>270</v>
      </c>
    </row>
    <row r="670" spans="1:4" x14ac:dyDescent="0.25">
      <c r="A670" t="str">
        <f>"40504516  "</f>
        <v xml:space="preserve">40504516  </v>
      </c>
      <c r="B670" t="s">
        <v>660</v>
      </c>
      <c r="C670">
        <v>927.3</v>
      </c>
      <c r="D670" t="str">
        <f>"270"</f>
        <v>270</v>
      </c>
    </row>
    <row r="671" spans="1:4" x14ac:dyDescent="0.25">
      <c r="A671" t="str">
        <f>"40504524  "</f>
        <v xml:space="preserve">40504524  </v>
      </c>
      <c r="B671" t="s">
        <v>661</v>
      </c>
      <c r="C671">
        <v>49.5</v>
      </c>
      <c r="D671" t="str">
        <f>"270"</f>
        <v>270</v>
      </c>
    </row>
    <row r="672" spans="1:4" x14ac:dyDescent="0.25">
      <c r="A672" t="str">
        <f>"40504540  "</f>
        <v xml:space="preserve">40504540  </v>
      </c>
      <c r="B672" t="s">
        <v>662</v>
      </c>
      <c r="C672">
        <v>14.3</v>
      </c>
      <c r="D672" t="str">
        <f>"271"</f>
        <v>271</v>
      </c>
    </row>
    <row r="673" spans="1:5" x14ac:dyDescent="0.25">
      <c r="A673" t="str">
        <f>"40504550"</f>
        <v>40504550</v>
      </c>
      <c r="B673" t="s">
        <v>663</v>
      </c>
      <c r="C673">
        <v>112.2</v>
      </c>
      <c r="D673" t="str">
        <f>"270"</f>
        <v>270</v>
      </c>
    </row>
    <row r="674" spans="1:5" x14ac:dyDescent="0.25">
      <c r="A674" t="str">
        <f>"40504565  "</f>
        <v xml:space="preserve">40504565  </v>
      </c>
      <c r="B674" t="s">
        <v>664</v>
      </c>
      <c r="C674">
        <v>12.1</v>
      </c>
      <c r="D674" t="str">
        <f>"271"</f>
        <v>271</v>
      </c>
    </row>
    <row r="675" spans="1:5" x14ac:dyDescent="0.25">
      <c r="A675" t="str">
        <f>"40504581  "</f>
        <v xml:space="preserve">40504581  </v>
      </c>
      <c r="B675" t="s">
        <v>665</v>
      </c>
      <c r="C675">
        <v>13.2</v>
      </c>
      <c r="D675" t="str">
        <f>"271"</f>
        <v>271</v>
      </c>
      <c r="E675" t="str">
        <f>"A4421"</f>
        <v>A4421</v>
      </c>
    </row>
    <row r="676" spans="1:5" x14ac:dyDescent="0.25">
      <c r="A676" t="str">
        <f>"40504607  "</f>
        <v xml:space="preserve">40504607  </v>
      </c>
      <c r="B676" t="s">
        <v>666</v>
      </c>
      <c r="C676">
        <v>12.1</v>
      </c>
      <c r="D676" t="str">
        <f>"271"</f>
        <v>271</v>
      </c>
      <c r="E676" t="str">
        <f>"A5051"</f>
        <v>A5051</v>
      </c>
    </row>
    <row r="677" spans="1:5" x14ac:dyDescent="0.25">
      <c r="A677" t="str">
        <f>"40504623  "</f>
        <v xml:space="preserve">40504623  </v>
      </c>
      <c r="B677" t="s">
        <v>667</v>
      </c>
      <c r="C677">
        <v>19.8</v>
      </c>
      <c r="D677" t="str">
        <f>"271"</f>
        <v>271</v>
      </c>
    </row>
    <row r="678" spans="1:5" x14ac:dyDescent="0.25">
      <c r="A678" t="str">
        <f>"40504649  "</f>
        <v xml:space="preserve">40504649  </v>
      </c>
      <c r="B678" t="s">
        <v>668</v>
      </c>
      <c r="C678">
        <v>22</v>
      </c>
      <c r="D678" t="str">
        <f>"270"</f>
        <v>270</v>
      </c>
    </row>
    <row r="679" spans="1:5" x14ac:dyDescent="0.25">
      <c r="A679" t="str">
        <f>"40504672  "</f>
        <v xml:space="preserve">40504672  </v>
      </c>
      <c r="B679" t="s">
        <v>669</v>
      </c>
      <c r="C679">
        <v>53.9</v>
      </c>
      <c r="D679" t="str">
        <f t="shared" ref="D679:D684" si="26">"258"</f>
        <v>258</v>
      </c>
    </row>
    <row r="680" spans="1:5" x14ac:dyDescent="0.25">
      <c r="A680" t="str">
        <f>"40504730  "</f>
        <v xml:space="preserve">40504730  </v>
      </c>
      <c r="B680" t="s">
        <v>670</v>
      </c>
      <c r="C680">
        <v>53.9</v>
      </c>
      <c r="D680" t="str">
        <f t="shared" si="26"/>
        <v>258</v>
      </c>
    </row>
    <row r="681" spans="1:5" x14ac:dyDescent="0.25">
      <c r="A681" t="str">
        <f>"40504763  "</f>
        <v xml:space="preserve">40504763  </v>
      </c>
      <c r="B681" t="s">
        <v>671</v>
      </c>
      <c r="C681">
        <v>139.69999999999999</v>
      </c>
      <c r="D681" t="str">
        <f t="shared" si="26"/>
        <v>258</v>
      </c>
    </row>
    <row r="682" spans="1:5" x14ac:dyDescent="0.25">
      <c r="A682" t="str">
        <f>"40504797  "</f>
        <v xml:space="preserve">40504797  </v>
      </c>
      <c r="B682" t="s">
        <v>672</v>
      </c>
      <c r="C682">
        <v>127.6</v>
      </c>
      <c r="D682" t="str">
        <f t="shared" si="26"/>
        <v>258</v>
      </c>
    </row>
    <row r="683" spans="1:5" x14ac:dyDescent="0.25">
      <c r="A683" t="str">
        <f>"40504821  "</f>
        <v xml:space="preserve">40504821  </v>
      </c>
      <c r="B683" t="s">
        <v>673</v>
      </c>
      <c r="C683">
        <v>127.6</v>
      </c>
      <c r="D683" t="str">
        <f t="shared" si="26"/>
        <v>258</v>
      </c>
    </row>
    <row r="684" spans="1:5" x14ac:dyDescent="0.25">
      <c r="A684" t="str">
        <f>"40504854  "</f>
        <v xml:space="preserve">40504854  </v>
      </c>
      <c r="B684" t="s">
        <v>674</v>
      </c>
      <c r="C684">
        <v>89.1</v>
      </c>
      <c r="D684" t="str">
        <f t="shared" si="26"/>
        <v>258</v>
      </c>
    </row>
    <row r="685" spans="1:5" x14ac:dyDescent="0.25">
      <c r="A685" t="str">
        <f>"40504870  "</f>
        <v xml:space="preserve">40504870  </v>
      </c>
      <c r="B685" t="s">
        <v>675</v>
      </c>
      <c r="C685">
        <v>210.1</v>
      </c>
      <c r="D685" t="str">
        <f>"270"</f>
        <v>270</v>
      </c>
    </row>
    <row r="686" spans="1:5" x14ac:dyDescent="0.25">
      <c r="A686" t="str">
        <f>"40504888  "</f>
        <v xml:space="preserve">40504888  </v>
      </c>
      <c r="B686" t="s">
        <v>676</v>
      </c>
      <c r="C686">
        <v>53.9</v>
      </c>
      <c r="D686" t="str">
        <f>"258"</f>
        <v>258</v>
      </c>
    </row>
    <row r="687" spans="1:5" x14ac:dyDescent="0.25">
      <c r="A687" t="str">
        <f>"40504912  "</f>
        <v xml:space="preserve">40504912  </v>
      </c>
      <c r="B687" t="s">
        <v>677</v>
      </c>
      <c r="C687">
        <v>53.9</v>
      </c>
      <c r="D687" t="str">
        <f>"258"</f>
        <v>258</v>
      </c>
    </row>
    <row r="688" spans="1:5" x14ac:dyDescent="0.25">
      <c r="A688" t="str">
        <f>"40504938  "</f>
        <v xml:space="preserve">40504938  </v>
      </c>
      <c r="B688" t="s">
        <v>678</v>
      </c>
      <c r="C688">
        <v>53.9</v>
      </c>
      <c r="D688" t="str">
        <f>"258"</f>
        <v>258</v>
      </c>
    </row>
    <row r="689" spans="1:4" x14ac:dyDescent="0.25">
      <c r="A689" t="str">
        <f>"40504961  "</f>
        <v xml:space="preserve">40504961  </v>
      </c>
      <c r="B689" t="s">
        <v>679</v>
      </c>
      <c r="C689">
        <v>61.6</v>
      </c>
      <c r="D689" t="str">
        <f>"258"</f>
        <v>258</v>
      </c>
    </row>
    <row r="690" spans="1:4" x14ac:dyDescent="0.25">
      <c r="A690" t="str">
        <f>"40504995  "</f>
        <v xml:space="preserve">40504995  </v>
      </c>
      <c r="B690" t="s">
        <v>680</v>
      </c>
      <c r="C690">
        <v>53.9</v>
      </c>
      <c r="D690" t="str">
        <f>"258"</f>
        <v>258</v>
      </c>
    </row>
    <row r="691" spans="1:4" x14ac:dyDescent="0.25">
      <c r="A691" t="str">
        <f>"40505018  "</f>
        <v xml:space="preserve">40505018  </v>
      </c>
      <c r="B691" t="s">
        <v>681</v>
      </c>
      <c r="C691">
        <v>41.8</v>
      </c>
      <c r="D691" t="str">
        <f>"270"</f>
        <v>270</v>
      </c>
    </row>
    <row r="692" spans="1:4" x14ac:dyDescent="0.25">
      <c r="A692" t="str">
        <f>"40505026  "</f>
        <v xml:space="preserve">40505026  </v>
      </c>
      <c r="B692" t="s">
        <v>682</v>
      </c>
      <c r="C692">
        <v>53.9</v>
      </c>
      <c r="D692" t="str">
        <f>"258"</f>
        <v>258</v>
      </c>
    </row>
    <row r="693" spans="1:4" x14ac:dyDescent="0.25">
      <c r="A693" t="str">
        <f>"40505034  "</f>
        <v xml:space="preserve">40505034  </v>
      </c>
      <c r="B693" t="s">
        <v>683</v>
      </c>
      <c r="C693">
        <v>53.9</v>
      </c>
      <c r="D693" t="str">
        <f>"258"</f>
        <v>258</v>
      </c>
    </row>
    <row r="694" spans="1:4" x14ac:dyDescent="0.25">
      <c r="A694" t="str">
        <f>"40505042  "</f>
        <v xml:space="preserve">40505042  </v>
      </c>
      <c r="B694" t="s">
        <v>684</v>
      </c>
      <c r="C694">
        <v>53.9</v>
      </c>
      <c r="D694" t="str">
        <f>"270"</f>
        <v>270</v>
      </c>
    </row>
    <row r="695" spans="1:4" x14ac:dyDescent="0.25">
      <c r="A695" t="str">
        <f>"40505059  "</f>
        <v xml:space="preserve">40505059  </v>
      </c>
      <c r="B695" t="s">
        <v>685</v>
      </c>
      <c r="C695">
        <v>53.9</v>
      </c>
      <c r="D695" t="str">
        <f>"258"</f>
        <v>258</v>
      </c>
    </row>
    <row r="696" spans="1:4" x14ac:dyDescent="0.25">
      <c r="A696" t="str">
        <f>"40505067  "</f>
        <v xml:space="preserve">40505067  </v>
      </c>
      <c r="B696" t="s">
        <v>686</v>
      </c>
      <c r="C696">
        <v>53.9</v>
      </c>
      <c r="D696" t="str">
        <f>"258"</f>
        <v>258</v>
      </c>
    </row>
    <row r="697" spans="1:4" x14ac:dyDescent="0.25">
      <c r="A697" t="str">
        <f>"40505075  "</f>
        <v xml:space="preserve">40505075  </v>
      </c>
      <c r="B697" t="s">
        <v>687</v>
      </c>
      <c r="C697">
        <v>51.7</v>
      </c>
      <c r="D697" t="str">
        <f>"270"</f>
        <v>270</v>
      </c>
    </row>
    <row r="698" spans="1:4" x14ac:dyDescent="0.25">
      <c r="A698" t="str">
        <f>"40505083  "</f>
        <v xml:space="preserve">40505083  </v>
      </c>
      <c r="B698" t="s">
        <v>688</v>
      </c>
      <c r="C698">
        <v>53.9</v>
      </c>
      <c r="D698" t="str">
        <f>"258"</f>
        <v>258</v>
      </c>
    </row>
    <row r="699" spans="1:4" x14ac:dyDescent="0.25">
      <c r="A699" t="str">
        <f>"40505091  "</f>
        <v xml:space="preserve">40505091  </v>
      </c>
      <c r="B699" t="s">
        <v>689</v>
      </c>
      <c r="C699">
        <v>53.9</v>
      </c>
      <c r="D699" t="str">
        <f>"258"</f>
        <v>258</v>
      </c>
    </row>
    <row r="700" spans="1:4" x14ac:dyDescent="0.25">
      <c r="A700" t="str">
        <f>"40505109  "</f>
        <v xml:space="preserve">40505109  </v>
      </c>
      <c r="B700" t="s">
        <v>690</v>
      </c>
      <c r="C700">
        <v>13.2</v>
      </c>
      <c r="D700" t="str">
        <f>"270"</f>
        <v>270</v>
      </c>
    </row>
    <row r="701" spans="1:4" x14ac:dyDescent="0.25">
      <c r="A701" t="str">
        <f>"40505117  "</f>
        <v xml:space="preserve">40505117  </v>
      </c>
      <c r="B701" t="s">
        <v>691</v>
      </c>
      <c r="C701">
        <v>53.9</v>
      </c>
      <c r="D701" t="str">
        <f>"258"</f>
        <v>258</v>
      </c>
    </row>
    <row r="702" spans="1:4" x14ac:dyDescent="0.25">
      <c r="A702" t="str">
        <f>"40505125  "</f>
        <v xml:space="preserve">40505125  </v>
      </c>
      <c r="B702" t="s">
        <v>692</v>
      </c>
      <c r="C702">
        <v>53.9</v>
      </c>
      <c r="D702" t="str">
        <f>"258"</f>
        <v>258</v>
      </c>
    </row>
    <row r="703" spans="1:4" x14ac:dyDescent="0.25">
      <c r="A703" t="str">
        <f>"40505133  "</f>
        <v xml:space="preserve">40505133  </v>
      </c>
      <c r="B703" t="s">
        <v>693</v>
      </c>
      <c r="C703">
        <v>25.3</v>
      </c>
      <c r="D703" t="str">
        <f>"270"</f>
        <v>270</v>
      </c>
    </row>
    <row r="704" spans="1:4" x14ac:dyDescent="0.25">
      <c r="A704" t="str">
        <f>"40505141  "</f>
        <v xml:space="preserve">40505141  </v>
      </c>
      <c r="B704" t="s">
        <v>694</v>
      </c>
      <c r="C704">
        <v>6.6</v>
      </c>
      <c r="D704" t="str">
        <f>"270"</f>
        <v>270</v>
      </c>
    </row>
    <row r="705" spans="1:4" x14ac:dyDescent="0.25">
      <c r="A705" t="str">
        <f>"40505158  "</f>
        <v xml:space="preserve">40505158  </v>
      </c>
      <c r="B705" t="s">
        <v>695</v>
      </c>
      <c r="C705">
        <v>37.4</v>
      </c>
      <c r="D705" t="str">
        <f>"271"</f>
        <v>271</v>
      </c>
    </row>
    <row r="706" spans="1:4" x14ac:dyDescent="0.25">
      <c r="A706" t="str">
        <f>"40505166  "</f>
        <v xml:space="preserve">40505166  </v>
      </c>
      <c r="B706" t="s">
        <v>696</v>
      </c>
      <c r="C706">
        <v>2.2000000000000002</v>
      </c>
      <c r="D706" t="str">
        <f t="shared" ref="D706:D713" si="27">"270"</f>
        <v>270</v>
      </c>
    </row>
    <row r="707" spans="1:4" x14ac:dyDescent="0.25">
      <c r="A707" t="str">
        <f>"40505170"</f>
        <v>40505170</v>
      </c>
      <c r="B707" t="s">
        <v>697</v>
      </c>
      <c r="C707">
        <v>129.80000000000001</v>
      </c>
      <c r="D707" t="str">
        <f t="shared" si="27"/>
        <v>270</v>
      </c>
    </row>
    <row r="708" spans="1:4" x14ac:dyDescent="0.25">
      <c r="A708" t="str">
        <f>"40505181"</f>
        <v>40505181</v>
      </c>
      <c r="B708" t="s">
        <v>698</v>
      </c>
      <c r="C708">
        <v>185.9</v>
      </c>
      <c r="D708" t="str">
        <f t="shared" si="27"/>
        <v>270</v>
      </c>
    </row>
    <row r="709" spans="1:4" x14ac:dyDescent="0.25">
      <c r="A709" t="str">
        <f>"40505190"</f>
        <v>40505190</v>
      </c>
      <c r="B709" t="s">
        <v>699</v>
      </c>
      <c r="C709">
        <v>38.5</v>
      </c>
      <c r="D709" t="str">
        <f t="shared" si="27"/>
        <v>270</v>
      </c>
    </row>
    <row r="710" spans="1:4" x14ac:dyDescent="0.25">
      <c r="A710" t="str">
        <f>"40505200"</f>
        <v>40505200</v>
      </c>
      <c r="B710" t="s">
        <v>700</v>
      </c>
      <c r="C710">
        <v>39.6</v>
      </c>
      <c r="D710" t="str">
        <f t="shared" si="27"/>
        <v>270</v>
      </c>
    </row>
    <row r="711" spans="1:4" x14ac:dyDescent="0.25">
      <c r="A711" t="str">
        <f>"40505210"</f>
        <v>40505210</v>
      </c>
      <c r="B711" t="s">
        <v>701</v>
      </c>
      <c r="C711">
        <v>16.5</v>
      </c>
      <c r="D711" t="str">
        <f t="shared" si="27"/>
        <v>270</v>
      </c>
    </row>
    <row r="712" spans="1:4" x14ac:dyDescent="0.25">
      <c r="A712" t="str">
        <f>"40505224  "</f>
        <v xml:space="preserve">40505224  </v>
      </c>
      <c r="B712" t="s">
        <v>702</v>
      </c>
      <c r="C712">
        <v>25.3</v>
      </c>
      <c r="D712" t="str">
        <f t="shared" si="27"/>
        <v>270</v>
      </c>
    </row>
    <row r="713" spans="1:4" x14ac:dyDescent="0.25">
      <c r="A713" t="str">
        <f>"40505232  "</f>
        <v xml:space="preserve">40505232  </v>
      </c>
      <c r="B713" t="s">
        <v>703</v>
      </c>
      <c r="C713">
        <v>24.2</v>
      </c>
      <c r="D713" t="str">
        <f t="shared" si="27"/>
        <v>270</v>
      </c>
    </row>
    <row r="714" spans="1:4" x14ac:dyDescent="0.25">
      <c r="A714" t="str">
        <f>"40505240  "</f>
        <v xml:space="preserve">40505240  </v>
      </c>
      <c r="B714" t="s">
        <v>704</v>
      </c>
      <c r="C714">
        <v>41.8</v>
      </c>
      <c r="D714" t="str">
        <f>"271"</f>
        <v>271</v>
      </c>
    </row>
    <row r="715" spans="1:4" x14ac:dyDescent="0.25">
      <c r="A715" t="str">
        <f>"40505250"</f>
        <v>40505250</v>
      </c>
      <c r="B715" t="s">
        <v>705</v>
      </c>
      <c r="C715">
        <v>704</v>
      </c>
      <c r="D715" t="str">
        <f>"270"</f>
        <v>270</v>
      </c>
    </row>
    <row r="716" spans="1:4" x14ac:dyDescent="0.25">
      <c r="A716" t="str">
        <f>"40505273  "</f>
        <v xml:space="preserve">40505273  </v>
      </c>
      <c r="B716" t="s">
        <v>706</v>
      </c>
      <c r="C716">
        <v>41.8</v>
      </c>
      <c r="D716" t="str">
        <f>"271"</f>
        <v>271</v>
      </c>
    </row>
    <row r="717" spans="1:4" x14ac:dyDescent="0.25">
      <c r="A717" t="str">
        <f>"40505281  "</f>
        <v xml:space="preserve">40505281  </v>
      </c>
      <c r="B717" t="s">
        <v>707</v>
      </c>
      <c r="C717" s="1">
        <v>7219.3</v>
      </c>
      <c r="D717" t="str">
        <f>"278"</f>
        <v>278</v>
      </c>
    </row>
    <row r="718" spans="1:4" x14ac:dyDescent="0.25">
      <c r="A718" t="str">
        <f>"40505299  "</f>
        <v xml:space="preserve">40505299  </v>
      </c>
      <c r="B718" t="s">
        <v>708</v>
      </c>
      <c r="C718">
        <v>409.2</v>
      </c>
      <c r="D718" t="str">
        <f>"278"</f>
        <v>278</v>
      </c>
    </row>
    <row r="719" spans="1:4" x14ac:dyDescent="0.25">
      <c r="A719" t="str">
        <f>"40505307  "</f>
        <v xml:space="preserve">40505307  </v>
      </c>
      <c r="B719" t="s">
        <v>709</v>
      </c>
      <c r="C719">
        <v>45.1</v>
      </c>
      <c r="D719" t="str">
        <f t="shared" ref="D719:D729" si="28">"270"</f>
        <v>270</v>
      </c>
    </row>
    <row r="720" spans="1:4" x14ac:dyDescent="0.25">
      <c r="A720" t="str">
        <f>"40505323  "</f>
        <v xml:space="preserve">40505323  </v>
      </c>
      <c r="B720" t="s">
        <v>710</v>
      </c>
      <c r="C720">
        <v>262.89999999999998</v>
      </c>
      <c r="D720" t="str">
        <f t="shared" si="28"/>
        <v>270</v>
      </c>
    </row>
    <row r="721" spans="1:4" x14ac:dyDescent="0.25">
      <c r="A721" t="str">
        <f>"40505331  "</f>
        <v xml:space="preserve">40505331  </v>
      </c>
      <c r="B721" t="s">
        <v>711</v>
      </c>
      <c r="C721">
        <v>26.4</v>
      </c>
      <c r="D721" t="str">
        <f t="shared" si="28"/>
        <v>270</v>
      </c>
    </row>
    <row r="722" spans="1:4" x14ac:dyDescent="0.25">
      <c r="A722" t="str">
        <f>"40505349  "</f>
        <v xml:space="preserve">40505349  </v>
      </c>
      <c r="B722" t="s">
        <v>712</v>
      </c>
      <c r="C722">
        <v>520.29999999999995</v>
      </c>
      <c r="D722" t="str">
        <f t="shared" si="28"/>
        <v>270</v>
      </c>
    </row>
    <row r="723" spans="1:4" x14ac:dyDescent="0.25">
      <c r="A723" t="str">
        <f>"40505356  "</f>
        <v xml:space="preserve">40505356  </v>
      </c>
      <c r="B723" t="s">
        <v>713</v>
      </c>
      <c r="C723">
        <v>24.2</v>
      </c>
      <c r="D723" t="str">
        <f t="shared" si="28"/>
        <v>270</v>
      </c>
    </row>
    <row r="724" spans="1:4" x14ac:dyDescent="0.25">
      <c r="A724" t="str">
        <f>"40505380  "</f>
        <v xml:space="preserve">40505380  </v>
      </c>
      <c r="B724" t="s">
        <v>714</v>
      </c>
      <c r="C724">
        <v>19.8</v>
      </c>
      <c r="D724" t="str">
        <f t="shared" si="28"/>
        <v>270</v>
      </c>
    </row>
    <row r="725" spans="1:4" x14ac:dyDescent="0.25">
      <c r="A725" t="str">
        <f>"40505398  "</f>
        <v xml:space="preserve">40505398  </v>
      </c>
      <c r="B725" t="s">
        <v>715</v>
      </c>
      <c r="C725">
        <v>74.8</v>
      </c>
      <c r="D725" t="str">
        <f t="shared" si="28"/>
        <v>270</v>
      </c>
    </row>
    <row r="726" spans="1:4" x14ac:dyDescent="0.25">
      <c r="A726" t="str">
        <f>"4050541"</f>
        <v>4050541</v>
      </c>
      <c r="B726" t="s">
        <v>716</v>
      </c>
      <c r="C726">
        <v>74.8</v>
      </c>
      <c r="D726" t="str">
        <f t="shared" si="28"/>
        <v>270</v>
      </c>
    </row>
    <row r="727" spans="1:4" x14ac:dyDescent="0.25">
      <c r="A727" t="str">
        <f>"40505422  "</f>
        <v xml:space="preserve">40505422  </v>
      </c>
      <c r="B727" t="s">
        <v>717</v>
      </c>
      <c r="C727">
        <v>14.3</v>
      </c>
      <c r="D727" t="str">
        <f t="shared" si="28"/>
        <v>270</v>
      </c>
    </row>
    <row r="728" spans="1:4" x14ac:dyDescent="0.25">
      <c r="A728" t="str">
        <f>"40505430  "</f>
        <v xml:space="preserve">40505430  </v>
      </c>
      <c r="B728" t="s">
        <v>718</v>
      </c>
      <c r="C728">
        <v>19.8</v>
      </c>
      <c r="D728" t="str">
        <f t="shared" si="28"/>
        <v>270</v>
      </c>
    </row>
    <row r="729" spans="1:4" x14ac:dyDescent="0.25">
      <c r="A729" t="str">
        <f>"40505448  "</f>
        <v xml:space="preserve">40505448  </v>
      </c>
      <c r="B729" t="s">
        <v>719</v>
      </c>
      <c r="C729">
        <v>2.2000000000000002</v>
      </c>
      <c r="D729" t="str">
        <f t="shared" si="28"/>
        <v>270</v>
      </c>
    </row>
    <row r="730" spans="1:4" x14ac:dyDescent="0.25">
      <c r="A730" t="str">
        <f>"40505455  "</f>
        <v xml:space="preserve">40505455  </v>
      </c>
      <c r="B730" t="s">
        <v>720</v>
      </c>
      <c r="C730">
        <v>27.5</v>
      </c>
      <c r="D730" t="str">
        <f>"271"</f>
        <v>271</v>
      </c>
    </row>
    <row r="731" spans="1:4" x14ac:dyDescent="0.25">
      <c r="A731" t="str">
        <f>"40505463  "</f>
        <v xml:space="preserve">40505463  </v>
      </c>
      <c r="B731" t="s">
        <v>721</v>
      </c>
      <c r="C731">
        <v>22</v>
      </c>
      <c r="D731" t="str">
        <f t="shared" ref="D731:D741" si="29">"270"</f>
        <v>270</v>
      </c>
    </row>
    <row r="732" spans="1:4" x14ac:dyDescent="0.25">
      <c r="A732" t="str">
        <f>"40505471  "</f>
        <v xml:space="preserve">40505471  </v>
      </c>
      <c r="B732" t="s">
        <v>722</v>
      </c>
      <c r="C732">
        <v>27.5</v>
      </c>
      <c r="D732" t="str">
        <f t="shared" si="29"/>
        <v>270</v>
      </c>
    </row>
    <row r="733" spans="1:4" x14ac:dyDescent="0.25">
      <c r="A733" t="str">
        <f>"40505505  "</f>
        <v xml:space="preserve">40505505  </v>
      </c>
      <c r="B733" t="s">
        <v>723</v>
      </c>
      <c r="C733">
        <v>40.700000000000003</v>
      </c>
      <c r="D733" t="str">
        <f t="shared" si="29"/>
        <v>270</v>
      </c>
    </row>
    <row r="734" spans="1:4" x14ac:dyDescent="0.25">
      <c r="A734" t="str">
        <f>"40505539  "</f>
        <v xml:space="preserve">40505539  </v>
      </c>
      <c r="B734" t="s">
        <v>724</v>
      </c>
      <c r="C734">
        <v>27.5</v>
      </c>
      <c r="D734" t="str">
        <f t="shared" si="29"/>
        <v>270</v>
      </c>
    </row>
    <row r="735" spans="1:4" x14ac:dyDescent="0.25">
      <c r="A735" t="str">
        <f>"40505562  "</f>
        <v xml:space="preserve">40505562  </v>
      </c>
      <c r="B735" t="s">
        <v>725</v>
      </c>
      <c r="C735">
        <v>12.1</v>
      </c>
      <c r="D735" t="str">
        <f t="shared" si="29"/>
        <v>270</v>
      </c>
    </row>
    <row r="736" spans="1:4" x14ac:dyDescent="0.25">
      <c r="A736" t="str">
        <f>"40505596  "</f>
        <v xml:space="preserve">40505596  </v>
      </c>
      <c r="B736" t="s">
        <v>726</v>
      </c>
      <c r="C736">
        <v>452.1</v>
      </c>
      <c r="D736" t="str">
        <f t="shared" si="29"/>
        <v>270</v>
      </c>
    </row>
    <row r="737" spans="1:4" x14ac:dyDescent="0.25">
      <c r="A737" t="str">
        <f>"40505620  "</f>
        <v xml:space="preserve">40505620  </v>
      </c>
      <c r="B737" t="s">
        <v>727</v>
      </c>
      <c r="C737">
        <v>260.7</v>
      </c>
      <c r="D737" t="str">
        <f t="shared" si="29"/>
        <v>270</v>
      </c>
    </row>
    <row r="738" spans="1:4" x14ac:dyDescent="0.25">
      <c r="A738" t="str">
        <f>"40505646  "</f>
        <v xml:space="preserve">40505646  </v>
      </c>
      <c r="B738" t="s">
        <v>728</v>
      </c>
      <c r="C738">
        <v>200.2</v>
      </c>
      <c r="D738" t="str">
        <f t="shared" si="29"/>
        <v>270</v>
      </c>
    </row>
    <row r="739" spans="1:4" x14ac:dyDescent="0.25">
      <c r="A739" t="str">
        <f>"40505661  "</f>
        <v xml:space="preserve">40505661  </v>
      </c>
      <c r="B739" t="s">
        <v>729</v>
      </c>
      <c r="C739">
        <v>105.6</v>
      </c>
      <c r="D739" t="str">
        <f t="shared" si="29"/>
        <v>270</v>
      </c>
    </row>
    <row r="740" spans="1:4" x14ac:dyDescent="0.25">
      <c r="A740" t="str">
        <f>"40505687  "</f>
        <v xml:space="preserve">40505687  </v>
      </c>
      <c r="B740" t="s">
        <v>730</v>
      </c>
      <c r="C740">
        <v>260.7</v>
      </c>
      <c r="D740" t="str">
        <f t="shared" si="29"/>
        <v>270</v>
      </c>
    </row>
    <row r="741" spans="1:4" x14ac:dyDescent="0.25">
      <c r="A741" t="str">
        <f>"40505703  "</f>
        <v xml:space="preserve">40505703  </v>
      </c>
      <c r="B741" t="s">
        <v>731</v>
      </c>
      <c r="C741">
        <v>51.7</v>
      </c>
      <c r="D741" t="str">
        <f t="shared" si="29"/>
        <v>270</v>
      </c>
    </row>
    <row r="742" spans="1:4" x14ac:dyDescent="0.25">
      <c r="A742" t="str">
        <f>"40505737  "</f>
        <v xml:space="preserve">40505737  </v>
      </c>
      <c r="B742" t="s">
        <v>732</v>
      </c>
      <c r="C742" s="1">
        <v>1444.3</v>
      </c>
      <c r="D742" t="str">
        <f>"278"</f>
        <v>278</v>
      </c>
    </row>
    <row r="743" spans="1:4" x14ac:dyDescent="0.25">
      <c r="A743" t="str">
        <f>"40505745  "</f>
        <v xml:space="preserve">40505745  </v>
      </c>
      <c r="B743" t="s">
        <v>733</v>
      </c>
      <c r="C743">
        <v>260.7</v>
      </c>
      <c r="D743" t="str">
        <f>"278"</f>
        <v>278</v>
      </c>
    </row>
    <row r="744" spans="1:4" x14ac:dyDescent="0.25">
      <c r="A744" t="str">
        <f>"40505752  "</f>
        <v xml:space="preserve">40505752  </v>
      </c>
      <c r="B744" t="s">
        <v>734</v>
      </c>
      <c r="C744">
        <v>165</v>
      </c>
      <c r="D744" t="str">
        <f>"278"</f>
        <v>278</v>
      </c>
    </row>
    <row r="745" spans="1:4" x14ac:dyDescent="0.25">
      <c r="A745" t="str">
        <f>"40505760  "</f>
        <v xml:space="preserve">40505760  </v>
      </c>
      <c r="B745" t="s">
        <v>735</v>
      </c>
      <c r="C745">
        <v>111.1</v>
      </c>
      <c r="D745" t="str">
        <f>"278"</f>
        <v>278</v>
      </c>
    </row>
    <row r="746" spans="1:4" x14ac:dyDescent="0.25">
      <c r="A746" t="str">
        <f>"40505778  "</f>
        <v xml:space="preserve">40505778  </v>
      </c>
      <c r="B746" t="s">
        <v>736</v>
      </c>
      <c r="C746">
        <v>138.6</v>
      </c>
      <c r="D746" t="str">
        <f t="shared" ref="D746:D755" si="30">"270"</f>
        <v>270</v>
      </c>
    </row>
    <row r="747" spans="1:4" x14ac:dyDescent="0.25">
      <c r="A747" t="str">
        <f>"40505786  "</f>
        <v xml:space="preserve">40505786  </v>
      </c>
      <c r="B747" t="s">
        <v>737</v>
      </c>
      <c r="C747">
        <v>390.5</v>
      </c>
      <c r="D747" t="str">
        <f t="shared" si="30"/>
        <v>270</v>
      </c>
    </row>
    <row r="748" spans="1:4" x14ac:dyDescent="0.25">
      <c r="A748" t="str">
        <f>"40505802  "</f>
        <v xml:space="preserve">40505802  </v>
      </c>
      <c r="B748" t="s">
        <v>738</v>
      </c>
      <c r="C748">
        <v>200.2</v>
      </c>
      <c r="D748" t="str">
        <f t="shared" si="30"/>
        <v>270</v>
      </c>
    </row>
    <row r="749" spans="1:4" x14ac:dyDescent="0.25">
      <c r="A749" t="str">
        <f>"40505828  "</f>
        <v xml:space="preserve">40505828  </v>
      </c>
      <c r="B749" t="s">
        <v>739</v>
      </c>
      <c r="C749">
        <v>235.4</v>
      </c>
      <c r="D749" t="str">
        <f t="shared" si="30"/>
        <v>270</v>
      </c>
    </row>
    <row r="750" spans="1:4" x14ac:dyDescent="0.25">
      <c r="A750" t="str">
        <f>"40505844  "</f>
        <v xml:space="preserve">40505844  </v>
      </c>
      <c r="B750" t="s">
        <v>740</v>
      </c>
      <c r="C750">
        <v>431.2</v>
      </c>
      <c r="D750" t="str">
        <f t="shared" si="30"/>
        <v>270</v>
      </c>
    </row>
    <row r="751" spans="1:4" x14ac:dyDescent="0.25">
      <c r="A751" t="str">
        <f>"40505851  "</f>
        <v xml:space="preserve">40505851  </v>
      </c>
      <c r="B751" t="s">
        <v>741</v>
      </c>
      <c r="C751">
        <v>546.70000000000005</v>
      </c>
      <c r="D751" t="str">
        <f t="shared" si="30"/>
        <v>270</v>
      </c>
    </row>
    <row r="752" spans="1:4" x14ac:dyDescent="0.25">
      <c r="A752" t="str">
        <f>"40505869  "</f>
        <v xml:space="preserve">40505869  </v>
      </c>
      <c r="B752" t="s">
        <v>742</v>
      </c>
      <c r="C752">
        <v>129.80000000000001</v>
      </c>
      <c r="D752" t="str">
        <f t="shared" si="30"/>
        <v>270</v>
      </c>
    </row>
    <row r="753" spans="1:4" x14ac:dyDescent="0.25">
      <c r="A753" t="str">
        <f>"40505885  "</f>
        <v xml:space="preserve">40505885  </v>
      </c>
      <c r="B753" t="s">
        <v>743</v>
      </c>
      <c r="C753">
        <v>46.2</v>
      </c>
      <c r="D753" t="str">
        <f t="shared" si="30"/>
        <v>270</v>
      </c>
    </row>
    <row r="754" spans="1:4" x14ac:dyDescent="0.25">
      <c r="A754" t="str">
        <f>"40505893  "</f>
        <v xml:space="preserve">40505893  </v>
      </c>
      <c r="B754" t="s">
        <v>744</v>
      </c>
      <c r="C754">
        <v>195.8</v>
      </c>
      <c r="D754" t="str">
        <f t="shared" si="30"/>
        <v>270</v>
      </c>
    </row>
    <row r="755" spans="1:4" x14ac:dyDescent="0.25">
      <c r="A755" t="str">
        <f>"40505901  "</f>
        <v xml:space="preserve">40505901  </v>
      </c>
      <c r="B755" t="s">
        <v>745</v>
      </c>
      <c r="C755">
        <v>1.1000000000000001</v>
      </c>
      <c r="D755" t="str">
        <f t="shared" si="30"/>
        <v>270</v>
      </c>
    </row>
    <row r="756" spans="1:4" x14ac:dyDescent="0.25">
      <c r="A756" t="str">
        <f>"40505919  "</f>
        <v xml:space="preserve">40505919  </v>
      </c>
      <c r="B756" t="s">
        <v>746</v>
      </c>
      <c r="C756">
        <v>71.5</v>
      </c>
      <c r="D756" t="str">
        <f>"271"</f>
        <v>271</v>
      </c>
    </row>
    <row r="757" spans="1:4" x14ac:dyDescent="0.25">
      <c r="A757" t="str">
        <f>"40505927  "</f>
        <v xml:space="preserve">40505927  </v>
      </c>
      <c r="B757" t="s">
        <v>747</v>
      </c>
      <c r="C757">
        <v>1.1000000000000001</v>
      </c>
      <c r="D757" t="str">
        <f>"270"</f>
        <v>270</v>
      </c>
    </row>
    <row r="758" spans="1:4" x14ac:dyDescent="0.25">
      <c r="A758" t="str">
        <f>"40505943  "</f>
        <v xml:space="preserve">40505943  </v>
      </c>
      <c r="B758" t="s">
        <v>748</v>
      </c>
      <c r="C758">
        <v>3.3</v>
      </c>
      <c r="D758" t="str">
        <f>"270"</f>
        <v>270</v>
      </c>
    </row>
    <row r="759" spans="1:4" x14ac:dyDescent="0.25">
      <c r="A759" t="str">
        <f>"40505950  "</f>
        <v xml:space="preserve">40505950  </v>
      </c>
      <c r="B759" t="s">
        <v>749</v>
      </c>
      <c r="C759">
        <v>316.8</v>
      </c>
      <c r="D759" t="str">
        <f>"271"</f>
        <v>271</v>
      </c>
    </row>
    <row r="760" spans="1:4" x14ac:dyDescent="0.25">
      <c r="A760" t="str">
        <f>"40505968  "</f>
        <v xml:space="preserve">40505968  </v>
      </c>
      <c r="B760" t="s">
        <v>750</v>
      </c>
      <c r="C760">
        <v>1.1000000000000001</v>
      </c>
      <c r="D760" t="str">
        <f>"270"</f>
        <v>270</v>
      </c>
    </row>
    <row r="761" spans="1:4" x14ac:dyDescent="0.25">
      <c r="A761" t="str">
        <f>"40505976  "</f>
        <v xml:space="preserve">40505976  </v>
      </c>
      <c r="B761" t="s">
        <v>751</v>
      </c>
      <c r="C761" s="1">
        <v>1144</v>
      </c>
      <c r="D761" t="str">
        <f>"271"</f>
        <v>271</v>
      </c>
    </row>
    <row r="762" spans="1:4" x14ac:dyDescent="0.25">
      <c r="A762" t="str">
        <f>"40505984  "</f>
        <v xml:space="preserve">40505984  </v>
      </c>
      <c r="B762" t="s">
        <v>752</v>
      </c>
      <c r="C762">
        <v>1.1000000000000001</v>
      </c>
      <c r="D762" t="str">
        <f>"270"</f>
        <v>270</v>
      </c>
    </row>
    <row r="763" spans="1:4" x14ac:dyDescent="0.25">
      <c r="A763" t="str">
        <f>"40505989"</f>
        <v>40505989</v>
      </c>
      <c r="B763" t="s">
        <v>753</v>
      </c>
      <c r="C763">
        <v>53.9</v>
      </c>
      <c r="D763" t="str">
        <f>"270"</f>
        <v>270</v>
      </c>
    </row>
    <row r="764" spans="1:4" x14ac:dyDescent="0.25">
      <c r="A764" t="str">
        <f>"40505992  "</f>
        <v xml:space="preserve">40505992  </v>
      </c>
      <c r="B764" t="s">
        <v>754</v>
      </c>
      <c r="C764">
        <v>2.2000000000000002</v>
      </c>
      <c r="D764" t="str">
        <f>"271"</f>
        <v>271</v>
      </c>
    </row>
    <row r="765" spans="1:4" x14ac:dyDescent="0.25">
      <c r="A765" t="str">
        <f>"40505999"</f>
        <v>40505999</v>
      </c>
      <c r="B765" t="s">
        <v>755</v>
      </c>
      <c r="C765">
        <v>53.9</v>
      </c>
      <c r="D765" t="str">
        <f>"270"</f>
        <v>270</v>
      </c>
    </row>
    <row r="766" spans="1:4" x14ac:dyDescent="0.25">
      <c r="A766" t="str">
        <f>"40506008  "</f>
        <v xml:space="preserve">40506008  </v>
      </c>
      <c r="B766" t="s">
        <v>589</v>
      </c>
      <c r="C766">
        <v>1.1000000000000001</v>
      </c>
      <c r="D766" t="str">
        <f>"271"</f>
        <v>271</v>
      </c>
    </row>
    <row r="767" spans="1:4" x14ac:dyDescent="0.25">
      <c r="A767" t="str">
        <f>"40506016  "</f>
        <v xml:space="preserve">40506016  </v>
      </c>
      <c r="B767" t="s">
        <v>756</v>
      </c>
      <c r="C767">
        <v>1.1000000000000001</v>
      </c>
      <c r="D767" t="str">
        <f>"271"</f>
        <v>271</v>
      </c>
    </row>
    <row r="768" spans="1:4" x14ac:dyDescent="0.25">
      <c r="A768" t="str">
        <f>"40506032  "</f>
        <v xml:space="preserve">40506032  </v>
      </c>
      <c r="B768" t="s">
        <v>757</v>
      </c>
      <c r="C768">
        <v>137.5</v>
      </c>
      <c r="D768" t="str">
        <f>"271"</f>
        <v>271</v>
      </c>
    </row>
    <row r="769" spans="1:4" x14ac:dyDescent="0.25">
      <c r="A769" t="str">
        <f>"40506040  "</f>
        <v xml:space="preserve">40506040  </v>
      </c>
      <c r="B769" t="s">
        <v>758</v>
      </c>
      <c r="C769">
        <v>141.9</v>
      </c>
      <c r="D769" t="str">
        <f>"270"</f>
        <v>270</v>
      </c>
    </row>
    <row r="770" spans="1:4" x14ac:dyDescent="0.25">
      <c r="A770" t="str">
        <f>"40506057  "</f>
        <v xml:space="preserve">40506057  </v>
      </c>
      <c r="B770" t="s">
        <v>759</v>
      </c>
      <c r="C770">
        <v>40.700000000000003</v>
      </c>
      <c r="D770" t="str">
        <f>"270"</f>
        <v>270</v>
      </c>
    </row>
    <row r="771" spans="1:4" x14ac:dyDescent="0.25">
      <c r="A771" t="str">
        <f>"40506065  "</f>
        <v xml:space="preserve">40506065  </v>
      </c>
      <c r="B771" t="s">
        <v>760</v>
      </c>
      <c r="C771">
        <v>176</v>
      </c>
      <c r="D771" t="str">
        <f>"271"</f>
        <v>271</v>
      </c>
    </row>
    <row r="772" spans="1:4" x14ac:dyDescent="0.25">
      <c r="A772" t="str">
        <f>"40506073  "</f>
        <v xml:space="preserve">40506073  </v>
      </c>
      <c r="B772" t="s">
        <v>761</v>
      </c>
      <c r="C772">
        <v>68.2</v>
      </c>
      <c r="D772" t="str">
        <f>"271"</f>
        <v>271</v>
      </c>
    </row>
    <row r="773" spans="1:4" x14ac:dyDescent="0.25">
      <c r="A773" t="str">
        <f>"40506081  "</f>
        <v xml:space="preserve">40506081  </v>
      </c>
      <c r="B773" t="s">
        <v>762</v>
      </c>
      <c r="C773">
        <v>287.10000000000002</v>
      </c>
      <c r="D773" t="str">
        <f>"271"</f>
        <v>271</v>
      </c>
    </row>
    <row r="774" spans="1:4" x14ac:dyDescent="0.25">
      <c r="A774" t="str">
        <f>"40506099  "</f>
        <v xml:space="preserve">40506099  </v>
      </c>
      <c r="B774" t="s">
        <v>763</v>
      </c>
      <c r="C774">
        <v>339.9</v>
      </c>
      <c r="D774" t="str">
        <f>"270"</f>
        <v>270</v>
      </c>
    </row>
    <row r="775" spans="1:4" x14ac:dyDescent="0.25">
      <c r="A775" t="str">
        <f>"40506107  "</f>
        <v xml:space="preserve">40506107  </v>
      </c>
      <c r="B775" t="s">
        <v>764</v>
      </c>
      <c r="C775">
        <v>47.3</v>
      </c>
      <c r="D775" t="str">
        <f>"271"</f>
        <v>271</v>
      </c>
    </row>
    <row r="776" spans="1:4" x14ac:dyDescent="0.25">
      <c r="A776" t="str">
        <f>"40506115  "</f>
        <v xml:space="preserve">40506115  </v>
      </c>
      <c r="B776" t="s">
        <v>765</v>
      </c>
      <c r="C776">
        <v>370.7</v>
      </c>
      <c r="D776" t="str">
        <f>"270"</f>
        <v>270</v>
      </c>
    </row>
    <row r="777" spans="1:4" x14ac:dyDescent="0.25">
      <c r="A777" t="str">
        <f>"40506123  "</f>
        <v xml:space="preserve">40506123  </v>
      </c>
      <c r="B777" t="s">
        <v>766</v>
      </c>
      <c r="C777">
        <v>184.8</v>
      </c>
      <c r="D777" t="str">
        <f>"271"</f>
        <v>271</v>
      </c>
    </row>
    <row r="778" spans="1:4" x14ac:dyDescent="0.25">
      <c r="A778" t="str">
        <f>"40506149  "</f>
        <v xml:space="preserve">40506149  </v>
      </c>
      <c r="B778" t="s">
        <v>767</v>
      </c>
      <c r="C778">
        <v>171.6</v>
      </c>
      <c r="D778" t="str">
        <f>"271"</f>
        <v>271</v>
      </c>
    </row>
    <row r="779" spans="1:4" x14ac:dyDescent="0.25">
      <c r="A779" t="str">
        <f>"40506156  "</f>
        <v xml:space="preserve">40506156  </v>
      </c>
      <c r="B779" t="s">
        <v>768</v>
      </c>
      <c r="C779">
        <v>495</v>
      </c>
      <c r="D779" t="str">
        <f>"270"</f>
        <v>270</v>
      </c>
    </row>
    <row r="780" spans="1:4" x14ac:dyDescent="0.25">
      <c r="A780" t="str">
        <f>"40506164  "</f>
        <v xml:space="preserve">40506164  </v>
      </c>
      <c r="B780" t="s">
        <v>769</v>
      </c>
      <c r="C780">
        <v>45.1</v>
      </c>
      <c r="D780" t="str">
        <f>"271"</f>
        <v>271</v>
      </c>
    </row>
    <row r="781" spans="1:4" x14ac:dyDescent="0.25">
      <c r="A781" t="str">
        <f>"40506172  "</f>
        <v xml:space="preserve">40506172  </v>
      </c>
      <c r="B781" t="s">
        <v>770</v>
      </c>
      <c r="C781">
        <v>237.6</v>
      </c>
      <c r="D781" t="str">
        <f>"271"</f>
        <v>271</v>
      </c>
    </row>
    <row r="782" spans="1:4" x14ac:dyDescent="0.25">
      <c r="A782" t="str">
        <f>"40506180  "</f>
        <v xml:space="preserve">40506180  </v>
      </c>
      <c r="B782" t="s">
        <v>771</v>
      </c>
      <c r="C782">
        <v>68.2</v>
      </c>
      <c r="D782" t="str">
        <f>"271"</f>
        <v>271</v>
      </c>
    </row>
    <row r="783" spans="1:4" x14ac:dyDescent="0.25">
      <c r="A783" t="str">
        <f>"40506198  "</f>
        <v xml:space="preserve">40506198  </v>
      </c>
      <c r="B783" t="s">
        <v>772</v>
      </c>
      <c r="C783">
        <v>50.6</v>
      </c>
      <c r="D783" t="str">
        <f>"271"</f>
        <v>271</v>
      </c>
    </row>
    <row r="784" spans="1:4" x14ac:dyDescent="0.25">
      <c r="A784" t="str">
        <f>"40506206  "</f>
        <v xml:space="preserve">40506206  </v>
      </c>
      <c r="B784" t="s">
        <v>773</v>
      </c>
      <c r="C784">
        <v>71.5</v>
      </c>
      <c r="D784" t="str">
        <f>"271"</f>
        <v>271</v>
      </c>
    </row>
    <row r="785" spans="1:4" x14ac:dyDescent="0.25">
      <c r="A785" t="str">
        <f>"40506214  "</f>
        <v xml:space="preserve">40506214  </v>
      </c>
      <c r="B785" t="s">
        <v>774</v>
      </c>
      <c r="C785">
        <v>188.1</v>
      </c>
      <c r="D785" t="str">
        <f>"270"</f>
        <v>270</v>
      </c>
    </row>
    <row r="786" spans="1:4" x14ac:dyDescent="0.25">
      <c r="A786" t="str">
        <f>"40506222  "</f>
        <v xml:space="preserve">40506222  </v>
      </c>
      <c r="B786" t="s">
        <v>775</v>
      </c>
      <c r="C786">
        <v>49.5</v>
      </c>
      <c r="D786" t="str">
        <f>"271"</f>
        <v>271</v>
      </c>
    </row>
    <row r="787" spans="1:4" x14ac:dyDescent="0.25">
      <c r="A787" t="str">
        <f>"40506248  "</f>
        <v xml:space="preserve">40506248  </v>
      </c>
      <c r="B787" t="s">
        <v>776</v>
      </c>
      <c r="C787">
        <v>8.8000000000000007</v>
      </c>
      <c r="D787" t="str">
        <f>"271"</f>
        <v>271</v>
      </c>
    </row>
    <row r="788" spans="1:4" x14ac:dyDescent="0.25">
      <c r="A788" t="str">
        <f>"40506255  "</f>
        <v xml:space="preserve">40506255  </v>
      </c>
      <c r="B788" t="s">
        <v>777</v>
      </c>
      <c r="C788">
        <v>752.4</v>
      </c>
      <c r="D788" t="str">
        <f>"270"</f>
        <v>270</v>
      </c>
    </row>
    <row r="789" spans="1:4" x14ac:dyDescent="0.25">
      <c r="A789" t="str">
        <f>"40506263  "</f>
        <v xml:space="preserve">40506263  </v>
      </c>
      <c r="B789" t="s">
        <v>778</v>
      </c>
      <c r="C789">
        <v>58.3</v>
      </c>
      <c r="D789" t="str">
        <f>"271"</f>
        <v>271</v>
      </c>
    </row>
    <row r="790" spans="1:4" x14ac:dyDescent="0.25">
      <c r="A790" t="str">
        <f>"40506271  "</f>
        <v xml:space="preserve">40506271  </v>
      </c>
      <c r="B790" t="s">
        <v>779</v>
      </c>
      <c r="C790">
        <v>184.8</v>
      </c>
      <c r="D790" t="str">
        <f>"270"</f>
        <v>270</v>
      </c>
    </row>
    <row r="791" spans="1:4" x14ac:dyDescent="0.25">
      <c r="A791" t="str">
        <f>"40506289  "</f>
        <v xml:space="preserve">40506289  </v>
      </c>
      <c r="B791" t="s">
        <v>780</v>
      </c>
      <c r="C791">
        <v>24.2</v>
      </c>
      <c r="D791" t="str">
        <f>"271"</f>
        <v>271</v>
      </c>
    </row>
    <row r="792" spans="1:4" x14ac:dyDescent="0.25">
      <c r="A792" t="str">
        <f>"40506297  "</f>
        <v xml:space="preserve">40506297  </v>
      </c>
      <c r="B792" t="s">
        <v>781</v>
      </c>
      <c r="C792">
        <v>253</v>
      </c>
      <c r="D792" t="str">
        <f>"271"</f>
        <v>271</v>
      </c>
    </row>
    <row r="793" spans="1:4" x14ac:dyDescent="0.25">
      <c r="A793" t="str">
        <f>"40506305  "</f>
        <v xml:space="preserve">40506305  </v>
      </c>
      <c r="B793" t="s">
        <v>782</v>
      </c>
      <c r="C793">
        <v>68.2</v>
      </c>
      <c r="D793" t="str">
        <f>"271"</f>
        <v>271</v>
      </c>
    </row>
    <row r="794" spans="1:4" x14ac:dyDescent="0.25">
      <c r="A794" t="str">
        <f>"40506313  "</f>
        <v xml:space="preserve">40506313  </v>
      </c>
      <c r="B794" t="s">
        <v>783</v>
      </c>
      <c r="C794">
        <v>255.2</v>
      </c>
      <c r="D794" t="str">
        <f>"273"</f>
        <v>273</v>
      </c>
    </row>
    <row r="795" spans="1:4" x14ac:dyDescent="0.25">
      <c r="A795" t="str">
        <f>"40506321  "</f>
        <v xml:space="preserve">40506321  </v>
      </c>
      <c r="B795" t="s">
        <v>784</v>
      </c>
      <c r="C795">
        <v>41.8</v>
      </c>
      <c r="D795" t="str">
        <f>"271"</f>
        <v>271</v>
      </c>
    </row>
    <row r="796" spans="1:4" x14ac:dyDescent="0.25">
      <c r="A796" t="str">
        <f>"40506339  "</f>
        <v xml:space="preserve">40506339  </v>
      </c>
      <c r="B796" t="s">
        <v>785</v>
      </c>
      <c r="C796">
        <v>7.95</v>
      </c>
      <c r="D796" t="str">
        <f>"270"</f>
        <v>270</v>
      </c>
    </row>
    <row r="797" spans="1:4" x14ac:dyDescent="0.25">
      <c r="A797" t="str">
        <f>"40506347  "</f>
        <v xml:space="preserve">40506347  </v>
      </c>
      <c r="B797" t="s">
        <v>786</v>
      </c>
      <c r="C797">
        <v>62.7</v>
      </c>
      <c r="D797" t="str">
        <f>"271"</f>
        <v>271</v>
      </c>
    </row>
    <row r="798" spans="1:4" x14ac:dyDescent="0.25">
      <c r="A798" t="str">
        <f>"40506354  "</f>
        <v xml:space="preserve">40506354  </v>
      </c>
      <c r="B798" t="s">
        <v>787</v>
      </c>
      <c r="C798">
        <v>41.8</v>
      </c>
      <c r="D798" t="str">
        <f>"270"</f>
        <v>270</v>
      </c>
    </row>
    <row r="799" spans="1:4" x14ac:dyDescent="0.25">
      <c r="A799" t="str">
        <f>"40506362  "</f>
        <v xml:space="preserve">40506362  </v>
      </c>
      <c r="B799" t="s">
        <v>788</v>
      </c>
      <c r="C799">
        <v>82.5</v>
      </c>
      <c r="D799" t="str">
        <f>"271"</f>
        <v>271</v>
      </c>
    </row>
    <row r="800" spans="1:4" x14ac:dyDescent="0.25">
      <c r="A800" t="str">
        <f>"40506370  "</f>
        <v xml:space="preserve">40506370  </v>
      </c>
      <c r="B800" t="s">
        <v>789</v>
      </c>
      <c r="C800">
        <v>660</v>
      </c>
      <c r="D800" t="str">
        <f>"270"</f>
        <v>270</v>
      </c>
    </row>
    <row r="801" spans="1:5" x14ac:dyDescent="0.25">
      <c r="A801" t="str">
        <f>"40506388  "</f>
        <v xml:space="preserve">40506388  </v>
      </c>
      <c r="B801" t="s">
        <v>790</v>
      </c>
      <c r="C801">
        <v>61.6</v>
      </c>
      <c r="D801" t="str">
        <f>"271"</f>
        <v>271</v>
      </c>
    </row>
    <row r="802" spans="1:5" x14ac:dyDescent="0.25">
      <c r="A802" t="str">
        <f>"40506396  "</f>
        <v xml:space="preserve">40506396  </v>
      </c>
      <c r="B802" t="s">
        <v>791</v>
      </c>
      <c r="C802">
        <v>62.7</v>
      </c>
      <c r="D802" t="str">
        <f>"270"</f>
        <v>270</v>
      </c>
    </row>
    <row r="803" spans="1:5" x14ac:dyDescent="0.25">
      <c r="A803" t="str">
        <f>"40506479  "</f>
        <v xml:space="preserve">40506479  </v>
      </c>
      <c r="B803" t="s">
        <v>792</v>
      </c>
      <c r="C803">
        <v>61.6</v>
      </c>
      <c r="D803" t="str">
        <f>"271"</f>
        <v>271</v>
      </c>
    </row>
    <row r="804" spans="1:5" x14ac:dyDescent="0.25">
      <c r="A804" t="str">
        <f>"40506487  "</f>
        <v xml:space="preserve">40506487  </v>
      </c>
      <c r="B804" t="s">
        <v>793</v>
      </c>
      <c r="C804">
        <v>128.69999999999999</v>
      </c>
      <c r="D804" t="str">
        <f t="shared" ref="D804:D810" si="31">"270"</f>
        <v>270</v>
      </c>
    </row>
    <row r="805" spans="1:5" x14ac:dyDescent="0.25">
      <c r="A805" t="str">
        <f>"40506503  "</f>
        <v xml:space="preserve">40506503  </v>
      </c>
      <c r="B805" t="s">
        <v>794</v>
      </c>
      <c r="C805">
        <v>72.599999999999994</v>
      </c>
      <c r="D805" t="str">
        <f t="shared" si="31"/>
        <v>270</v>
      </c>
      <c r="E805" t="str">
        <f>"A4590"</f>
        <v>A4590</v>
      </c>
    </row>
    <row r="806" spans="1:5" x14ac:dyDescent="0.25">
      <c r="A806" t="str">
        <f>"40506529  "</f>
        <v xml:space="preserve">40506529  </v>
      </c>
      <c r="B806" t="s">
        <v>795</v>
      </c>
      <c r="C806">
        <v>46.2</v>
      </c>
      <c r="D806" t="str">
        <f t="shared" si="31"/>
        <v>270</v>
      </c>
    </row>
    <row r="807" spans="1:5" x14ac:dyDescent="0.25">
      <c r="A807" t="str">
        <f>"40506537  "</f>
        <v xml:space="preserve">40506537  </v>
      </c>
      <c r="B807" t="s">
        <v>796</v>
      </c>
      <c r="C807">
        <v>239.8</v>
      </c>
      <c r="D807" t="str">
        <f t="shared" si="31"/>
        <v>270</v>
      </c>
    </row>
    <row r="808" spans="1:5" x14ac:dyDescent="0.25">
      <c r="A808" t="str">
        <f>"40506545  "</f>
        <v xml:space="preserve">40506545  </v>
      </c>
      <c r="B808" t="s">
        <v>797</v>
      </c>
      <c r="C808">
        <v>46.2</v>
      </c>
      <c r="D808" t="str">
        <f t="shared" si="31"/>
        <v>270</v>
      </c>
    </row>
    <row r="809" spans="1:5" x14ac:dyDescent="0.25">
      <c r="A809" t="str">
        <f>"40506560  "</f>
        <v xml:space="preserve">40506560  </v>
      </c>
      <c r="B809" t="s">
        <v>798</v>
      </c>
      <c r="C809">
        <v>17.600000000000001</v>
      </c>
      <c r="D809" t="str">
        <f t="shared" si="31"/>
        <v>270</v>
      </c>
      <c r="E809" t="str">
        <f>"A4590"</f>
        <v>A4590</v>
      </c>
    </row>
    <row r="810" spans="1:5" x14ac:dyDescent="0.25">
      <c r="A810" t="str">
        <f>"40506586  "</f>
        <v xml:space="preserve">40506586  </v>
      </c>
      <c r="B810" t="s">
        <v>799</v>
      </c>
      <c r="C810">
        <v>51.7</v>
      </c>
      <c r="D810" t="str">
        <f t="shared" si="31"/>
        <v>270</v>
      </c>
      <c r="E810" t="str">
        <f>"A4590"</f>
        <v>A4590</v>
      </c>
    </row>
    <row r="811" spans="1:5" x14ac:dyDescent="0.25">
      <c r="A811" t="str">
        <f>"40506602  "</f>
        <v xml:space="preserve">40506602  </v>
      </c>
      <c r="B811" t="s">
        <v>800</v>
      </c>
      <c r="C811">
        <v>63.8</v>
      </c>
      <c r="D811" t="str">
        <f>"271"</f>
        <v>271</v>
      </c>
    </row>
    <row r="812" spans="1:5" x14ac:dyDescent="0.25">
      <c r="A812" t="str">
        <f>"40506628  "</f>
        <v xml:space="preserve">40506628  </v>
      </c>
      <c r="B812" t="s">
        <v>801</v>
      </c>
      <c r="C812">
        <v>128.69999999999999</v>
      </c>
      <c r="D812" t="str">
        <f t="shared" ref="D812:D822" si="32">"270"</f>
        <v>270</v>
      </c>
      <c r="E812" t="str">
        <f>"A4590"</f>
        <v>A4590</v>
      </c>
    </row>
    <row r="813" spans="1:5" x14ac:dyDescent="0.25">
      <c r="A813" t="str">
        <f>"40506644  "</f>
        <v xml:space="preserve">40506644  </v>
      </c>
      <c r="B813" t="s">
        <v>802</v>
      </c>
      <c r="C813">
        <v>135.30000000000001</v>
      </c>
      <c r="D813" t="str">
        <f t="shared" si="32"/>
        <v>270</v>
      </c>
      <c r="E813" t="str">
        <f>"A4590"</f>
        <v>A4590</v>
      </c>
    </row>
    <row r="814" spans="1:5" x14ac:dyDescent="0.25">
      <c r="A814" t="str">
        <f>"40506651  "</f>
        <v xml:space="preserve">40506651  </v>
      </c>
      <c r="B814" t="s">
        <v>803</v>
      </c>
      <c r="C814">
        <v>33</v>
      </c>
      <c r="D814" t="str">
        <f t="shared" si="32"/>
        <v>270</v>
      </c>
      <c r="E814" t="str">
        <f>"A4590"</f>
        <v>A4590</v>
      </c>
    </row>
    <row r="815" spans="1:5" x14ac:dyDescent="0.25">
      <c r="A815" t="str">
        <f>"40506669  "</f>
        <v xml:space="preserve">40506669  </v>
      </c>
      <c r="B815" t="s">
        <v>804</v>
      </c>
      <c r="C815">
        <v>887.7</v>
      </c>
      <c r="D815" t="str">
        <f t="shared" si="32"/>
        <v>270</v>
      </c>
    </row>
    <row r="816" spans="1:5" x14ac:dyDescent="0.25">
      <c r="A816" t="str">
        <f>"40506677  "</f>
        <v xml:space="preserve">40506677  </v>
      </c>
      <c r="B816" t="s">
        <v>805</v>
      </c>
      <c r="C816">
        <v>40.700000000000003</v>
      </c>
      <c r="D816" t="str">
        <f t="shared" si="32"/>
        <v>270</v>
      </c>
    </row>
    <row r="817" spans="1:4" x14ac:dyDescent="0.25">
      <c r="A817" t="str">
        <f>"40506685  "</f>
        <v xml:space="preserve">40506685  </v>
      </c>
      <c r="B817" t="s">
        <v>806</v>
      </c>
      <c r="C817">
        <v>7.7</v>
      </c>
      <c r="D817" t="str">
        <f t="shared" si="32"/>
        <v>270</v>
      </c>
    </row>
    <row r="818" spans="1:4" x14ac:dyDescent="0.25">
      <c r="A818" t="str">
        <f>"40506693  "</f>
        <v xml:space="preserve">40506693  </v>
      </c>
      <c r="B818" t="s">
        <v>807</v>
      </c>
      <c r="C818">
        <v>37.4</v>
      </c>
      <c r="D818" t="str">
        <f t="shared" si="32"/>
        <v>270</v>
      </c>
    </row>
    <row r="819" spans="1:4" x14ac:dyDescent="0.25">
      <c r="A819" t="str">
        <f>"40506701  "</f>
        <v xml:space="preserve">40506701  </v>
      </c>
      <c r="B819" t="s">
        <v>808</v>
      </c>
      <c r="C819">
        <v>7.7</v>
      </c>
      <c r="D819" t="str">
        <f t="shared" si="32"/>
        <v>270</v>
      </c>
    </row>
    <row r="820" spans="1:4" x14ac:dyDescent="0.25">
      <c r="A820" t="str">
        <f>"40506719  "</f>
        <v xml:space="preserve">40506719  </v>
      </c>
      <c r="B820" t="s">
        <v>809</v>
      </c>
      <c r="C820">
        <v>460.9</v>
      </c>
      <c r="D820" t="str">
        <f t="shared" si="32"/>
        <v>270</v>
      </c>
    </row>
    <row r="821" spans="1:4" x14ac:dyDescent="0.25">
      <c r="A821" t="str">
        <f>"40506727  "</f>
        <v xml:space="preserve">40506727  </v>
      </c>
      <c r="B821" t="s">
        <v>810</v>
      </c>
      <c r="C821">
        <v>7.7</v>
      </c>
      <c r="D821" t="str">
        <f t="shared" si="32"/>
        <v>270</v>
      </c>
    </row>
    <row r="822" spans="1:4" x14ac:dyDescent="0.25">
      <c r="A822" t="str">
        <f>"40506735  "</f>
        <v xml:space="preserve">40506735  </v>
      </c>
      <c r="B822" t="s">
        <v>811</v>
      </c>
      <c r="C822">
        <v>123.2</v>
      </c>
      <c r="D822" t="str">
        <f t="shared" si="32"/>
        <v>270</v>
      </c>
    </row>
    <row r="823" spans="1:4" x14ac:dyDescent="0.25">
      <c r="A823" t="str">
        <f>"40506743  "</f>
        <v xml:space="preserve">40506743  </v>
      </c>
      <c r="B823" t="s">
        <v>812</v>
      </c>
      <c r="C823">
        <v>7.7</v>
      </c>
      <c r="D823" t="str">
        <f>"271"</f>
        <v>271</v>
      </c>
    </row>
    <row r="824" spans="1:4" x14ac:dyDescent="0.25">
      <c r="A824" t="str">
        <f>"40506750  "</f>
        <v xml:space="preserve">40506750  </v>
      </c>
      <c r="B824" t="s">
        <v>813</v>
      </c>
      <c r="C824">
        <v>158.4</v>
      </c>
      <c r="D824" t="str">
        <f>"270"</f>
        <v>270</v>
      </c>
    </row>
    <row r="825" spans="1:4" x14ac:dyDescent="0.25">
      <c r="A825" t="str">
        <f>"40506768  "</f>
        <v xml:space="preserve">40506768  </v>
      </c>
      <c r="B825" t="s">
        <v>814</v>
      </c>
      <c r="C825">
        <v>12.1</v>
      </c>
      <c r="D825" t="str">
        <f>"271"</f>
        <v>271</v>
      </c>
    </row>
    <row r="826" spans="1:4" x14ac:dyDescent="0.25">
      <c r="A826" t="str">
        <f>"40506776  "</f>
        <v xml:space="preserve">40506776  </v>
      </c>
      <c r="B826" t="s">
        <v>815</v>
      </c>
      <c r="C826">
        <v>77</v>
      </c>
      <c r="D826" t="str">
        <f t="shared" ref="D826:D832" si="33">"270"</f>
        <v>270</v>
      </c>
    </row>
    <row r="827" spans="1:4" x14ac:dyDescent="0.25">
      <c r="A827" t="str">
        <f>"40506792  "</f>
        <v xml:space="preserve">40506792  </v>
      </c>
      <c r="B827" t="s">
        <v>816</v>
      </c>
      <c r="C827">
        <v>37.4</v>
      </c>
      <c r="D827" t="str">
        <f t="shared" si="33"/>
        <v>270</v>
      </c>
    </row>
    <row r="828" spans="1:4" x14ac:dyDescent="0.25">
      <c r="A828" t="str">
        <f>"40506800  "</f>
        <v xml:space="preserve">40506800  </v>
      </c>
      <c r="B828" t="s">
        <v>817</v>
      </c>
      <c r="C828">
        <v>189.2</v>
      </c>
      <c r="D828" t="str">
        <f t="shared" si="33"/>
        <v>270</v>
      </c>
    </row>
    <row r="829" spans="1:4" x14ac:dyDescent="0.25">
      <c r="A829" t="str">
        <f>"40506818  "</f>
        <v xml:space="preserve">40506818  </v>
      </c>
      <c r="B829" t="s">
        <v>818</v>
      </c>
      <c r="C829">
        <v>45.1</v>
      </c>
      <c r="D829" t="str">
        <f t="shared" si="33"/>
        <v>270</v>
      </c>
    </row>
    <row r="830" spans="1:4" x14ac:dyDescent="0.25">
      <c r="A830" t="str">
        <f>"40506826  "</f>
        <v xml:space="preserve">40506826  </v>
      </c>
      <c r="B830" t="s">
        <v>819</v>
      </c>
      <c r="C830">
        <v>22</v>
      </c>
      <c r="D830" t="str">
        <f t="shared" si="33"/>
        <v>270</v>
      </c>
    </row>
    <row r="831" spans="1:4" x14ac:dyDescent="0.25">
      <c r="A831" t="str">
        <f>"40506842  "</f>
        <v xml:space="preserve">40506842  </v>
      </c>
      <c r="B831" t="s">
        <v>820</v>
      </c>
      <c r="C831">
        <v>7.7</v>
      </c>
      <c r="D831" t="str">
        <f t="shared" si="33"/>
        <v>270</v>
      </c>
    </row>
    <row r="832" spans="1:4" x14ac:dyDescent="0.25">
      <c r="A832" t="str">
        <f>"40506859  "</f>
        <v xml:space="preserve">40506859  </v>
      </c>
      <c r="B832" t="s">
        <v>821</v>
      </c>
      <c r="C832">
        <v>7.7</v>
      </c>
      <c r="D832" t="str">
        <f t="shared" si="33"/>
        <v>270</v>
      </c>
    </row>
    <row r="833" spans="1:4" x14ac:dyDescent="0.25">
      <c r="A833" t="str">
        <f>"40506867  "</f>
        <v xml:space="preserve">40506867  </v>
      </c>
      <c r="B833" t="s">
        <v>822</v>
      </c>
      <c r="C833">
        <v>51.7</v>
      </c>
      <c r="D833" t="str">
        <f>"271"</f>
        <v>271</v>
      </c>
    </row>
    <row r="834" spans="1:4" x14ac:dyDescent="0.25">
      <c r="A834" t="str">
        <f>"40506875  "</f>
        <v xml:space="preserve">40506875  </v>
      </c>
      <c r="B834" t="s">
        <v>823</v>
      </c>
      <c r="C834">
        <v>289.3</v>
      </c>
      <c r="D834" t="str">
        <f>"270"</f>
        <v>270</v>
      </c>
    </row>
    <row r="835" spans="1:4" x14ac:dyDescent="0.25">
      <c r="A835" t="str">
        <f>"40506883  "</f>
        <v xml:space="preserve">40506883  </v>
      </c>
      <c r="B835" t="s">
        <v>824</v>
      </c>
      <c r="C835">
        <v>51.7</v>
      </c>
      <c r="D835" t="str">
        <f>"271"</f>
        <v>271</v>
      </c>
    </row>
    <row r="836" spans="1:4" x14ac:dyDescent="0.25">
      <c r="A836" t="str">
        <f>"40506891  "</f>
        <v xml:space="preserve">40506891  </v>
      </c>
      <c r="B836" t="s">
        <v>825</v>
      </c>
      <c r="C836">
        <v>118.8</v>
      </c>
      <c r="D836" t="str">
        <f>"270"</f>
        <v>270</v>
      </c>
    </row>
    <row r="837" spans="1:4" x14ac:dyDescent="0.25">
      <c r="A837" t="str">
        <f>"40506909  "</f>
        <v xml:space="preserve">40506909  </v>
      </c>
      <c r="B837" t="s">
        <v>826</v>
      </c>
      <c r="C837">
        <v>578.6</v>
      </c>
      <c r="D837" t="str">
        <f>"271"</f>
        <v>271</v>
      </c>
    </row>
    <row r="838" spans="1:4" x14ac:dyDescent="0.25">
      <c r="A838" t="str">
        <f>"40506917  "</f>
        <v xml:space="preserve">40506917  </v>
      </c>
      <c r="B838" t="s">
        <v>827</v>
      </c>
      <c r="C838">
        <v>264</v>
      </c>
      <c r="D838" t="str">
        <f>"270"</f>
        <v>270</v>
      </c>
    </row>
    <row r="839" spans="1:4" x14ac:dyDescent="0.25">
      <c r="A839" t="str">
        <f>"40506925  "</f>
        <v xml:space="preserve">40506925  </v>
      </c>
      <c r="B839" t="s">
        <v>828</v>
      </c>
      <c r="C839">
        <v>165</v>
      </c>
      <c r="D839" t="str">
        <f>"271"</f>
        <v>271</v>
      </c>
    </row>
    <row r="840" spans="1:4" x14ac:dyDescent="0.25">
      <c r="A840" t="str">
        <f>"40506933  "</f>
        <v xml:space="preserve">40506933  </v>
      </c>
      <c r="B840" t="s">
        <v>829</v>
      </c>
      <c r="C840">
        <v>55</v>
      </c>
      <c r="D840" t="str">
        <f>"270"</f>
        <v>270</v>
      </c>
    </row>
    <row r="841" spans="1:4" x14ac:dyDescent="0.25">
      <c r="A841" t="str">
        <f>"40506958  "</f>
        <v xml:space="preserve">40506958  </v>
      </c>
      <c r="B841" t="s">
        <v>830</v>
      </c>
      <c r="C841">
        <v>55</v>
      </c>
      <c r="D841" t="str">
        <f>"270"</f>
        <v>270</v>
      </c>
    </row>
    <row r="842" spans="1:4" x14ac:dyDescent="0.25">
      <c r="A842" t="str">
        <f>"40506974  "</f>
        <v xml:space="preserve">40506974  </v>
      </c>
      <c r="B842" t="s">
        <v>831</v>
      </c>
      <c r="C842">
        <v>9.9</v>
      </c>
      <c r="D842" t="str">
        <f>"271"</f>
        <v>271</v>
      </c>
    </row>
    <row r="843" spans="1:4" x14ac:dyDescent="0.25">
      <c r="A843" t="str">
        <f>"40506982  "</f>
        <v xml:space="preserve">40506982  </v>
      </c>
      <c r="B843" t="s">
        <v>832</v>
      </c>
      <c r="C843">
        <v>180.4</v>
      </c>
      <c r="D843" t="str">
        <f>"271"</f>
        <v>271</v>
      </c>
    </row>
    <row r="844" spans="1:4" x14ac:dyDescent="0.25">
      <c r="A844" t="str">
        <f>"40506990  "</f>
        <v xml:space="preserve">40506990  </v>
      </c>
      <c r="B844" t="s">
        <v>833</v>
      </c>
      <c r="C844">
        <v>936.1</v>
      </c>
      <c r="D844" t="str">
        <f>"270"</f>
        <v>270</v>
      </c>
    </row>
    <row r="845" spans="1:4" x14ac:dyDescent="0.25">
      <c r="A845" t="str">
        <f>"40507006  "</f>
        <v xml:space="preserve">40507006  </v>
      </c>
      <c r="B845" t="s">
        <v>834</v>
      </c>
      <c r="C845">
        <v>158.4</v>
      </c>
      <c r="D845" t="str">
        <f>"271"</f>
        <v>271</v>
      </c>
    </row>
    <row r="846" spans="1:4" x14ac:dyDescent="0.25">
      <c r="A846" t="str">
        <f>"40507014  "</f>
        <v xml:space="preserve">40507014  </v>
      </c>
      <c r="B846" t="s">
        <v>835</v>
      </c>
      <c r="C846">
        <v>41.8</v>
      </c>
      <c r="D846" t="str">
        <f>"270"</f>
        <v>270</v>
      </c>
    </row>
    <row r="847" spans="1:4" x14ac:dyDescent="0.25">
      <c r="A847" t="str">
        <f>"40507022  "</f>
        <v xml:space="preserve">40507022  </v>
      </c>
      <c r="B847" t="s">
        <v>836</v>
      </c>
      <c r="C847">
        <v>41.8</v>
      </c>
      <c r="D847" t="str">
        <f>"270"</f>
        <v>270</v>
      </c>
    </row>
    <row r="848" spans="1:4" x14ac:dyDescent="0.25">
      <c r="A848" t="str">
        <f>"40507030  "</f>
        <v xml:space="preserve">40507030  </v>
      </c>
      <c r="B848" t="s">
        <v>837</v>
      </c>
      <c r="C848">
        <v>41.8</v>
      </c>
      <c r="D848" t="str">
        <f>"270"</f>
        <v>270</v>
      </c>
    </row>
    <row r="849" spans="1:4" x14ac:dyDescent="0.25">
      <c r="A849" t="str">
        <f>"40507048  "</f>
        <v xml:space="preserve">40507048  </v>
      </c>
      <c r="B849" t="s">
        <v>838</v>
      </c>
      <c r="C849">
        <v>41.8</v>
      </c>
      <c r="D849" t="str">
        <f>"270"</f>
        <v>270</v>
      </c>
    </row>
    <row r="850" spans="1:4" x14ac:dyDescent="0.25">
      <c r="A850" t="str">
        <f>"40507055  "</f>
        <v xml:space="preserve">40507055  </v>
      </c>
      <c r="B850" t="s">
        <v>839</v>
      </c>
      <c r="C850">
        <v>25.3</v>
      </c>
      <c r="D850" t="str">
        <f>"271"</f>
        <v>271</v>
      </c>
    </row>
    <row r="851" spans="1:4" x14ac:dyDescent="0.25">
      <c r="A851" t="str">
        <f>"40507055  "</f>
        <v xml:space="preserve">40507055  </v>
      </c>
      <c r="B851" t="s">
        <v>839</v>
      </c>
      <c r="C851">
        <v>25.3</v>
      </c>
      <c r="D851" t="str">
        <f>"271"</f>
        <v>271</v>
      </c>
    </row>
    <row r="852" spans="1:4" x14ac:dyDescent="0.25">
      <c r="A852" t="str">
        <f>"40507063  "</f>
        <v xml:space="preserve">40507063  </v>
      </c>
      <c r="B852" t="s">
        <v>840</v>
      </c>
      <c r="C852">
        <v>471.9</v>
      </c>
      <c r="D852" t="str">
        <f t="shared" ref="D852:D857" si="34">"270"</f>
        <v>270</v>
      </c>
    </row>
    <row r="853" spans="1:4" x14ac:dyDescent="0.25">
      <c r="A853" t="str">
        <f>"40507071  "</f>
        <v xml:space="preserve">40507071  </v>
      </c>
      <c r="B853" t="s">
        <v>841</v>
      </c>
      <c r="C853">
        <v>682</v>
      </c>
      <c r="D853" t="str">
        <f t="shared" si="34"/>
        <v>270</v>
      </c>
    </row>
    <row r="854" spans="1:4" x14ac:dyDescent="0.25">
      <c r="A854" t="str">
        <f>"40507089  "</f>
        <v xml:space="preserve">40507089  </v>
      </c>
      <c r="B854" t="s">
        <v>842</v>
      </c>
      <c r="C854">
        <v>41.8</v>
      </c>
      <c r="D854" t="str">
        <f t="shared" si="34"/>
        <v>270</v>
      </c>
    </row>
    <row r="855" spans="1:4" x14ac:dyDescent="0.25">
      <c r="A855" t="str">
        <f>"40507105  "</f>
        <v xml:space="preserve">40507105  </v>
      </c>
      <c r="B855" t="s">
        <v>843</v>
      </c>
      <c r="C855">
        <v>41.8</v>
      </c>
      <c r="D855" t="str">
        <f t="shared" si="34"/>
        <v>270</v>
      </c>
    </row>
    <row r="856" spans="1:4" x14ac:dyDescent="0.25">
      <c r="A856" t="str">
        <f>"40507139  "</f>
        <v xml:space="preserve">40507139  </v>
      </c>
      <c r="B856" t="s">
        <v>844</v>
      </c>
      <c r="C856">
        <v>315.7</v>
      </c>
      <c r="D856" t="str">
        <f t="shared" si="34"/>
        <v>270</v>
      </c>
    </row>
    <row r="857" spans="1:4" x14ac:dyDescent="0.25">
      <c r="A857" t="str">
        <f>"40507154  "</f>
        <v xml:space="preserve">40507154  </v>
      </c>
      <c r="B857" t="s">
        <v>845</v>
      </c>
      <c r="C857">
        <v>40.700000000000003</v>
      </c>
      <c r="D857" t="str">
        <f t="shared" si="34"/>
        <v>270</v>
      </c>
    </row>
    <row r="858" spans="1:4" x14ac:dyDescent="0.25">
      <c r="A858" t="str">
        <f>"40507162  "</f>
        <v xml:space="preserve">40507162  </v>
      </c>
      <c r="B858" t="s">
        <v>846</v>
      </c>
      <c r="C858">
        <v>71.5</v>
      </c>
      <c r="D858" t="str">
        <f>"271"</f>
        <v>271</v>
      </c>
    </row>
    <row r="859" spans="1:4" x14ac:dyDescent="0.25">
      <c r="A859" t="str">
        <f>"40507170  "</f>
        <v xml:space="preserve">40507170  </v>
      </c>
      <c r="B859" t="s">
        <v>847</v>
      </c>
      <c r="C859">
        <v>47.3</v>
      </c>
      <c r="D859" t="str">
        <f>"271"</f>
        <v>271</v>
      </c>
    </row>
    <row r="860" spans="1:4" x14ac:dyDescent="0.25">
      <c r="A860" t="str">
        <f>"40507188  "</f>
        <v xml:space="preserve">40507188  </v>
      </c>
      <c r="B860" t="s">
        <v>848</v>
      </c>
      <c r="C860">
        <v>71.5</v>
      </c>
      <c r="D860" t="str">
        <f>"271"</f>
        <v>271</v>
      </c>
    </row>
    <row r="861" spans="1:4" x14ac:dyDescent="0.25">
      <c r="A861" t="str">
        <f>"40507196  "</f>
        <v xml:space="preserve">40507196  </v>
      </c>
      <c r="B861" t="s">
        <v>849</v>
      </c>
      <c r="C861">
        <v>577.5</v>
      </c>
      <c r="D861" t="str">
        <f>"270"</f>
        <v>270</v>
      </c>
    </row>
    <row r="862" spans="1:4" x14ac:dyDescent="0.25">
      <c r="A862" t="str">
        <f>"40507204  "</f>
        <v xml:space="preserve">40507204  </v>
      </c>
      <c r="B862" t="s">
        <v>850</v>
      </c>
      <c r="C862">
        <v>47.3</v>
      </c>
      <c r="D862" t="str">
        <f>"270"</f>
        <v>270</v>
      </c>
    </row>
    <row r="863" spans="1:4" x14ac:dyDescent="0.25">
      <c r="A863" t="str">
        <f>"40507212  "</f>
        <v xml:space="preserve">40507212  </v>
      </c>
      <c r="B863" t="s">
        <v>851</v>
      </c>
      <c r="C863">
        <v>49.5</v>
      </c>
      <c r="D863" t="str">
        <f>"270"</f>
        <v>270</v>
      </c>
    </row>
    <row r="864" spans="1:4" x14ac:dyDescent="0.25">
      <c r="A864" t="str">
        <f>"40507220  "</f>
        <v xml:space="preserve">40507220  </v>
      </c>
      <c r="B864" t="s">
        <v>852</v>
      </c>
      <c r="C864">
        <v>47.3</v>
      </c>
      <c r="D864" t="str">
        <f>"270"</f>
        <v>270</v>
      </c>
    </row>
    <row r="865" spans="1:4" x14ac:dyDescent="0.25">
      <c r="A865" t="str">
        <f>"40507246  "</f>
        <v xml:space="preserve">40507246  </v>
      </c>
      <c r="B865" t="s">
        <v>853</v>
      </c>
      <c r="C865">
        <v>137.5</v>
      </c>
      <c r="D865" t="str">
        <f>"271"</f>
        <v>271</v>
      </c>
    </row>
    <row r="866" spans="1:4" x14ac:dyDescent="0.25">
      <c r="A866" t="str">
        <f>"40507261  "</f>
        <v xml:space="preserve">40507261  </v>
      </c>
      <c r="B866" t="s">
        <v>854</v>
      </c>
      <c r="C866">
        <v>137.5</v>
      </c>
      <c r="D866" t="str">
        <f>"271"</f>
        <v>271</v>
      </c>
    </row>
    <row r="867" spans="1:4" x14ac:dyDescent="0.25">
      <c r="A867" t="str">
        <f>"40507271"</f>
        <v>40507271</v>
      </c>
      <c r="B867" t="s">
        <v>855</v>
      </c>
      <c r="C867">
        <v>88</v>
      </c>
      <c r="D867" t="str">
        <f t="shared" ref="D867:D874" si="35">"270"</f>
        <v>270</v>
      </c>
    </row>
    <row r="868" spans="1:4" x14ac:dyDescent="0.25">
      <c r="A868" t="str">
        <f>"40507287  "</f>
        <v xml:space="preserve">40507287  </v>
      </c>
      <c r="B868" t="s">
        <v>856</v>
      </c>
      <c r="C868">
        <v>41.8</v>
      </c>
      <c r="D868" t="str">
        <f t="shared" si="35"/>
        <v>270</v>
      </c>
    </row>
    <row r="869" spans="1:4" x14ac:dyDescent="0.25">
      <c r="A869" t="str">
        <f>"40507295  "</f>
        <v xml:space="preserve">40507295  </v>
      </c>
      <c r="B869" t="s">
        <v>857</v>
      </c>
      <c r="C869">
        <v>47.3</v>
      </c>
      <c r="D869" t="str">
        <f t="shared" si="35"/>
        <v>270</v>
      </c>
    </row>
    <row r="870" spans="1:4" x14ac:dyDescent="0.25">
      <c r="A870" t="str">
        <f>"40507303  "</f>
        <v xml:space="preserve">40507303  </v>
      </c>
      <c r="B870" t="s">
        <v>858</v>
      </c>
      <c r="C870">
        <v>41.8</v>
      </c>
      <c r="D870" t="str">
        <f t="shared" si="35"/>
        <v>270</v>
      </c>
    </row>
    <row r="871" spans="1:4" x14ac:dyDescent="0.25">
      <c r="A871" t="str">
        <f>"40507311  "</f>
        <v xml:space="preserve">40507311  </v>
      </c>
      <c r="B871" t="s">
        <v>859</v>
      </c>
      <c r="C871">
        <v>144.1</v>
      </c>
      <c r="D871" t="str">
        <f t="shared" si="35"/>
        <v>270</v>
      </c>
    </row>
    <row r="872" spans="1:4" x14ac:dyDescent="0.25">
      <c r="A872" t="str">
        <f>"40507329  "</f>
        <v xml:space="preserve">40507329  </v>
      </c>
      <c r="B872" t="s">
        <v>860</v>
      </c>
      <c r="C872">
        <v>794.2</v>
      </c>
      <c r="D872" t="str">
        <f t="shared" si="35"/>
        <v>270</v>
      </c>
    </row>
    <row r="873" spans="1:4" x14ac:dyDescent="0.25">
      <c r="A873" t="str">
        <f>"40507337  "</f>
        <v xml:space="preserve">40507337  </v>
      </c>
      <c r="B873" t="s">
        <v>861</v>
      </c>
      <c r="C873">
        <v>493.9</v>
      </c>
      <c r="D873" t="str">
        <f t="shared" si="35"/>
        <v>270</v>
      </c>
    </row>
    <row r="874" spans="1:4" x14ac:dyDescent="0.25">
      <c r="A874" t="str">
        <f>"40507345  "</f>
        <v xml:space="preserve">40507345  </v>
      </c>
      <c r="B874" t="s">
        <v>862</v>
      </c>
      <c r="C874">
        <v>189.2</v>
      </c>
      <c r="D874" t="str">
        <f t="shared" si="35"/>
        <v>270</v>
      </c>
    </row>
    <row r="875" spans="1:4" x14ac:dyDescent="0.25">
      <c r="A875" t="str">
        <f>"40507352  "</f>
        <v xml:space="preserve">40507352  </v>
      </c>
      <c r="B875" t="s">
        <v>863</v>
      </c>
      <c r="C875" s="1">
        <v>7700</v>
      </c>
      <c r="D875" t="str">
        <f>"278"</f>
        <v>278</v>
      </c>
    </row>
    <row r="876" spans="1:4" x14ac:dyDescent="0.25">
      <c r="A876" t="str">
        <f>"40507378  "</f>
        <v xml:space="preserve">40507378  </v>
      </c>
      <c r="B876" t="s">
        <v>864</v>
      </c>
      <c r="C876">
        <v>157.30000000000001</v>
      </c>
      <c r="D876" t="str">
        <f>"270"</f>
        <v>270</v>
      </c>
    </row>
    <row r="877" spans="1:4" x14ac:dyDescent="0.25">
      <c r="A877" t="str">
        <f>"40507394  "</f>
        <v xml:space="preserve">40507394  </v>
      </c>
      <c r="B877" t="s">
        <v>863</v>
      </c>
      <c r="C877" s="1">
        <v>1917.3</v>
      </c>
      <c r="D877" t="str">
        <f>"270"</f>
        <v>270</v>
      </c>
    </row>
    <row r="878" spans="1:4" x14ac:dyDescent="0.25">
      <c r="A878" t="str">
        <f>"40507402  "</f>
        <v xml:space="preserve">40507402  </v>
      </c>
      <c r="B878" t="s">
        <v>865</v>
      </c>
      <c r="C878">
        <v>620.4</v>
      </c>
      <c r="D878" t="str">
        <f t="shared" ref="D878:D885" si="36">"271"</f>
        <v>271</v>
      </c>
    </row>
    <row r="879" spans="1:4" x14ac:dyDescent="0.25">
      <c r="A879" t="str">
        <f>"40507428  "</f>
        <v xml:space="preserve">40507428  </v>
      </c>
      <c r="B879" t="s">
        <v>866</v>
      </c>
      <c r="C879">
        <v>308</v>
      </c>
      <c r="D879" t="str">
        <f t="shared" si="36"/>
        <v>271</v>
      </c>
    </row>
    <row r="880" spans="1:4" x14ac:dyDescent="0.25">
      <c r="A880" t="str">
        <f>"40507444  "</f>
        <v xml:space="preserve">40507444  </v>
      </c>
      <c r="B880" t="s">
        <v>867</v>
      </c>
      <c r="C880">
        <v>41.8</v>
      </c>
      <c r="D880" t="str">
        <f t="shared" si="36"/>
        <v>271</v>
      </c>
    </row>
    <row r="881" spans="1:5" x14ac:dyDescent="0.25">
      <c r="A881" t="str">
        <f>"40507469  "</f>
        <v xml:space="preserve">40507469  </v>
      </c>
      <c r="B881" t="s">
        <v>868</v>
      </c>
      <c r="C881">
        <v>41.8</v>
      </c>
      <c r="D881" t="str">
        <f t="shared" si="36"/>
        <v>271</v>
      </c>
    </row>
    <row r="882" spans="1:5" x14ac:dyDescent="0.25">
      <c r="A882" t="str">
        <f>"40507485  "</f>
        <v xml:space="preserve">40507485  </v>
      </c>
      <c r="B882" t="s">
        <v>869</v>
      </c>
      <c r="C882">
        <v>41.8</v>
      </c>
      <c r="D882" t="str">
        <f t="shared" si="36"/>
        <v>271</v>
      </c>
    </row>
    <row r="883" spans="1:5" x14ac:dyDescent="0.25">
      <c r="A883" t="str">
        <f>"40507493  "</f>
        <v xml:space="preserve">40507493  </v>
      </c>
      <c r="B883" t="s">
        <v>870</v>
      </c>
      <c r="C883">
        <v>125.4</v>
      </c>
      <c r="D883" t="str">
        <f t="shared" si="36"/>
        <v>271</v>
      </c>
    </row>
    <row r="884" spans="1:5" x14ac:dyDescent="0.25">
      <c r="A884" t="str">
        <f>"40507501  "</f>
        <v xml:space="preserve">40507501  </v>
      </c>
      <c r="B884" t="s">
        <v>871</v>
      </c>
      <c r="C884">
        <v>41.8</v>
      </c>
      <c r="D884" t="str">
        <f t="shared" si="36"/>
        <v>271</v>
      </c>
    </row>
    <row r="885" spans="1:5" x14ac:dyDescent="0.25">
      <c r="A885" t="str">
        <f>"40507519  "</f>
        <v xml:space="preserve">40507519  </v>
      </c>
      <c r="B885" t="s">
        <v>872</v>
      </c>
      <c r="C885">
        <v>125.4</v>
      </c>
      <c r="D885" t="str">
        <f t="shared" si="36"/>
        <v>271</v>
      </c>
    </row>
    <row r="886" spans="1:5" x14ac:dyDescent="0.25">
      <c r="A886" t="str">
        <f>"40507527  "</f>
        <v xml:space="preserve">40507527  </v>
      </c>
      <c r="B886" t="s">
        <v>873</v>
      </c>
      <c r="C886">
        <v>115.5</v>
      </c>
      <c r="D886" t="str">
        <f>"270"</f>
        <v>270</v>
      </c>
    </row>
    <row r="887" spans="1:5" x14ac:dyDescent="0.25">
      <c r="A887" t="str">
        <f>"40507535  "</f>
        <v xml:space="preserve">40507535  </v>
      </c>
      <c r="B887" t="s">
        <v>874</v>
      </c>
      <c r="C887">
        <v>151.80000000000001</v>
      </c>
      <c r="D887" t="str">
        <f>"270"</f>
        <v>270</v>
      </c>
    </row>
    <row r="888" spans="1:5" x14ac:dyDescent="0.25">
      <c r="A888" t="str">
        <f>"40507543  "</f>
        <v xml:space="preserve">40507543  </v>
      </c>
      <c r="B888" t="s">
        <v>875</v>
      </c>
      <c r="C888">
        <v>33</v>
      </c>
      <c r="D888" t="str">
        <f>"270"</f>
        <v>270</v>
      </c>
    </row>
    <row r="889" spans="1:5" x14ac:dyDescent="0.25">
      <c r="A889" t="str">
        <f>"40507550  "</f>
        <v xml:space="preserve">40507550  </v>
      </c>
      <c r="B889" t="s">
        <v>876</v>
      </c>
      <c r="C889">
        <v>290.39999999999998</v>
      </c>
      <c r="D889" t="str">
        <f>"270"</f>
        <v>270</v>
      </c>
    </row>
    <row r="890" spans="1:5" x14ac:dyDescent="0.25">
      <c r="A890" t="str">
        <f>"40507568  "</f>
        <v xml:space="preserve">40507568  </v>
      </c>
      <c r="B890" t="s">
        <v>877</v>
      </c>
      <c r="C890">
        <v>89.1</v>
      </c>
      <c r="D890" t="str">
        <f>"272"</f>
        <v>272</v>
      </c>
      <c r="E890" t="str">
        <f>"A4314"</f>
        <v>A4314</v>
      </c>
    </row>
    <row r="891" spans="1:5" x14ac:dyDescent="0.25">
      <c r="A891" t="str">
        <f>"40507576  "</f>
        <v xml:space="preserve">40507576  </v>
      </c>
      <c r="B891" t="s">
        <v>878</v>
      </c>
      <c r="C891">
        <v>71.5</v>
      </c>
      <c r="D891" t="str">
        <f>"271"</f>
        <v>271</v>
      </c>
    </row>
    <row r="892" spans="1:5" x14ac:dyDescent="0.25">
      <c r="A892" t="str">
        <f>"40507584  "</f>
        <v xml:space="preserve">40507584  </v>
      </c>
      <c r="B892" t="s">
        <v>879</v>
      </c>
      <c r="C892">
        <v>165</v>
      </c>
      <c r="D892" t="str">
        <f>"270"</f>
        <v>270</v>
      </c>
    </row>
    <row r="893" spans="1:5" x14ac:dyDescent="0.25">
      <c r="A893" t="str">
        <f>"40507592  "</f>
        <v xml:space="preserve">40507592  </v>
      </c>
      <c r="B893" t="s">
        <v>880</v>
      </c>
      <c r="C893">
        <v>71.5</v>
      </c>
      <c r="D893" t="str">
        <f>"271"</f>
        <v>271</v>
      </c>
    </row>
    <row r="894" spans="1:5" x14ac:dyDescent="0.25">
      <c r="A894" t="str">
        <f>"40507600  "</f>
        <v xml:space="preserve">40507600  </v>
      </c>
      <c r="B894" t="s">
        <v>881</v>
      </c>
      <c r="C894">
        <v>106.7</v>
      </c>
      <c r="D894" t="str">
        <f>"272"</f>
        <v>272</v>
      </c>
      <c r="E894" t="str">
        <f>"A4314"</f>
        <v>A4314</v>
      </c>
    </row>
    <row r="895" spans="1:5" x14ac:dyDescent="0.25">
      <c r="A895" t="str">
        <f>"40507618  "</f>
        <v xml:space="preserve">40507618  </v>
      </c>
      <c r="B895" t="s">
        <v>882</v>
      </c>
      <c r="C895">
        <v>35.200000000000003</v>
      </c>
      <c r="D895" t="str">
        <f>"270"</f>
        <v>270</v>
      </c>
    </row>
    <row r="896" spans="1:5" x14ac:dyDescent="0.25">
      <c r="A896" t="str">
        <f>"40507626  "</f>
        <v xml:space="preserve">40507626  </v>
      </c>
      <c r="B896" t="s">
        <v>883</v>
      </c>
      <c r="C896">
        <v>36.299999999999997</v>
      </c>
      <c r="D896" t="str">
        <f>"272"</f>
        <v>272</v>
      </c>
      <c r="E896" t="str">
        <f>"A4314"</f>
        <v>A4314</v>
      </c>
    </row>
    <row r="897" spans="1:5" x14ac:dyDescent="0.25">
      <c r="A897" t="str">
        <f>"40507634  "</f>
        <v xml:space="preserve">40507634  </v>
      </c>
      <c r="B897" t="s">
        <v>884</v>
      </c>
      <c r="C897">
        <v>26.4</v>
      </c>
      <c r="D897" t="str">
        <f>"270"</f>
        <v>270</v>
      </c>
    </row>
    <row r="898" spans="1:5" x14ac:dyDescent="0.25">
      <c r="A898" t="str">
        <f>"40507642  "</f>
        <v xml:space="preserve">40507642  </v>
      </c>
      <c r="B898" t="s">
        <v>885</v>
      </c>
      <c r="C898">
        <v>25.3</v>
      </c>
      <c r="D898" t="str">
        <f>"272"</f>
        <v>272</v>
      </c>
      <c r="E898" t="str">
        <f>"A4314"</f>
        <v>A4314</v>
      </c>
    </row>
    <row r="899" spans="1:5" x14ac:dyDescent="0.25">
      <c r="A899" t="str">
        <f>"40507659  "</f>
        <v xml:space="preserve">40507659  </v>
      </c>
      <c r="B899" t="s">
        <v>886</v>
      </c>
      <c r="C899" s="1">
        <v>4675</v>
      </c>
      <c r="D899" t="str">
        <f>"278"</f>
        <v>278</v>
      </c>
      <c r="E899" t="str">
        <f>"A4550"</f>
        <v>A4550</v>
      </c>
    </row>
    <row r="900" spans="1:5" x14ac:dyDescent="0.25">
      <c r="A900" t="str">
        <f>"40507667  "</f>
        <v xml:space="preserve">40507667  </v>
      </c>
      <c r="B900" t="s">
        <v>887</v>
      </c>
      <c r="C900">
        <v>44</v>
      </c>
      <c r="D900" t="str">
        <f>"272"</f>
        <v>272</v>
      </c>
      <c r="E900" t="str">
        <f>"A4314"</f>
        <v>A4314</v>
      </c>
    </row>
    <row r="901" spans="1:5" x14ac:dyDescent="0.25">
      <c r="A901" t="str">
        <f>"40507683  "</f>
        <v xml:space="preserve">40507683  </v>
      </c>
      <c r="B901" t="s">
        <v>888</v>
      </c>
      <c r="C901">
        <v>51.7</v>
      </c>
      <c r="D901" t="str">
        <f>"272"</f>
        <v>272</v>
      </c>
      <c r="E901" t="str">
        <f>"A4314"</f>
        <v>A4314</v>
      </c>
    </row>
    <row r="902" spans="1:5" x14ac:dyDescent="0.25">
      <c r="A902" t="str">
        <f>"40507691  "</f>
        <v xml:space="preserve">40507691  </v>
      </c>
      <c r="B902" t="s">
        <v>889</v>
      </c>
      <c r="C902">
        <v>47.3</v>
      </c>
      <c r="D902" t="str">
        <f>"272"</f>
        <v>272</v>
      </c>
      <c r="E902" t="str">
        <f>"A4314"</f>
        <v>A4314</v>
      </c>
    </row>
    <row r="903" spans="1:5" x14ac:dyDescent="0.25">
      <c r="A903" t="str">
        <f>"40507709  "</f>
        <v xml:space="preserve">40507709  </v>
      </c>
      <c r="B903" t="s">
        <v>890</v>
      </c>
      <c r="C903">
        <v>7.7</v>
      </c>
      <c r="D903" t="str">
        <f>"270"</f>
        <v>270</v>
      </c>
    </row>
    <row r="904" spans="1:5" x14ac:dyDescent="0.25">
      <c r="A904" t="str">
        <f>"40507717  "</f>
        <v xml:space="preserve">40507717  </v>
      </c>
      <c r="B904" t="s">
        <v>891</v>
      </c>
      <c r="C904">
        <v>264</v>
      </c>
      <c r="D904" t="str">
        <f>"270"</f>
        <v>270</v>
      </c>
    </row>
    <row r="905" spans="1:5" x14ac:dyDescent="0.25">
      <c r="A905" t="str">
        <f>"40507725  "</f>
        <v xml:space="preserve">40507725  </v>
      </c>
      <c r="B905" t="s">
        <v>892</v>
      </c>
      <c r="C905">
        <v>14.3</v>
      </c>
      <c r="D905" t="str">
        <f>"271"</f>
        <v>271</v>
      </c>
    </row>
    <row r="906" spans="1:5" x14ac:dyDescent="0.25">
      <c r="A906" t="str">
        <f>"40507741  "</f>
        <v xml:space="preserve">40507741  </v>
      </c>
      <c r="B906" t="s">
        <v>893</v>
      </c>
      <c r="C906">
        <v>8.8000000000000007</v>
      </c>
      <c r="D906" t="str">
        <f>"270"</f>
        <v>270</v>
      </c>
    </row>
    <row r="907" spans="1:5" x14ac:dyDescent="0.25">
      <c r="A907" t="str">
        <f>"40507766  "</f>
        <v xml:space="preserve">40507766  </v>
      </c>
      <c r="B907" t="s">
        <v>894</v>
      </c>
      <c r="C907">
        <v>12.1</v>
      </c>
      <c r="D907" t="str">
        <f>"270"</f>
        <v>270</v>
      </c>
    </row>
    <row r="908" spans="1:5" x14ac:dyDescent="0.25">
      <c r="A908" t="str">
        <f>"40507780"</f>
        <v>40507780</v>
      </c>
      <c r="B908" t="s">
        <v>895</v>
      </c>
      <c r="C908">
        <v>53.9</v>
      </c>
      <c r="D908" t="str">
        <f>"270"</f>
        <v>270</v>
      </c>
    </row>
    <row r="909" spans="1:5" x14ac:dyDescent="0.25">
      <c r="A909" t="str">
        <f>"40507782  "</f>
        <v xml:space="preserve">40507782  </v>
      </c>
      <c r="B909" t="s">
        <v>896</v>
      </c>
      <c r="C909">
        <v>28.6</v>
      </c>
      <c r="D909" t="str">
        <f>"270"</f>
        <v>270</v>
      </c>
      <c r="E909" t="str">
        <f>"00099"</f>
        <v>00099</v>
      </c>
    </row>
    <row r="910" spans="1:5" x14ac:dyDescent="0.25">
      <c r="A910" t="str">
        <f>"40507808  "</f>
        <v xml:space="preserve">40507808  </v>
      </c>
      <c r="B910" t="s">
        <v>897</v>
      </c>
      <c r="C910">
        <v>24.2</v>
      </c>
      <c r="D910" t="str">
        <f>"272"</f>
        <v>272</v>
      </c>
      <c r="E910" t="str">
        <f>"A4310"</f>
        <v>A4310</v>
      </c>
    </row>
    <row r="911" spans="1:5" x14ac:dyDescent="0.25">
      <c r="A911" t="str">
        <f>"40507824  "</f>
        <v xml:space="preserve">40507824  </v>
      </c>
      <c r="B911" t="s">
        <v>898</v>
      </c>
      <c r="C911">
        <v>49.5</v>
      </c>
      <c r="D911" t="str">
        <f>"271"</f>
        <v>271</v>
      </c>
      <c r="E911" t="str">
        <f>"A4357"</f>
        <v>A4357</v>
      </c>
    </row>
    <row r="912" spans="1:5" x14ac:dyDescent="0.25">
      <c r="A912" t="str">
        <f>"40507840  "</f>
        <v xml:space="preserve">40507840  </v>
      </c>
      <c r="B912" t="s">
        <v>899</v>
      </c>
      <c r="C912">
        <v>27.5</v>
      </c>
      <c r="D912" t="str">
        <f>"271"</f>
        <v>271</v>
      </c>
      <c r="E912" t="str">
        <f>"A4335"</f>
        <v>A4335</v>
      </c>
    </row>
    <row r="913" spans="1:4" x14ac:dyDescent="0.25">
      <c r="A913" t="str">
        <f>"40507857  "</f>
        <v xml:space="preserve">40507857  </v>
      </c>
      <c r="B913" t="s">
        <v>900</v>
      </c>
      <c r="C913">
        <v>389.4</v>
      </c>
      <c r="D913" t="str">
        <f>"270"</f>
        <v>270</v>
      </c>
    </row>
    <row r="914" spans="1:4" x14ac:dyDescent="0.25">
      <c r="A914" t="str">
        <f>"40507865  "</f>
        <v xml:space="preserve">40507865  </v>
      </c>
      <c r="B914" t="s">
        <v>901</v>
      </c>
      <c r="C914">
        <v>49.5</v>
      </c>
      <c r="D914" t="str">
        <f>"270"</f>
        <v>270</v>
      </c>
    </row>
    <row r="915" spans="1:4" x14ac:dyDescent="0.25">
      <c r="A915" t="str">
        <f>"40507873  "</f>
        <v xml:space="preserve">40507873  </v>
      </c>
      <c r="B915" t="s">
        <v>902</v>
      </c>
      <c r="C915">
        <v>58.3</v>
      </c>
      <c r="D915" t="str">
        <f>"270"</f>
        <v>270</v>
      </c>
    </row>
    <row r="916" spans="1:4" x14ac:dyDescent="0.25">
      <c r="A916" t="str">
        <f>"40507881  "</f>
        <v xml:space="preserve">40507881  </v>
      </c>
      <c r="B916" t="s">
        <v>903</v>
      </c>
      <c r="C916">
        <v>49.5</v>
      </c>
      <c r="D916" t="str">
        <f>"270"</f>
        <v>270</v>
      </c>
    </row>
    <row r="917" spans="1:4" x14ac:dyDescent="0.25">
      <c r="A917" t="str">
        <f>"40507907  "</f>
        <v xml:space="preserve">40507907  </v>
      </c>
      <c r="B917" t="s">
        <v>904</v>
      </c>
      <c r="C917">
        <v>306.89999999999998</v>
      </c>
      <c r="D917" t="str">
        <f>"271"</f>
        <v>271</v>
      </c>
    </row>
    <row r="918" spans="1:4" x14ac:dyDescent="0.25">
      <c r="A918" t="str">
        <f>"40507923  "</f>
        <v xml:space="preserve">40507923  </v>
      </c>
      <c r="B918" t="s">
        <v>905</v>
      </c>
      <c r="C918">
        <v>17.600000000000001</v>
      </c>
      <c r="D918" t="str">
        <f t="shared" ref="D918:D934" si="37">"270"</f>
        <v>270</v>
      </c>
    </row>
    <row r="919" spans="1:4" x14ac:dyDescent="0.25">
      <c r="A919" t="str">
        <f>"40507931  "</f>
        <v xml:space="preserve">40507931  </v>
      </c>
      <c r="B919" t="s">
        <v>906</v>
      </c>
      <c r="C919">
        <v>869</v>
      </c>
      <c r="D919" t="str">
        <f t="shared" si="37"/>
        <v>270</v>
      </c>
    </row>
    <row r="920" spans="1:4" x14ac:dyDescent="0.25">
      <c r="A920" t="str">
        <f>"40507956  "</f>
        <v xml:space="preserve">40507956  </v>
      </c>
      <c r="B920" t="s">
        <v>907</v>
      </c>
      <c r="C920">
        <v>957</v>
      </c>
      <c r="D920" t="str">
        <f t="shared" si="37"/>
        <v>270</v>
      </c>
    </row>
    <row r="921" spans="1:4" x14ac:dyDescent="0.25">
      <c r="A921" t="str">
        <f>"40507979"</f>
        <v>40507979</v>
      </c>
      <c r="B921" t="s">
        <v>908</v>
      </c>
      <c r="C921">
        <v>53.9</v>
      </c>
      <c r="D921" t="str">
        <f t="shared" si="37"/>
        <v>270</v>
      </c>
    </row>
    <row r="922" spans="1:4" x14ac:dyDescent="0.25">
      <c r="A922" t="str">
        <f>"40507980  "</f>
        <v xml:space="preserve">40507980  </v>
      </c>
      <c r="B922" t="s">
        <v>909</v>
      </c>
      <c r="C922">
        <v>41.8</v>
      </c>
      <c r="D922" t="str">
        <f t="shared" si="37"/>
        <v>270</v>
      </c>
    </row>
    <row r="923" spans="1:4" x14ac:dyDescent="0.25">
      <c r="A923" t="str">
        <f>"40507988"</f>
        <v>40507988</v>
      </c>
      <c r="B923" t="s">
        <v>910</v>
      </c>
      <c r="C923">
        <v>53.9</v>
      </c>
      <c r="D923" t="str">
        <f t="shared" si="37"/>
        <v>270</v>
      </c>
    </row>
    <row r="924" spans="1:4" x14ac:dyDescent="0.25">
      <c r="A924" t="str">
        <f>"40507990"</f>
        <v>40507990</v>
      </c>
      <c r="B924" t="s">
        <v>911</v>
      </c>
      <c r="C924">
        <v>53.9</v>
      </c>
      <c r="D924" t="str">
        <f t="shared" si="37"/>
        <v>270</v>
      </c>
    </row>
    <row r="925" spans="1:4" x14ac:dyDescent="0.25">
      <c r="A925" t="str">
        <f>"40507998"</f>
        <v>40507998</v>
      </c>
      <c r="B925" t="s">
        <v>912</v>
      </c>
      <c r="C925">
        <v>138.6</v>
      </c>
      <c r="D925" t="str">
        <f t="shared" si="37"/>
        <v>270</v>
      </c>
    </row>
    <row r="926" spans="1:4" x14ac:dyDescent="0.25">
      <c r="A926" t="str">
        <f>"40508004  "</f>
        <v xml:space="preserve">40508004  </v>
      </c>
      <c r="B926" t="s">
        <v>913</v>
      </c>
      <c r="C926">
        <v>17.600000000000001</v>
      </c>
      <c r="D926" t="str">
        <f t="shared" si="37"/>
        <v>270</v>
      </c>
    </row>
    <row r="927" spans="1:4" x14ac:dyDescent="0.25">
      <c r="A927" t="str">
        <f>"40508012  "</f>
        <v xml:space="preserve">40508012  </v>
      </c>
      <c r="B927" t="s">
        <v>914</v>
      </c>
      <c r="C927">
        <v>29.7</v>
      </c>
      <c r="D927" t="str">
        <f t="shared" si="37"/>
        <v>270</v>
      </c>
    </row>
    <row r="928" spans="1:4" x14ac:dyDescent="0.25">
      <c r="A928" t="str">
        <f>"40508038  "</f>
        <v xml:space="preserve">40508038  </v>
      </c>
      <c r="B928" t="s">
        <v>915</v>
      </c>
      <c r="C928">
        <v>25.3</v>
      </c>
      <c r="D928" t="str">
        <f t="shared" si="37"/>
        <v>270</v>
      </c>
    </row>
    <row r="929" spans="1:4" x14ac:dyDescent="0.25">
      <c r="A929" t="str">
        <f>"40508046  "</f>
        <v xml:space="preserve">40508046  </v>
      </c>
      <c r="B929" t="s">
        <v>916</v>
      </c>
      <c r="C929">
        <v>25.3</v>
      </c>
      <c r="D929" t="str">
        <f t="shared" si="37"/>
        <v>270</v>
      </c>
    </row>
    <row r="930" spans="1:4" x14ac:dyDescent="0.25">
      <c r="A930" t="str">
        <f>"40508053  "</f>
        <v xml:space="preserve">40508053  </v>
      </c>
      <c r="B930" t="s">
        <v>917</v>
      </c>
      <c r="C930">
        <v>121</v>
      </c>
      <c r="D930" t="str">
        <f t="shared" si="37"/>
        <v>270</v>
      </c>
    </row>
    <row r="931" spans="1:4" x14ac:dyDescent="0.25">
      <c r="A931" t="str">
        <f>"40508079  "</f>
        <v xml:space="preserve">40508079  </v>
      </c>
      <c r="B931" t="s">
        <v>918</v>
      </c>
      <c r="C931">
        <v>289.3</v>
      </c>
      <c r="D931" t="str">
        <f t="shared" si="37"/>
        <v>270</v>
      </c>
    </row>
    <row r="932" spans="1:4" x14ac:dyDescent="0.25">
      <c r="A932" t="str">
        <f>"40508103  "</f>
        <v xml:space="preserve">40508103  </v>
      </c>
      <c r="B932" t="s">
        <v>919</v>
      </c>
      <c r="C932">
        <v>342.1</v>
      </c>
      <c r="D932" t="str">
        <f t="shared" si="37"/>
        <v>270</v>
      </c>
    </row>
    <row r="933" spans="1:4" x14ac:dyDescent="0.25">
      <c r="A933" t="str">
        <f>"40508129  "</f>
        <v xml:space="preserve">40508129  </v>
      </c>
      <c r="B933" t="s">
        <v>920</v>
      </c>
      <c r="C933">
        <v>227.7</v>
      </c>
      <c r="D933" t="str">
        <f t="shared" si="37"/>
        <v>270</v>
      </c>
    </row>
    <row r="934" spans="1:4" x14ac:dyDescent="0.25">
      <c r="A934" t="str">
        <f>"40508137  "</f>
        <v xml:space="preserve">40508137  </v>
      </c>
      <c r="B934" t="s">
        <v>921</v>
      </c>
      <c r="C934">
        <v>12.1</v>
      </c>
      <c r="D934" t="str">
        <f t="shared" si="37"/>
        <v>270</v>
      </c>
    </row>
    <row r="935" spans="1:4" x14ac:dyDescent="0.25">
      <c r="A935" t="str">
        <f>"40508145  "</f>
        <v xml:space="preserve">40508145  </v>
      </c>
      <c r="B935" t="s">
        <v>922</v>
      </c>
      <c r="C935">
        <v>513.70000000000005</v>
      </c>
      <c r="D935" t="str">
        <f>"272"</f>
        <v>272</v>
      </c>
    </row>
    <row r="936" spans="1:4" x14ac:dyDescent="0.25">
      <c r="A936" t="str">
        <f>"40508152  "</f>
        <v xml:space="preserve">40508152  </v>
      </c>
      <c r="B936" t="s">
        <v>923</v>
      </c>
      <c r="C936">
        <v>115.5</v>
      </c>
      <c r="D936" t="str">
        <f>"270"</f>
        <v>270</v>
      </c>
    </row>
    <row r="937" spans="1:4" x14ac:dyDescent="0.25">
      <c r="A937" t="str">
        <f>"40508160  "</f>
        <v xml:space="preserve">40508160  </v>
      </c>
      <c r="B937" t="s">
        <v>924</v>
      </c>
      <c r="C937">
        <v>22</v>
      </c>
      <c r="D937" t="str">
        <f>"270"</f>
        <v>270</v>
      </c>
    </row>
    <row r="938" spans="1:4" x14ac:dyDescent="0.25">
      <c r="A938" t="str">
        <f>"40508178  "</f>
        <v xml:space="preserve">40508178  </v>
      </c>
      <c r="B938" t="s">
        <v>925</v>
      </c>
      <c r="C938">
        <v>7.7</v>
      </c>
      <c r="D938" t="str">
        <f>"270"</f>
        <v>270</v>
      </c>
    </row>
    <row r="939" spans="1:4" x14ac:dyDescent="0.25">
      <c r="A939" t="str">
        <f>"40508186  "</f>
        <v xml:space="preserve">40508186  </v>
      </c>
      <c r="B939" t="s">
        <v>926</v>
      </c>
      <c r="C939">
        <v>270.60000000000002</v>
      </c>
      <c r="D939" t="str">
        <f>"270"</f>
        <v>270</v>
      </c>
    </row>
    <row r="940" spans="1:4" x14ac:dyDescent="0.25">
      <c r="A940" t="str">
        <f>"40508194  "</f>
        <v xml:space="preserve">40508194  </v>
      </c>
      <c r="B940" t="s">
        <v>927</v>
      </c>
      <c r="C940">
        <v>22</v>
      </c>
      <c r="D940" t="str">
        <f>"271"</f>
        <v>271</v>
      </c>
    </row>
    <row r="941" spans="1:4" x14ac:dyDescent="0.25">
      <c r="A941" t="str">
        <f>"40508210  "</f>
        <v xml:space="preserve">40508210  </v>
      </c>
      <c r="B941" t="s">
        <v>928</v>
      </c>
      <c r="C941">
        <v>41.8</v>
      </c>
      <c r="D941" t="str">
        <f t="shared" ref="D941:D946" si="38">"270"</f>
        <v>270</v>
      </c>
    </row>
    <row r="942" spans="1:4" x14ac:dyDescent="0.25">
      <c r="A942" t="str">
        <f>"40508236  "</f>
        <v xml:space="preserve">40508236  </v>
      </c>
      <c r="B942" t="s">
        <v>929</v>
      </c>
      <c r="C942">
        <v>25.3</v>
      </c>
      <c r="D942" t="str">
        <f t="shared" si="38"/>
        <v>270</v>
      </c>
    </row>
    <row r="943" spans="1:4" x14ac:dyDescent="0.25">
      <c r="A943" t="str">
        <f>"40508251  "</f>
        <v xml:space="preserve">40508251  </v>
      </c>
      <c r="B943" t="s">
        <v>930</v>
      </c>
      <c r="C943">
        <v>156.19999999999999</v>
      </c>
      <c r="D943" t="str">
        <f t="shared" si="38"/>
        <v>270</v>
      </c>
    </row>
    <row r="944" spans="1:4" x14ac:dyDescent="0.25">
      <c r="A944" t="str">
        <f>"40508269  "</f>
        <v xml:space="preserve">40508269  </v>
      </c>
      <c r="B944" t="s">
        <v>931</v>
      </c>
      <c r="C944">
        <v>47.3</v>
      </c>
      <c r="D944" t="str">
        <f t="shared" si="38"/>
        <v>270</v>
      </c>
    </row>
    <row r="945" spans="1:5" x14ac:dyDescent="0.25">
      <c r="A945" t="str">
        <f>"40508277  "</f>
        <v xml:space="preserve">40508277  </v>
      </c>
      <c r="B945" t="s">
        <v>932</v>
      </c>
      <c r="C945">
        <v>22</v>
      </c>
      <c r="D945" t="str">
        <f t="shared" si="38"/>
        <v>270</v>
      </c>
    </row>
    <row r="946" spans="1:5" x14ac:dyDescent="0.25">
      <c r="A946" t="str">
        <f>"40508285  "</f>
        <v xml:space="preserve">40508285  </v>
      </c>
      <c r="B946" t="s">
        <v>933</v>
      </c>
      <c r="C946">
        <v>71.5</v>
      </c>
      <c r="D946" t="str">
        <f t="shared" si="38"/>
        <v>270</v>
      </c>
    </row>
    <row r="947" spans="1:5" x14ac:dyDescent="0.25">
      <c r="A947" t="str">
        <f>"40508293  "</f>
        <v xml:space="preserve">40508293  </v>
      </c>
      <c r="B947" t="s">
        <v>934</v>
      </c>
      <c r="C947">
        <v>138.6</v>
      </c>
      <c r="D947" t="str">
        <f>"271"</f>
        <v>271</v>
      </c>
      <c r="E947" t="str">
        <f>"A7521"</f>
        <v>A7521</v>
      </c>
    </row>
    <row r="948" spans="1:5" x14ac:dyDescent="0.25">
      <c r="A948" t="str">
        <f>"40508301  "</f>
        <v xml:space="preserve">40508301  </v>
      </c>
      <c r="B948" t="s">
        <v>935</v>
      </c>
      <c r="C948">
        <v>71.5</v>
      </c>
      <c r="D948" t="str">
        <f t="shared" ref="D948:D953" si="39">"270"</f>
        <v>270</v>
      </c>
    </row>
    <row r="949" spans="1:5" x14ac:dyDescent="0.25">
      <c r="A949" t="str">
        <f>"40508319  "</f>
        <v xml:space="preserve">40508319  </v>
      </c>
      <c r="B949" t="s">
        <v>936</v>
      </c>
      <c r="C949">
        <v>15.4</v>
      </c>
      <c r="D949" t="str">
        <f t="shared" si="39"/>
        <v>270</v>
      </c>
      <c r="E949" t="str">
        <f>"A4623"</f>
        <v>A4623</v>
      </c>
    </row>
    <row r="950" spans="1:5" x14ac:dyDescent="0.25">
      <c r="A950" t="str">
        <f>"40508327  "</f>
        <v xml:space="preserve">40508327  </v>
      </c>
      <c r="B950" t="s">
        <v>937</v>
      </c>
      <c r="C950">
        <v>17.600000000000001</v>
      </c>
      <c r="D950" t="str">
        <f t="shared" si="39"/>
        <v>270</v>
      </c>
    </row>
    <row r="951" spans="1:5" x14ac:dyDescent="0.25">
      <c r="A951" t="str">
        <f>"40508343  "</f>
        <v xml:space="preserve">40508343  </v>
      </c>
      <c r="B951" t="s">
        <v>938</v>
      </c>
      <c r="C951">
        <v>41.8</v>
      </c>
      <c r="D951" t="str">
        <f t="shared" si="39"/>
        <v>270</v>
      </c>
    </row>
    <row r="952" spans="1:5" x14ac:dyDescent="0.25">
      <c r="A952" t="str">
        <f>"40508350  "</f>
        <v xml:space="preserve">40508350  </v>
      </c>
      <c r="B952" t="s">
        <v>939</v>
      </c>
      <c r="C952">
        <v>60.5</v>
      </c>
      <c r="D952" t="str">
        <f t="shared" si="39"/>
        <v>270</v>
      </c>
    </row>
    <row r="953" spans="1:5" x14ac:dyDescent="0.25">
      <c r="A953" t="str">
        <f>"40508376  "</f>
        <v xml:space="preserve">40508376  </v>
      </c>
      <c r="B953" t="s">
        <v>940</v>
      </c>
      <c r="C953" s="1">
        <v>1988.8</v>
      </c>
      <c r="D953" t="str">
        <f t="shared" si="39"/>
        <v>270</v>
      </c>
    </row>
    <row r="954" spans="1:5" x14ac:dyDescent="0.25">
      <c r="A954" t="str">
        <f>"40508384  "</f>
        <v xml:space="preserve">40508384  </v>
      </c>
      <c r="B954" t="s">
        <v>941</v>
      </c>
      <c r="C954">
        <v>13.2</v>
      </c>
      <c r="D954" t="str">
        <f>"271"</f>
        <v>271</v>
      </c>
    </row>
    <row r="955" spans="1:5" x14ac:dyDescent="0.25">
      <c r="A955" t="str">
        <f>"40508392  "</f>
        <v xml:space="preserve">40508392  </v>
      </c>
      <c r="B955" t="s">
        <v>942</v>
      </c>
      <c r="C955">
        <v>9.9</v>
      </c>
      <c r="D955" t="str">
        <f>"270"</f>
        <v>270</v>
      </c>
    </row>
    <row r="956" spans="1:5" x14ac:dyDescent="0.25">
      <c r="A956" t="str">
        <f>"40508400  "</f>
        <v xml:space="preserve">40508400  </v>
      </c>
      <c r="B956" t="s">
        <v>943</v>
      </c>
      <c r="C956">
        <v>13.2</v>
      </c>
      <c r="D956" t="str">
        <f>"271"</f>
        <v>271</v>
      </c>
    </row>
    <row r="957" spans="1:5" x14ac:dyDescent="0.25">
      <c r="A957" t="str">
        <f>"40508418  "</f>
        <v xml:space="preserve">40508418  </v>
      </c>
      <c r="B957" t="s">
        <v>944</v>
      </c>
      <c r="C957" s="1">
        <v>1118.7</v>
      </c>
      <c r="D957" t="str">
        <f>"270"</f>
        <v>270</v>
      </c>
    </row>
    <row r="958" spans="1:5" x14ac:dyDescent="0.25">
      <c r="A958" t="str">
        <f>"40508426  "</f>
        <v xml:space="preserve">40508426  </v>
      </c>
      <c r="B958" t="s">
        <v>945</v>
      </c>
      <c r="C958">
        <v>2.2000000000000002</v>
      </c>
      <c r="D958" t="str">
        <f>"271"</f>
        <v>271</v>
      </c>
    </row>
    <row r="959" spans="1:5" x14ac:dyDescent="0.25">
      <c r="A959" t="str">
        <f>"40508434  "</f>
        <v xml:space="preserve">40508434  </v>
      </c>
      <c r="B959" t="s">
        <v>946</v>
      </c>
      <c r="C959">
        <v>80.3</v>
      </c>
      <c r="D959" t="str">
        <f>"270"</f>
        <v>270</v>
      </c>
    </row>
    <row r="960" spans="1:5" x14ac:dyDescent="0.25">
      <c r="A960" t="str">
        <f>"40508442  "</f>
        <v xml:space="preserve">40508442  </v>
      </c>
      <c r="B960" t="s">
        <v>947</v>
      </c>
      <c r="C960">
        <v>2.2000000000000002</v>
      </c>
      <c r="D960" t="str">
        <f>"271"</f>
        <v>271</v>
      </c>
    </row>
    <row r="961" spans="1:4" x14ac:dyDescent="0.25">
      <c r="A961" t="str">
        <f>"40508459  "</f>
        <v xml:space="preserve">40508459  </v>
      </c>
      <c r="B961" t="s">
        <v>948</v>
      </c>
      <c r="C961">
        <v>93.5</v>
      </c>
      <c r="D961" t="str">
        <f>"270"</f>
        <v>270</v>
      </c>
    </row>
    <row r="962" spans="1:4" x14ac:dyDescent="0.25">
      <c r="A962" t="str">
        <f>"40508467  "</f>
        <v xml:space="preserve">40508467  </v>
      </c>
      <c r="B962" t="s">
        <v>949</v>
      </c>
      <c r="C962">
        <v>3.3</v>
      </c>
      <c r="D962" t="str">
        <f>"270"</f>
        <v>270</v>
      </c>
    </row>
    <row r="963" spans="1:4" x14ac:dyDescent="0.25">
      <c r="A963" t="str">
        <f>"40508475  "</f>
        <v xml:space="preserve">40508475  </v>
      </c>
      <c r="B963" t="s">
        <v>950</v>
      </c>
      <c r="C963">
        <v>267.3</v>
      </c>
      <c r="D963" t="str">
        <f>"270"</f>
        <v>270</v>
      </c>
    </row>
    <row r="964" spans="1:4" x14ac:dyDescent="0.25">
      <c r="A964" t="str">
        <f>"40508483  "</f>
        <v xml:space="preserve">40508483  </v>
      </c>
      <c r="B964" t="s">
        <v>951</v>
      </c>
      <c r="C964">
        <v>66</v>
      </c>
      <c r="D964" t="str">
        <f>"271"</f>
        <v>271</v>
      </c>
    </row>
    <row r="965" spans="1:4" x14ac:dyDescent="0.25">
      <c r="A965" t="str">
        <f>"40508491  "</f>
        <v xml:space="preserve">40508491  </v>
      </c>
      <c r="B965" t="s">
        <v>952</v>
      </c>
      <c r="C965">
        <v>159.5</v>
      </c>
      <c r="D965" t="str">
        <f>"270"</f>
        <v>270</v>
      </c>
    </row>
    <row r="966" spans="1:4" x14ac:dyDescent="0.25">
      <c r="A966" t="str">
        <f>"40508509  "</f>
        <v xml:space="preserve">40508509  </v>
      </c>
      <c r="B966" t="s">
        <v>953</v>
      </c>
      <c r="C966">
        <v>19.8</v>
      </c>
      <c r="D966" t="str">
        <f>"270"</f>
        <v>270</v>
      </c>
    </row>
    <row r="967" spans="1:4" x14ac:dyDescent="0.25">
      <c r="A967" t="str">
        <f>"40508517  "</f>
        <v xml:space="preserve">40508517  </v>
      </c>
      <c r="B967" t="s">
        <v>954</v>
      </c>
      <c r="C967">
        <v>223.3</v>
      </c>
      <c r="D967" t="str">
        <f>"270"</f>
        <v>270</v>
      </c>
    </row>
    <row r="968" spans="1:4" x14ac:dyDescent="0.25">
      <c r="A968" t="str">
        <f>"40508525  "</f>
        <v xml:space="preserve">40508525  </v>
      </c>
      <c r="B968" t="s">
        <v>955</v>
      </c>
      <c r="C968">
        <v>51.7</v>
      </c>
      <c r="D968" t="str">
        <f>"271"</f>
        <v>271</v>
      </c>
    </row>
    <row r="969" spans="1:4" x14ac:dyDescent="0.25">
      <c r="A969" t="str">
        <f>"40508533  "</f>
        <v xml:space="preserve">40508533  </v>
      </c>
      <c r="B969" t="s">
        <v>956</v>
      </c>
      <c r="C969">
        <v>31.9</v>
      </c>
      <c r="D969" t="str">
        <f t="shared" ref="D969:D977" si="40">"270"</f>
        <v>270</v>
      </c>
    </row>
    <row r="970" spans="1:4" x14ac:dyDescent="0.25">
      <c r="A970" t="str">
        <f>"40508541  "</f>
        <v xml:space="preserve">40508541  </v>
      </c>
      <c r="B970" t="s">
        <v>957</v>
      </c>
      <c r="C970">
        <v>72.599999999999994</v>
      </c>
      <c r="D970" t="str">
        <f t="shared" si="40"/>
        <v>270</v>
      </c>
    </row>
    <row r="971" spans="1:4" x14ac:dyDescent="0.25">
      <c r="A971" t="str">
        <f>"40508566  "</f>
        <v xml:space="preserve">40508566  </v>
      </c>
      <c r="B971" t="s">
        <v>958</v>
      </c>
      <c r="C971">
        <v>8.8000000000000007</v>
      </c>
      <c r="D971" t="str">
        <f t="shared" si="40"/>
        <v>270</v>
      </c>
    </row>
    <row r="972" spans="1:4" x14ac:dyDescent="0.25">
      <c r="A972" t="str">
        <f>"40508574  "</f>
        <v xml:space="preserve">40508574  </v>
      </c>
      <c r="B972" t="s">
        <v>959</v>
      </c>
      <c r="C972">
        <v>85.8</v>
      </c>
      <c r="D972" t="str">
        <f t="shared" si="40"/>
        <v>270</v>
      </c>
    </row>
    <row r="973" spans="1:4" x14ac:dyDescent="0.25">
      <c r="A973" t="str">
        <f>"40508582  "</f>
        <v xml:space="preserve">40508582  </v>
      </c>
      <c r="B973" t="s">
        <v>960</v>
      </c>
      <c r="C973">
        <v>27.5</v>
      </c>
      <c r="D973" t="str">
        <f t="shared" si="40"/>
        <v>270</v>
      </c>
    </row>
    <row r="974" spans="1:4" x14ac:dyDescent="0.25">
      <c r="A974" t="str">
        <f>"40508590  "</f>
        <v xml:space="preserve">40508590  </v>
      </c>
      <c r="B974" t="s">
        <v>961</v>
      </c>
      <c r="C974" s="1">
        <v>1210</v>
      </c>
      <c r="D974" t="str">
        <f t="shared" si="40"/>
        <v>270</v>
      </c>
    </row>
    <row r="975" spans="1:4" x14ac:dyDescent="0.25">
      <c r="A975" t="str">
        <f>"40508608  "</f>
        <v xml:space="preserve">40508608  </v>
      </c>
      <c r="B975" t="s">
        <v>962</v>
      </c>
      <c r="C975">
        <v>2.2000000000000002</v>
      </c>
      <c r="D975" t="str">
        <f t="shared" si="40"/>
        <v>270</v>
      </c>
    </row>
    <row r="976" spans="1:4" x14ac:dyDescent="0.25">
      <c r="A976" t="str">
        <f>"40508616  "</f>
        <v xml:space="preserve">40508616  </v>
      </c>
      <c r="B976" t="s">
        <v>963</v>
      </c>
      <c r="C976">
        <v>1.1000000000000001</v>
      </c>
      <c r="D976" t="str">
        <f t="shared" si="40"/>
        <v>270</v>
      </c>
    </row>
    <row r="977" spans="1:5" x14ac:dyDescent="0.25">
      <c r="A977" t="str">
        <f>"40508624  "</f>
        <v xml:space="preserve">40508624  </v>
      </c>
      <c r="B977" t="s">
        <v>964</v>
      </c>
      <c r="C977">
        <v>45.1</v>
      </c>
      <c r="D977" t="str">
        <f t="shared" si="40"/>
        <v>270</v>
      </c>
    </row>
    <row r="978" spans="1:5" x14ac:dyDescent="0.25">
      <c r="A978" t="str">
        <f>"40508657  "</f>
        <v xml:space="preserve">40508657  </v>
      </c>
      <c r="B978" t="s">
        <v>965</v>
      </c>
      <c r="C978">
        <v>22</v>
      </c>
      <c r="D978" t="str">
        <f>"271"</f>
        <v>271</v>
      </c>
    </row>
    <row r="979" spans="1:5" x14ac:dyDescent="0.25">
      <c r="A979" t="str">
        <f>"40508665  "</f>
        <v xml:space="preserve">40508665  </v>
      </c>
      <c r="B979" t="s">
        <v>966</v>
      </c>
      <c r="C979">
        <v>3.3</v>
      </c>
      <c r="D979" t="str">
        <f>"270"</f>
        <v>270</v>
      </c>
    </row>
    <row r="980" spans="1:5" x14ac:dyDescent="0.25">
      <c r="A980" t="str">
        <f>"40508673  "</f>
        <v xml:space="preserve">40508673  </v>
      </c>
      <c r="B980" t="s">
        <v>967</v>
      </c>
      <c r="C980">
        <v>28.6</v>
      </c>
      <c r="D980" t="str">
        <f>"270"</f>
        <v>270</v>
      </c>
    </row>
    <row r="981" spans="1:5" x14ac:dyDescent="0.25">
      <c r="A981" t="str">
        <f>"40508681  "</f>
        <v xml:space="preserve">40508681  </v>
      </c>
      <c r="B981" t="s">
        <v>968</v>
      </c>
      <c r="C981">
        <v>7.7</v>
      </c>
      <c r="D981" t="str">
        <f>"270"</f>
        <v>270</v>
      </c>
    </row>
    <row r="982" spans="1:5" x14ac:dyDescent="0.25">
      <c r="A982" t="str">
        <f>"40508681  "</f>
        <v xml:space="preserve">40508681  </v>
      </c>
      <c r="B982" t="s">
        <v>968</v>
      </c>
      <c r="C982">
        <v>7.7</v>
      </c>
      <c r="D982" t="str">
        <f>"270"</f>
        <v>270</v>
      </c>
    </row>
    <row r="983" spans="1:5" x14ac:dyDescent="0.25">
      <c r="A983" t="str">
        <f>"40508699  "</f>
        <v xml:space="preserve">40508699  </v>
      </c>
      <c r="B983" t="s">
        <v>969</v>
      </c>
      <c r="C983">
        <v>29.7</v>
      </c>
      <c r="D983" t="str">
        <f>"270"</f>
        <v>270</v>
      </c>
    </row>
    <row r="984" spans="1:5" x14ac:dyDescent="0.25">
      <c r="A984" t="str">
        <f>"40508707  "</f>
        <v xml:space="preserve">40508707  </v>
      </c>
      <c r="B984" t="s">
        <v>970</v>
      </c>
      <c r="C984">
        <v>22</v>
      </c>
      <c r="D984" t="str">
        <f>"271"</f>
        <v>271</v>
      </c>
      <c r="E984" t="str">
        <f>"A4362"</f>
        <v>A4362</v>
      </c>
    </row>
    <row r="985" spans="1:5" x14ac:dyDescent="0.25">
      <c r="A985" t="str">
        <f>"40508715  "</f>
        <v xml:space="preserve">40508715  </v>
      </c>
      <c r="B985" t="s">
        <v>971</v>
      </c>
      <c r="C985">
        <v>12.1</v>
      </c>
      <c r="D985" t="str">
        <f>"271"</f>
        <v>271</v>
      </c>
    </row>
    <row r="986" spans="1:5" x14ac:dyDescent="0.25">
      <c r="A986" t="str">
        <f>"40508749  "</f>
        <v xml:space="preserve">40508749  </v>
      </c>
      <c r="B986" t="s">
        <v>972</v>
      </c>
      <c r="C986">
        <v>71.5</v>
      </c>
      <c r="D986" t="str">
        <f t="shared" ref="D986:D995" si="41">"270"</f>
        <v>270</v>
      </c>
    </row>
    <row r="987" spans="1:5" x14ac:dyDescent="0.25">
      <c r="A987" t="str">
        <f>"40508764  "</f>
        <v xml:space="preserve">40508764  </v>
      </c>
      <c r="B987" t="s">
        <v>973</v>
      </c>
      <c r="C987">
        <v>49.5</v>
      </c>
      <c r="D987" t="str">
        <f t="shared" si="41"/>
        <v>270</v>
      </c>
    </row>
    <row r="988" spans="1:5" x14ac:dyDescent="0.25">
      <c r="A988" t="str">
        <f>"40508780  "</f>
        <v xml:space="preserve">40508780  </v>
      </c>
      <c r="B988" t="s">
        <v>974</v>
      </c>
      <c r="C988">
        <v>3.3</v>
      </c>
      <c r="D988" t="str">
        <f t="shared" si="41"/>
        <v>270</v>
      </c>
      <c r="E988" t="str">
        <f>"A4335"</f>
        <v>A4335</v>
      </c>
    </row>
    <row r="989" spans="1:5" x14ac:dyDescent="0.25">
      <c r="A989" t="str">
        <f>"40508790"</f>
        <v>40508790</v>
      </c>
      <c r="B989" t="s">
        <v>975</v>
      </c>
      <c r="C989">
        <v>53.9</v>
      </c>
      <c r="D989" t="str">
        <f t="shared" si="41"/>
        <v>270</v>
      </c>
    </row>
    <row r="990" spans="1:5" x14ac:dyDescent="0.25">
      <c r="A990" t="str">
        <f>"40508798  "</f>
        <v xml:space="preserve">40508798  </v>
      </c>
      <c r="B990" t="s">
        <v>976</v>
      </c>
      <c r="C990">
        <v>18.7</v>
      </c>
      <c r="D990" t="str">
        <f t="shared" si="41"/>
        <v>270</v>
      </c>
    </row>
    <row r="991" spans="1:5" x14ac:dyDescent="0.25">
      <c r="A991" t="str">
        <f>"40508806  "</f>
        <v xml:space="preserve">40508806  </v>
      </c>
      <c r="B991" t="s">
        <v>977</v>
      </c>
      <c r="C991">
        <v>13.2</v>
      </c>
      <c r="D991" t="str">
        <f t="shared" si="41"/>
        <v>270</v>
      </c>
    </row>
    <row r="992" spans="1:5" x14ac:dyDescent="0.25">
      <c r="A992" t="str">
        <f>"40508814  "</f>
        <v xml:space="preserve">40508814  </v>
      </c>
      <c r="B992" t="s">
        <v>978</v>
      </c>
      <c r="C992">
        <v>138.6</v>
      </c>
      <c r="D992" t="str">
        <f t="shared" si="41"/>
        <v>270</v>
      </c>
    </row>
    <row r="993" spans="1:5" x14ac:dyDescent="0.25">
      <c r="A993" t="str">
        <f>"40508822  "</f>
        <v xml:space="preserve">40508822  </v>
      </c>
      <c r="B993" t="s">
        <v>979</v>
      </c>
      <c r="C993">
        <v>25.3</v>
      </c>
      <c r="D993" t="str">
        <f t="shared" si="41"/>
        <v>270</v>
      </c>
    </row>
    <row r="994" spans="1:5" x14ac:dyDescent="0.25">
      <c r="A994" t="str">
        <f>"40508830  "</f>
        <v xml:space="preserve">40508830  </v>
      </c>
      <c r="B994" t="s">
        <v>980</v>
      </c>
      <c r="C994">
        <v>17.600000000000001</v>
      </c>
      <c r="D994" t="str">
        <f t="shared" si="41"/>
        <v>270</v>
      </c>
    </row>
    <row r="995" spans="1:5" x14ac:dyDescent="0.25">
      <c r="A995" t="str">
        <f>"40508848  "</f>
        <v xml:space="preserve">40508848  </v>
      </c>
      <c r="B995" t="s">
        <v>981</v>
      </c>
      <c r="C995">
        <v>12.1</v>
      </c>
      <c r="D995" t="str">
        <f t="shared" si="41"/>
        <v>270</v>
      </c>
      <c r="E995" t="str">
        <f>"A4335"</f>
        <v>A4335</v>
      </c>
    </row>
    <row r="996" spans="1:5" x14ac:dyDescent="0.25">
      <c r="A996" t="str">
        <f>"40508889  "</f>
        <v xml:space="preserve">40508889  </v>
      </c>
      <c r="B996" t="s">
        <v>982</v>
      </c>
      <c r="C996">
        <v>37.4</v>
      </c>
      <c r="D996" t="str">
        <f>"271"</f>
        <v>271</v>
      </c>
    </row>
    <row r="997" spans="1:5" x14ac:dyDescent="0.25">
      <c r="A997" t="str">
        <f>"40508905  "</f>
        <v xml:space="preserve">40508905  </v>
      </c>
      <c r="B997" t="s">
        <v>983</v>
      </c>
      <c r="C997">
        <v>19.8</v>
      </c>
      <c r="D997" t="str">
        <f>"271"</f>
        <v>271</v>
      </c>
    </row>
    <row r="998" spans="1:5" x14ac:dyDescent="0.25">
      <c r="A998" t="str">
        <f>"40508913  "</f>
        <v xml:space="preserve">40508913  </v>
      </c>
      <c r="B998" t="s">
        <v>984</v>
      </c>
      <c r="C998">
        <v>58.3</v>
      </c>
      <c r="D998" t="str">
        <f>"270"</f>
        <v>270</v>
      </c>
    </row>
    <row r="999" spans="1:5" x14ac:dyDescent="0.25">
      <c r="A999" t="str">
        <f>"40508930"</f>
        <v>40508930</v>
      </c>
      <c r="B999" t="s">
        <v>985</v>
      </c>
      <c r="C999">
        <v>58.3</v>
      </c>
      <c r="D999" t="str">
        <f>"270"</f>
        <v>270</v>
      </c>
    </row>
    <row r="1000" spans="1:5" x14ac:dyDescent="0.25">
      <c r="A1000" t="str">
        <f>"40508947  "</f>
        <v xml:space="preserve">40508947  </v>
      </c>
      <c r="B1000" t="s">
        <v>986</v>
      </c>
      <c r="C1000">
        <v>19.8</v>
      </c>
      <c r="D1000" t="str">
        <f>"271"</f>
        <v>271</v>
      </c>
    </row>
    <row r="1001" spans="1:5" x14ac:dyDescent="0.25">
      <c r="A1001" t="str">
        <f>"40508959"</f>
        <v>40508959</v>
      </c>
      <c r="B1001" t="s">
        <v>987</v>
      </c>
      <c r="C1001">
        <v>37.4</v>
      </c>
      <c r="D1001" t="str">
        <f>"270"</f>
        <v>270</v>
      </c>
    </row>
    <row r="1002" spans="1:5" x14ac:dyDescent="0.25">
      <c r="A1002" t="str">
        <f>"40508970  "</f>
        <v xml:space="preserve">40508970  </v>
      </c>
      <c r="B1002" t="s">
        <v>988</v>
      </c>
      <c r="C1002">
        <v>478.5</v>
      </c>
      <c r="D1002" t="str">
        <f>"270"</f>
        <v>270</v>
      </c>
    </row>
    <row r="1003" spans="1:5" x14ac:dyDescent="0.25">
      <c r="A1003" t="str">
        <f>"40508988  "</f>
        <v xml:space="preserve">40508988  </v>
      </c>
      <c r="B1003" t="s">
        <v>989</v>
      </c>
      <c r="C1003">
        <v>58.3</v>
      </c>
      <c r="D1003" t="str">
        <f>"270"</f>
        <v>270</v>
      </c>
    </row>
    <row r="1004" spans="1:5" x14ac:dyDescent="0.25">
      <c r="A1004" t="str">
        <f>"40509002  "</f>
        <v xml:space="preserve">40509002  </v>
      </c>
      <c r="B1004" t="s">
        <v>990</v>
      </c>
      <c r="C1004">
        <v>19.8</v>
      </c>
      <c r="D1004" t="str">
        <f>"270"</f>
        <v>270</v>
      </c>
    </row>
    <row r="1005" spans="1:5" x14ac:dyDescent="0.25">
      <c r="A1005" t="str">
        <f>"40509036  "</f>
        <v xml:space="preserve">40509036  </v>
      </c>
      <c r="B1005" t="s">
        <v>991</v>
      </c>
      <c r="C1005">
        <v>66</v>
      </c>
      <c r="D1005" t="str">
        <f>"271"</f>
        <v>271</v>
      </c>
    </row>
    <row r="1006" spans="1:5" x14ac:dyDescent="0.25">
      <c r="A1006" t="str">
        <f>"40509044  "</f>
        <v xml:space="preserve">40509044  </v>
      </c>
      <c r="B1006" t="s">
        <v>992</v>
      </c>
      <c r="C1006">
        <v>151.80000000000001</v>
      </c>
      <c r="D1006" t="str">
        <f>"272"</f>
        <v>272</v>
      </c>
      <c r="E1006" t="str">
        <f>"A4311"</f>
        <v>A4311</v>
      </c>
    </row>
    <row r="1007" spans="1:5" x14ac:dyDescent="0.25">
      <c r="A1007" t="str">
        <f>"40509051  "</f>
        <v xml:space="preserve">40509051  </v>
      </c>
      <c r="B1007" t="s">
        <v>993</v>
      </c>
      <c r="C1007">
        <v>36.299999999999997</v>
      </c>
      <c r="D1007" t="str">
        <f t="shared" ref="D1007:D1013" si="42">"270"</f>
        <v>270</v>
      </c>
    </row>
    <row r="1008" spans="1:5" x14ac:dyDescent="0.25">
      <c r="A1008" t="str">
        <f>"40509077  "</f>
        <v xml:space="preserve">40509077  </v>
      </c>
      <c r="B1008" t="s">
        <v>994</v>
      </c>
      <c r="C1008">
        <v>114.4</v>
      </c>
      <c r="D1008" t="str">
        <f t="shared" si="42"/>
        <v>270</v>
      </c>
    </row>
    <row r="1009" spans="1:4" x14ac:dyDescent="0.25">
      <c r="A1009" t="str">
        <f>"40509080"</f>
        <v>40509080</v>
      </c>
      <c r="B1009" t="s">
        <v>995</v>
      </c>
      <c r="C1009">
        <v>53.9</v>
      </c>
      <c r="D1009" t="str">
        <f t="shared" si="42"/>
        <v>270</v>
      </c>
    </row>
    <row r="1010" spans="1:4" x14ac:dyDescent="0.25">
      <c r="A1010" t="str">
        <f>"40509085  "</f>
        <v xml:space="preserve">40509085  </v>
      </c>
      <c r="B1010" t="s">
        <v>996</v>
      </c>
      <c r="C1010">
        <v>33</v>
      </c>
      <c r="D1010" t="str">
        <f t="shared" si="42"/>
        <v>270</v>
      </c>
    </row>
    <row r="1011" spans="1:4" x14ac:dyDescent="0.25">
      <c r="A1011" t="str">
        <f>"40509093  "</f>
        <v xml:space="preserve">40509093  </v>
      </c>
      <c r="B1011" t="s">
        <v>997</v>
      </c>
      <c r="C1011">
        <v>11</v>
      </c>
      <c r="D1011" t="str">
        <f t="shared" si="42"/>
        <v>270</v>
      </c>
    </row>
    <row r="1012" spans="1:4" x14ac:dyDescent="0.25">
      <c r="A1012" t="str">
        <f>"40509101  "</f>
        <v xml:space="preserve">40509101  </v>
      </c>
      <c r="B1012" t="s">
        <v>998</v>
      </c>
      <c r="C1012">
        <v>12.1</v>
      </c>
      <c r="D1012" t="str">
        <f t="shared" si="42"/>
        <v>270</v>
      </c>
    </row>
    <row r="1013" spans="1:4" x14ac:dyDescent="0.25">
      <c r="A1013" t="str">
        <f>"40509119  "</f>
        <v xml:space="preserve">40509119  </v>
      </c>
      <c r="B1013" t="s">
        <v>999</v>
      </c>
      <c r="C1013">
        <v>33</v>
      </c>
      <c r="D1013" t="str">
        <f t="shared" si="42"/>
        <v>270</v>
      </c>
    </row>
    <row r="1014" spans="1:4" x14ac:dyDescent="0.25">
      <c r="A1014" t="str">
        <f>"40509127  "</f>
        <v xml:space="preserve">40509127  </v>
      </c>
      <c r="B1014" t="s">
        <v>1000</v>
      </c>
      <c r="C1014">
        <v>29.7</v>
      </c>
      <c r="D1014" t="str">
        <f>"271"</f>
        <v>271</v>
      </c>
    </row>
    <row r="1015" spans="1:4" x14ac:dyDescent="0.25">
      <c r="A1015" t="str">
        <f>"40509135  "</f>
        <v xml:space="preserve">40509135  </v>
      </c>
      <c r="B1015" t="s">
        <v>1001</v>
      </c>
      <c r="C1015">
        <v>9.9</v>
      </c>
      <c r="D1015" t="str">
        <f>"270"</f>
        <v>270</v>
      </c>
    </row>
    <row r="1016" spans="1:4" x14ac:dyDescent="0.25">
      <c r="A1016" t="str">
        <f>"40509143  "</f>
        <v xml:space="preserve">40509143  </v>
      </c>
      <c r="B1016" t="s">
        <v>1002</v>
      </c>
      <c r="C1016">
        <v>12.1</v>
      </c>
      <c r="D1016" t="str">
        <f>"270"</f>
        <v>270</v>
      </c>
    </row>
    <row r="1017" spans="1:4" x14ac:dyDescent="0.25">
      <c r="A1017" t="str">
        <f>"40509168  "</f>
        <v xml:space="preserve">40509168  </v>
      </c>
      <c r="B1017" t="s">
        <v>1003</v>
      </c>
      <c r="C1017">
        <v>24.2</v>
      </c>
      <c r="D1017" t="str">
        <f>"270"</f>
        <v>270</v>
      </c>
    </row>
    <row r="1018" spans="1:4" x14ac:dyDescent="0.25">
      <c r="A1018" t="str">
        <f>"40509176  "</f>
        <v xml:space="preserve">40509176  </v>
      </c>
      <c r="B1018" t="s">
        <v>1004</v>
      </c>
      <c r="C1018">
        <v>47.3</v>
      </c>
      <c r="D1018" t="str">
        <f>"270"</f>
        <v>270</v>
      </c>
    </row>
    <row r="1019" spans="1:4" x14ac:dyDescent="0.25">
      <c r="A1019" t="str">
        <f>"40509184  "</f>
        <v xml:space="preserve">40509184  </v>
      </c>
      <c r="B1019" t="s">
        <v>1005</v>
      </c>
      <c r="C1019">
        <v>2.2000000000000002</v>
      </c>
      <c r="D1019" t="str">
        <f>"271"</f>
        <v>271</v>
      </c>
    </row>
    <row r="1020" spans="1:4" x14ac:dyDescent="0.25">
      <c r="A1020" t="str">
        <f>"40509192  "</f>
        <v xml:space="preserve">40509192  </v>
      </c>
      <c r="B1020" t="s">
        <v>1006</v>
      </c>
      <c r="C1020" s="1">
        <v>8800</v>
      </c>
      <c r="D1020" t="str">
        <f>"278"</f>
        <v>278</v>
      </c>
    </row>
    <row r="1021" spans="1:4" x14ac:dyDescent="0.25">
      <c r="A1021" t="str">
        <f>"40509200  "</f>
        <v xml:space="preserve">40509200  </v>
      </c>
      <c r="B1021" t="s">
        <v>1007</v>
      </c>
      <c r="C1021">
        <v>124.3</v>
      </c>
      <c r="D1021" t="str">
        <f>"270"</f>
        <v>270</v>
      </c>
    </row>
    <row r="1022" spans="1:4" x14ac:dyDescent="0.25">
      <c r="A1022" t="str">
        <f>"40509218  "</f>
        <v xml:space="preserve">40509218  </v>
      </c>
      <c r="B1022" t="s">
        <v>1008</v>
      </c>
      <c r="C1022">
        <v>313.5</v>
      </c>
      <c r="D1022" t="str">
        <f>"270"</f>
        <v>270</v>
      </c>
    </row>
    <row r="1023" spans="1:4" x14ac:dyDescent="0.25">
      <c r="A1023" t="str">
        <f>"40509226  "</f>
        <v xml:space="preserve">40509226  </v>
      </c>
      <c r="B1023" t="s">
        <v>1009</v>
      </c>
      <c r="C1023">
        <v>24.2</v>
      </c>
      <c r="D1023" t="str">
        <f>"271"</f>
        <v>271</v>
      </c>
    </row>
    <row r="1024" spans="1:4" x14ac:dyDescent="0.25">
      <c r="A1024" t="str">
        <f>"40509250"</f>
        <v>40509250</v>
      </c>
      <c r="B1024" t="s">
        <v>1010</v>
      </c>
      <c r="C1024" s="1">
        <v>1334.3</v>
      </c>
      <c r="D1024" t="str">
        <f>"270"</f>
        <v>270</v>
      </c>
    </row>
    <row r="1025" spans="1:4" x14ac:dyDescent="0.25">
      <c r="A1025" t="str">
        <f>"40509270"</f>
        <v>40509270</v>
      </c>
      <c r="B1025" t="s">
        <v>1011</v>
      </c>
      <c r="C1025" s="1">
        <v>1195.7</v>
      </c>
      <c r="D1025" t="str">
        <f>"270"</f>
        <v>270</v>
      </c>
    </row>
    <row r="1026" spans="1:4" x14ac:dyDescent="0.25">
      <c r="A1026" t="str">
        <f>"40509291  "</f>
        <v xml:space="preserve">40509291  </v>
      </c>
      <c r="B1026" t="s">
        <v>1012</v>
      </c>
      <c r="C1026">
        <v>40.700000000000003</v>
      </c>
      <c r="D1026" t="str">
        <f>"271"</f>
        <v>271</v>
      </c>
    </row>
    <row r="1027" spans="1:4" x14ac:dyDescent="0.25">
      <c r="A1027" t="str">
        <f>"40509333  "</f>
        <v xml:space="preserve">40509333  </v>
      </c>
      <c r="B1027" t="s">
        <v>1013</v>
      </c>
      <c r="C1027">
        <v>25.3</v>
      </c>
      <c r="D1027" t="str">
        <f>"270"</f>
        <v>270</v>
      </c>
    </row>
    <row r="1028" spans="1:4" x14ac:dyDescent="0.25">
      <c r="A1028" t="str">
        <f>"40509341  "</f>
        <v xml:space="preserve">40509341  </v>
      </c>
      <c r="B1028" t="s">
        <v>1014</v>
      </c>
      <c r="C1028">
        <v>176</v>
      </c>
      <c r="D1028" t="str">
        <f>"270"</f>
        <v>270</v>
      </c>
    </row>
    <row r="1029" spans="1:4" x14ac:dyDescent="0.25">
      <c r="A1029" t="str">
        <f>"40509366  "</f>
        <v xml:space="preserve">40509366  </v>
      </c>
      <c r="B1029" t="s">
        <v>1015</v>
      </c>
      <c r="C1029">
        <v>7.7</v>
      </c>
      <c r="D1029" t="str">
        <f>"270"</f>
        <v>270</v>
      </c>
    </row>
    <row r="1030" spans="1:4" x14ac:dyDescent="0.25">
      <c r="A1030" t="str">
        <f>"40509374  "</f>
        <v xml:space="preserve">40509374  </v>
      </c>
      <c r="B1030" t="s">
        <v>1016</v>
      </c>
      <c r="C1030">
        <v>72.599999999999994</v>
      </c>
      <c r="D1030" t="str">
        <f>"270"</f>
        <v>270</v>
      </c>
    </row>
    <row r="1031" spans="1:4" x14ac:dyDescent="0.25">
      <c r="A1031" t="str">
        <f>"40509382  "</f>
        <v xml:space="preserve">40509382  </v>
      </c>
      <c r="B1031" t="s">
        <v>1017</v>
      </c>
      <c r="C1031">
        <v>9.9</v>
      </c>
      <c r="D1031" t="str">
        <f>"271"</f>
        <v>271</v>
      </c>
    </row>
    <row r="1032" spans="1:4" x14ac:dyDescent="0.25">
      <c r="A1032" t="str">
        <f>"40509390  "</f>
        <v xml:space="preserve">40509390  </v>
      </c>
      <c r="B1032" t="s">
        <v>1018</v>
      </c>
      <c r="C1032">
        <v>9.9</v>
      </c>
      <c r="D1032" t="str">
        <f>"270"</f>
        <v>270</v>
      </c>
    </row>
    <row r="1033" spans="1:4" x14ac:dyDescent="0.25">
      <c r="A1033" t="str">
        <f>"40509408  "</f>
        <v xml:space="preserve">40509408  </v>
      </c>
      <c r="B1033" t="s">
        <v>1019</v>
      </c>
      <c r="C1033">
        <v>83.6</v>
      </c>
      <c r="D1033" t="str">
        <f>"271"</f>
        <v>271</v>
      </c>
    </row>
    <row r="1034" spans="1:4" x14ac:dyDescent="0.25">
      <c r="A1034" t="str">
        <f>"40509411"</f>
        <v>40509411</v>
      </c>
      <c r="B1034" t="s">
        <v>1020</v>
      </c>
      <c r="C1034">
        <v>92.4</v>
      </c>
      <c r="D1034" t="str">
        <f>"270"</f>
        <v>270</v>
      </c>
    </row>
    <row r="1035" spans="1:4" x14ac:dyDescent="0.25">
      <c r="A1035" t="str">
        <f>"40509424  "</f>
        <v xml:space="preserve">40509424  </v>
      </c>
      <c r="B1035" t="s">
        <v>1021</v>
      </c>
      <c r="C1035">
        <v>7.7</v>
      </c>
      <c r="D1035" t="str">
        <f>"271"</f>
        <v>271</v>
      </c>
    </row>
    <row r="1036" spans="1:4" x14ac:dyDescent="0.25">
      <c r="A1036" t="str">
        <f>"40509432  "</f>
        <v xml:space="preserve">40509432  </v>
      </c>
      <c r="B1036" t="s">
        <v>1022</v>
      </c>
      <c r="C1036">
        <v>81.400000000000006</v>
      </c>
      <c r="D1036" t="str">
        <f>"271"</f>
        <v>271</v>
      </c>
    </row>
    <row r="1037" spans="1:4" x14ac:dyDescent="0.25">
      <c r="A1037" t="str">
        <f>"40509440  "</f>
        <v xml:space="preserve">40509440  </v>
      </c>
      <c r="B1037" t="s">
        <v>1023</v>
      </c>
      <c r="C1037">
        <v>28.6</v>
      </c>
      <c r="D1037" t="str">
        <f>"270"</f>
        <v>270</v>
      </c>
    </row>
    <row r="1038" spans="1:4" x14ac:dyDescent="0.25">
      <c r="A1038" t="str">
        <f>"40509450"</f>
        <v>40509450</v>
      </c>
      <c r="B1038" t="s">
        <v>1024</v>
      </c>
      <c r="C1038">
        <v>447.7</v>
      </c>
      <c r="D1038" t="str">
        <f>"270"</f>
        <v>270</v>
      </c>
    </row>
    <row r="1039" spans="1:4" x14ac:dyDescent="0.25">
      <c r="A1039" t="str">
        <f>"40509465  "</f>
        <v xml:space="preserve">40509465  </v>
      </c>
      <c r="B1039" t="s">
        <v>1025</v>
      </c>
      <c r="C1039">
        <v>3.3</v>
      </c>
      <c r="D1039" t="str">
        <f>"271"</f>
        <v>271</v>
      </c>
    </row>
    <row r="1040" spans="1:4" x14ac:dyDescent="0.25">
      <c r="A1040" t="str">
        <f>"40509473  "</f>
        <v xml:space="preserve">40509473  </v>
      </c>
      <c r="B1040" t="s">
        <v>1026</v>
      </c>
      <c r="C1040">
        <v>42.9</v>
      </c>
      <c r="D1040" t="str">
        <f>"270"</f>
        <v>270</v>
      </c>
    </row>
    <row r="1041" spans="1:4" x14ac:dyDescent="0.25">
      <c r="A1041" t="str">
        <f>"40509523  "</f>
        <v xml:space="preserve">40509523  </v>
      </c>
      <c r="B1041" t="s">
        <v>1027</v>
      </c>
      <c r="C1041">
        <v>7.7</v>
      </c>
      <c r="D1041" t="str">
        <f>"271"</f>
        <v>271</v>
      </c>
    </row>
    <row r="1042" spans="1:4" x14ac:dyDescent="0.25">
      <c r="A1042" t="str">
        <f>"40509531  "</f>
        <v xml:space="preserve">40509531  </v>
      </c>
      <c r="B1042" t="s">
        <v>1028</v>
      </c>
      <c r="C1042">
        <v>28.6</v>
      </c>
      <c r="D1042" t="str">
        <f>"270"</f>
        <v>270</v>
      </c>
    </row>
    <row r="1043" spans="1:4" x14ac:dyDescent="0.25">
      <c r="A1043" t="str">
        <f>"40509556  "</f>
        <v xml:space="preserve">40509556  </v>
      </c>
      <c r="B1043" t="s">
        <v>1029</v>
      </c>
      <c r="C1043">
        <v>45.1</v>
      </c>
      <c r="D1043" t="str">
        <f>"271"</f>
        <v>271</v>
      </c>
    </row>
    <row r="1044" spans="1:4" x14ac:dyDescent="0.25">
      <c r="A1044" t="str">
        <f>"40509564  "</f>
        <v xml:space="preserve">40509564  </v>
      </c>
      <c r="B1044" t="s">
        <v>1030</v>
      </c>
      <c r="C1044">
        <v>2.2000000000000002</v>
      </c>
      <c r="D1044" t="str">
        <f>"271"</f>
        <v>271</v>
      </c>
    </row>
    <row r="1045" spans="1:4" x14ac:dyDescent="0.25">
      <c r="A1045" t="str">
        <f>"40509580  "</f>
        <v xml:space="preserve">40509580  </v>
      </c>
      <c r="B1045" t="s">
        <v>1031</v>
      </c>
      <c r="C1045">
        <v>12.1</v>
      </c>
      <c r="D1045" t="str">
        <f>"271"</f>
        <v>271</v>
      </c>
    </row>
    <row r="1046" spans="1:4" x14ac:dyDescent="0.25">
      <c r="A1046" t="str">
        <f>"40509606  "</f>
        <v xml:space="preserve">40509606  </v>
      </c>
      <c r="B1046" t="s">
        <v>1032</v>
      </c>
      <c r="C1046">
        <v>23.1</v>
      </c>
      <c r="D1046" t="str">
        <f>"271"</f>
        <v>271</v>
      </c>
    </row>
    <row r="1047" spans="1:4" x14ac:dyDescent="0.25">
      <c r="A1047" t="str">
        <f>"40509614  "</f>
        <v xml:space="preserve">40509614  </v>
      </c>
      <c r="B1047" t="s">
        <v>1033</v>
      </c>
      <c r="C1047">
        <v>29.7</v>
      </c>
      <c r="D1047" t="str">
        <f>"270"</f>
        <v>270</v>
      </c>
    </row>
    <row r="1048" spans="1:4" x14ac:dyDescent="0.25">
      <c r="A1048" t="str">
        <f>"40509622  "</f>
        <v xml:space="preserve">40509622  </v>
      </c>
      <c r="B1048" t="s">
        <v>589</v>
      </c>
      <c r="C1048">
        <v>2.2000000000000002</v>
      </c>
      <c r="D1048" t="str">
        <f>"270"</f>
        <v>270</v>
      </c>
    </row>
    <row r="1049" spans="1:4" x14ac:dyDescent="0.25">
      <c r="A1049" t="str">
        <f>"40509630  "</f>
        <v xml:space="preserve">40509630  </v>
      </c>
      <c r="B1049" t="s">
        <v>1034</v>
      </c>
      <c r="C1049">
        <v>60.5</v>
      </c>
      <c r="D1049" t="str">
        <f>"270"</f>
        <v>270</v>
      </c>
    </row>
    <row r="1050" spans="1:4" x14ac:dyDescent="0.25">
      <c r="A1050" t="str">
        <f>"40509655  "</f>
        <v xml:space="preserve">40509655  </v>
      </c>
      <c r="B1050" t="s">
        <v>1035</v>
      </c>
      <c r="C1050">
        <v>22</v>
      </c>
      <c r="D1050" t="str">
        <f>"270"</f>
        <v>270</v>
      </c>
    </row>
    <row r="1051" spans="1:4" x14ac:dyDescent="0.25">
      <c r="A1051" t="str">
        <f>"40509663  "</f>
        <v xml:space="preserve">40509663  </v>
      </c>
      <c r="B1051" t="s">
        <v>1036</v>
      </c>
      <c r="C1051">
        <v>4.4000000000000004</v>
      </c>
      <c r="D1051" t="str">
        <f t="shared" ref="D1051:D1058" si="43">"271"</f>
        <v>271</v>
      </c>
    </row>
    <row r="1052" spans="1:4" x14ac:dyDescent="0.25">
      <c r="A1052" t="str">
        <f>"40509671  "</f>
        <v xml:space="preserve">40509671  </v>
      </c>
      <c r="B1052" t="s">
        <v>1037</v>
      </c>
      <c r="C1052">
        <v>3.3</v>
      </c>
      <c r="D1052" t="str">
        <f t="shared" si="43"/>
        <v>271</v>
      </c>
    </row>
    <row r="1053" spans="1:4" x14ac:dyDescent="0.25">
      <c r="A1053" t="str">
        <f>"40509689  "</f>
        <v xml:space="preserve">40509689  </v>
      </c>
      <c r="B1053" t="s">
        <v>1038</v>
      </c>
      <c r="C1053">
        <v>14.3</v>
      </c>
      <c r="D1053" t="str">
        <f t="shared" si="43"/>
        <v>271</v>
      </c>
    </row>
    <row r="1054" spans="1:4" x14ac:dyDescent="0.25">
      <c r="A1054" t="str">
        <f>"40509705  "</f>
        <v xml:space="preserve">40509705  </v>
      </c>
      <c r="B1054" t="s">
        <v>1039</v>
      </c>
      <c r="C1054">
        <v>50.6</v>
      </c>
      <c r="D1054" t="str">
        <f t="shared" si="43"/>
        <v>271</v>
      </c>
    </row>
    <row r="1055" spans="1:4" x14ac:dyDescent="0.25">
      <c r="A1055" t="str">
        <f>"40509713  "</f>
        <v xml:space="preserve">40509713  </v>
      </c>
      <c r="B1055" t="s">
        <v>1040</v>
      </c>
      <c r="C1055">
        <v>58.3</v>
      </c>
      <c r="D1055" t="str">
        <f t="shared" si="43"/>
        <v>271</v>
      </c>
    </row>
    <row r="1056" spans="1:4" x14ac:dyDescent="0.25">
      <c r="A1056" t="str">
        <f>"40509721  "</f>
        <v xml:space="preserve">40509721  </v>
      </c>
      <c r="B1056" t="s">
        <v>1041</v>
      </c>
      <c r="C1056">
        <v>7.7</v>
      </c>
      <c r="D1056" t="str">
        <f t="shared" si="43"/>
        <v>271</v>
      </c>
    </row>
    <row r="1057" spans="1:4" x14ac:dyDescent="0.25">
      <c r="A1057" t="str">
        <f>"40509747  "</f>
        <v xml:space="preserve">40509747  </v>
      </c>
      <c r="B1057" t="s">
        <v>1042</v>
      </c>
      <c r="C1057">
        <v>28.6</v>
      </c>
      <c r="D1057" t="str">
        <f t="shared" si="43"/>
        <v>271</v>
      </c>
    </row>
    <row r="1058" spans="1:4" x14ac:dyDescent="0.25">
      <c r="A1058" t="str">
        <f>"40509762  "</f>
        <v xml:space="preserve">40509762  </v>
      </c>
      <c r="B1058" t="s">
        <v>1043</v>
      </c>
      <c r="C1058">
        <v>7.7</v>
      </c>
      <c r="D1058" t="str">
        <f t="shared" si="43"/>
        <v>271</v>
      </c>
    </row>
    <row r="1059" spans="1:4" x14ac:dyDescent="0.25">
      <c r="A1059" t="str">
        <f>"40509770"</f>
        <v>40509770</v>
      </c>
      <c r="B1059" t="s">
        <v>1044</v>
      </c>
      <c r="C1059">
        <v>53.9</v>
      </c>
      <c r="D1059" t="str">
        <f>"270"</f>
        <v>270</v>
      </c>
    </row>
    <row r="1060" spans="1:4" x14ac:dyDescent="0.25">
      <c r="A1060" t="str">
        <f>"40509780"</f>
        <v>40509780</v>
      </c>
      <c r="B1060" t="s">
        <v>1045</v>
      </c>
      <c r="C1060">
        <v>53.9</v>
      </c>
      <c r="D1060" t="str">
        <f>"270"</f>
        <v>270</v>
      </c>
    </row>
    <row r="1061" spans="1:4" x14ac:dyDescent="0.25">
      <c r="A1061" t="str">
        <f>"40509788  "</f>
        <v xml:space="preserve">40509788  </v>
      </c>
      <c r="B1061" t="s">
        <v>1046</v>
      </c>
      <c r="C1061">
        <v>45.1</v>
      </c>
      <c r="D1061" t="str">
        <f>"271"</f>
        <v>271</v>
      </c>
    </row>
    <row r="1062" spans="1:4" x14ac:dyDescent="0.25">
      <c r="A1062" t="str">
        <f>"40509804  "</f>
        <v xml:space="preserve">40509804  </v>
      </c>
      <c r="B1062" t="s">
        <v>1047</v>
      </c>
      <c r="C1062">
        <v>7.7</v>
      </c>
      <c r="D1062" t="str">
        <f>"271"</f>
        <v>271</v>
      </c>
    </row>
    <row r="1063" spans="1:4" x14ac:dyDescent="0.25">
      <c r="A1063" t="str">
        <f>"40509820  "</f>
        <v xml:space="preserve">40509820  </v>
      </c>
      <c r="B1063" t="s">
        <v>1048</v>
      </c>
      <c r="C1063">
        <v>8.8000000000000007</v>
      </c>
      <c r="D1063" t="str">
        <f>"270"</f>
        <v>270</v>
      </c>
    </row>
    <row r="1064" spans="1:4" x14ac:dyDescent="0.25">
      <c r="A1064" t="str">
        <f>"40509846  "</f>
        <v xml:space="preserve">40509846  </v>
      </c>
      <c r="B1064" t="s">
        <v>1049</v>
      </c>
      <c r="C1064">
        <v>16.5</v>
      </c>
      <c r="D1064" t="str">
        <f>"270"</f>
        <v>270</v>
      </c>
    </row>
    <row r="1065" spans="1:4" x14ac:dyDescent="0.25">
      <c r="A1065" t="str">
        <f>"40509853  "</f>
        <v xml:space="preserve">40509853  </v>
      </c>
      <c r="B1065" t="s">
        <v>1050</v>
      </c>
      <c r="C1065">
        <v>430.1</v>
      </c>
      <c r="D1065" t="str">
        <f>"278"</f>
        <v>278</v>
      </c>
    </row>
    <row r="1066" spans="1:4" x14ac:dyDescent="0.25">
      <c r="A1066" t="str">
        <f>"40509861  "</f>
        <v xml:space="preserve">40509861  </v>
      </c>
      <c r="B1066" t="s">
        <v>1051</v>
      </c>
      <c r="C1066">
        <v>8.8000000000000007</v>
      </c>
      <c r="D1066" t="str">
        <f>"270"</f>
        <v>270</v>
      </c>
    </row>
    <row r="1067" spans="1:4" x14ac:dyDescent="0.25">
      <c r="A1067" t="str">
        <f>"40509879  "</f>
        <v xml:space="preserve">40509879  </v>
      </c>
      <c r="B1067" t="s">
        <v>1052</v>
      </c>
      <c r="C1067">
        <v>397.1</v>
      </c>
      <c r="D1067" t="str">
        <f>"270"</f>
        <v>270</v>
      </c>
    </row>
    <row r="1068" spans="1:4" x14ac:dyDescent="0.25">
      <c r="A1068" t="str">
        <f>"40509880"</f>
        <v>40509880</v>
      </c>
      <c r="B1068" t="s">
        <v>1053</v>
      </c>
      <c r="C1068">
        <v>53.9</v>
      </c>
      <c r="D1068" t="str">
        <f>"270"</f>
        <v>270</v>
      </c>
    </row>
    <row r="1069" spans="1:4" x14ac:dyDescent="0.25">
      <c r="A1069" t="str">
        <f>"40509887  "</f>
        <v xml:space="preserve">40509887  </v>
      </c>
      <c r="B1069" t="s">
        <v>1054</v>
      </c>
      <c r="C1069">
        <v>3.3</v>
      </c>
      <c r="D1069" t="str">
        <f>"271"</f>
        <v>271</v>
      </c>
    </row>
    <row r="1070" spans="1:4" x14ac:dyDescent="0.25">
      <c r="A1070" t="str">
        <f>"40509903  "</f>
        <v xml:space="preserve">40509903  </v>
      </c>
      <c r="B1070" t="s">
        <v>1055</v>
      </c>
      <c r="C1070">
        <v>2.86</v>
      </c>
      <c r="D1070" t="str">
        <f>"270"</f>
        <v>270</v>
      </c>
    </row>
    <row r="1071" spans="1:4" x14ac:dyDescent="0.25">
      <c r="A1071" t="str">
        <f>"40509911  "</f>
        <v xml:space="preserve">40509911  </v>
      </c>
      <c r="B1071" t="s">
        <v>1056</v>
      </c>
      <c r="C1071">
        <v>9.9</v>
      </c>
      <c r="D1071" t="str">
        <f>"270"</f>
        <v>270</v>
      </c>
    </row>
    <row r="1072" spans="1:4" x14ac:dyDescent="0.25">
      <c r="A1072" t="str">
        <f>"40509920"</f>
        <v>40509920</v>
      </c>
      <c r="B1072" t="s">
        <v>1057</v>
      </c>
      <c r="C1072">
        <v>53.9</v>
      </c>
      <c r="D1072" t="str">
        <f>"270"</f>
        <v>270</v>
      </c>
    </row>
    <row r="1073" spans="1:4" x14ac:dyDescent="0.25">
      <c r="A1073" t="str">
        <f>"40509937  "</f>
        <v xml:space="preserve">40509937  </v>
      </c>
      <c r="B1073" t="s">
        <v>1058</v>
      </c>
      <c r="C1073">
        <v>2.2000000000000002</v>
      </c>
      <c r="D1073" t="str">
        <f>"270"</f>
        <v>270</v>
      </c>
    </row>
    <row r="1074" spans="1:4" x14ac:dyDescent="0.25">
      <c r="A1074" t="str">
        <f>"40509945  "</f>
        <v xml:space="preserve">40509945  </v>
      </c>
      <c r="B1074" t="s">
        <v>1059</v>
      </c>
      <c r="C1074">
        <v>25.3</v>
      </c>
      <c r="D1074" t="str">
        <f>"271"</f>
        <v>271</v>
      </c>
    </row>
    <row r="1075" spans="1:4" x14ac:dyDescent="0.25">
      <c r="A1075" t="str">
        <f>"40509952  "</f>
        <v xml:space="preserve">40509952  </v>
      </c>
      <c r="B1075" t="s">
        <v>1060</v>
      </c>
      <c r="C1075">
        <v>27.5</v>
      </c>
      <c r="D1075" t="str">
        <f>"271"</f>
        <v>271</v>
      </c>
    </row>
    <row r="1076" spans="1:4" x14ac:dyDescent="0.25">
      <c r="A1076" t="str">
        <f>"40509960  "</f>
        <v xml:space="preserve">40509960  </v>
      </c>
      <c r="B1076" t="s">
        <v>1061</v>
      </c>
      <c r="C1076">
        <v>51.7</v>
      </c>
      <c r="D1076" t="str">
        <f>"271"</f>
        <v>271</v>
      </c>
    </row>
    <row r="1077" spans="1:4" x14ac:dyDescent="0.25">
      <c r="A1077" t="str">
        <f>"40509980"</f>
        <v>40509980</v>
      </c>
      <c r="B1077" t="s">
        <v>1062</v>
      </c>
      <c r="C1077">
        <v>53.9</v>
      </c>
      <c r="D1077" t="str">
        <f>"270"</f>
        <v>270</v>
      </c>
    </row>
    <row r="1078" spans="1:4" x14ac:dyDescent="0.25">
      <c r="A1078" t="str">
        <f>"40509986  "</f>
        <v xml:space="preserve">40509986  </v>
      </c>
      <c r="B1078" t="s">
        <v>1063</v>
      </c>
      <c r="C1078">
        <v>249.7</v>
      </c>
      <c r="D1078" t="str">
        <f>"270"</f>
        <v>270</v>
      </c>
    </row>
    <row r="1079" spans="1:4" x14ac:dyDescent="0.25">
      <c r="A1079" t="str">
        <f>"40510000  "</f>
        <v xml:space="preserve">40510000  </v>
      </c>
      <c r="B1079" t="s">
        <v>1064</v>
      </c>
      <c r="C1079">
        <v>1.1000000000000001</v>
      </c>
      <c r="D1079" t="str">
        <f>"271"</f>
        <v>271</v>
      </c>
    </row>
    <row r="1080" spans="1:4" x14ac:dyDescent="0.25">
      <c r="A1080" t="str">
        <f>"40510018  "</f>
        <v xml:space="preserve">40510018  </v>
      </c>
      <c r="B1080" t="s">
        <v>1065</v>
      </c>
      <c r="C1080">
        <v>171.6</v>
      </c>
      <c r="D1080" t="str">
        <f t="shared" ref="D1080:D1087" si="44">"270"</f>
        <v>270</v>
      </c>
    </row>
    <row r="1081" spans="1:4" x14ac:dyDescent="0.25">
      <c r="A1081" t="str">
        <f>"40510026  "</f>
        <v xml:space="preserve">40510026  </v>
      </c>
      <c r="B1081" t="s">
        <v>1066</v>
      </c>
      <c r="C1081">
        <v>7.7</v>
      </c>
      <c r="D1081" t="str">
        <f t="shared" si="44"/>
        <v>270</v>
      </c>
    </row>
    <row r="1082" spans="1:4" x14ac:dyDescent="0.25">
      <c r="A1082" t="str">
        <f>"40510034  "</f>
        <v xml:space="preserve">40510034  </v>
      </c>
      <c r="B1082" t="s">
        <v>1067</v>
      </c>
      <c r="C1082">
        <v>13.2</v>
      </c>
      <c r="D1082" t="str">
        <f t="shared" si="44"/>
        <v>270</v>
      </c>
    </row>
    <row r="1083" spans="1:4" x14ac:dyDescent="0.25">
      <c r="A1083" t="str">
        <f>"40510042  "</f>
        <v xml:space="preserve">40510042  </v>
      </c>
      <c r="B1083" t="s">
        <v>1068</v>
      </c>
      <c r="C1083">
        <v>22</v>
      </c>
      <c r="D1083" t="str">
        <f t="shared" si="44"/>
        <v>270</v>
      </c>
    </row>
    <row r="1084" spans="1:4" x14ac:dyDescent="0.25">
      <c r="A1084" t="str">
        <f>"40510059  "</f>
        <v xml:space="preserve">40510059  </v>
      </c>
      <c r="B1084" t="s">
        <v>1069</v>
      </c>
      <c r="C1084">
        <v>29.7</v>
      </c>
      <c r="D1084" t="str">
        <f t="shared" si="44"/>
        <v>270</v>
      </c>
    </row>
    <row r="1085" spans="1:4" x14ac:dyDescent="0.25">
      <c r="A1085" t="str">
        <f>"40510067  "</f>
        <v xml:space="preserve">40510067  </v>
      </c>
      <c r="B1085" t="s">
        <v>1070</v>
      </c>
      <c r="C1085">
        <v>17.600000000000001</v>
      </c>
      <c r="D1085" t="str">
        <f t="shared" si="44"/>
        <v>270</v>
      </c>
    </row>
    <row r="1086" spans="1:4" x14ac:dyDescent="0.25">
      <c r="A1086" t="str">
        <f>"40510075  "</f>
        <v xml:space="preserve">40510075  </v>
      </c>
      <c r="B1086" t="s">
        <v>1071</v>
      </c>
      <c r="C1086">
        <v>15.4</v>
      </c>
      <c r="D1086" t="str">
        <f t="shared" si="44"/>
        <v>270</v>
      </c>
    </row>
    <row r="1087" spans="1:4" x14ac:dyDescent="0.25">
      <c r="A1087" t="str">
        <f>"40510083  "</f>
        <v xml:space="preserve">40510083  </v>
      </c>
      <c r="B1087" t="s">
        <v>1072</v>
      </c>
      <c r="C1087">
        <v>22</v>
      </c>
      <c r="D1087" t="str">
        <f t="shared" si="44"/>
        <v>270</v>
      </c>
    </row>
    <row r="1088" spans="1:4" x14ac:dyDescent="0.25">
      <c r="A1088" t="str">
        <f>"40510091  "</f>
        <v xml:space="preserve">40510091  </v>
      </c>
      <c r="B1088" t="s">
        <v>1073</v>
      </c>
      <c r="C1088">
        <v>41.8</v>
      </c>
      <c r="D1088" t="str">
        <f>"271"</f>
        <v>271</v>
      </c>
    </row>
    <row r="1089" spans="1:4" x14ac:dyDescent="0.25">
      <c r="A1089" t="str">
        <f>"40510117  "</f>
        <v xml:space="preserve">40510117  </v>
      </c>
      <c r="B1089" t="s">
        <v>1074</v>
      </c>
      <c r="C1089">
        <v>7.7</v>
      </c>
      <c r="D1089" t="str">
        <f>"270"</f>
        <v>270</v>
      </c>
    </row>
    <row r="1090" spans="1:4" x14ac:dyDescent="0.25">
      <c r="A1090" t="str">
        <f>"40510125  "</f>
        <v xml:space="preserve">40510125  </v>
      </c>
      <c r="B1090" t="s">
        <v>1075</v>
      </c>
      <c r="C1090">
        <v>12.1</v>
      </c>
      <c r="D1090" t="str">
        <f>"270"</f>
        <v>270</v>
      </c>
    </row>
    <row r="1091" spans="1:4" x14ac:dyDescent="0.25">
      <c r="A1091" t="str">
        <f>"40510133  "</f>
        <v xml:space="preserve">40510133  </v>
      </c>
      <c r="B1091" t="s">
        <v>1076</v>
      </c>
      <c r="C1091">
        <v>24.2</v>
      </c>
      <c r="D1091" t="str">
        <f>"270"</f>
        <v>270</v>
      </c>
    </row>
    <row r="1092" spans="1:4" x14ac:dyDescent="0.25">
      <c r="A1092" t="str">
        <f>"40510141  "</f>
        <v xml:space="preserve">40510141  </v>
      </c>
      <c r="B1092" t="s">
        <v>1077</v>
      </c>
      <c r="C1092">
        <v>101.2</v>
      </c>
      <c r="D1092" t="str">
        <f>"270"</f>
        <v>270</v>
      </c>
    </row>
    <row r="1093" spans="1:4" x14ac:dyDescent="0.25">
      <c r="A1093" t="str">
        <f>"40510158  "</f>
        <v xml:space="preserve">40510158  </v>
      </c>
      <c r="B1093" t="s">
        <v>1078</v>
      </c>
      <c r="C1093">
        <v>3.3</v>
      </c>
      <c r="D1093" t="str">
        <f>"270"</f>
        <v>270</v>
      </c>
    </row>
    <row r="1094" spans="1:4" x14ac:dyDescent="0.25">
      <c r="A1094" t="str">
        <f>"40510166  "</f>
        <v xml:space="preserve">40510166  </v>
      </c>
      <c r="B1094" t="s">
        <v>1079</v>
      </c>
      <c r="C1094">
        <v>7.7</v>
      </c>
      <c r="D1094" t="str">
        <f>"271"</f>
        <v>271</v>
      </c>
    </row>
    <row r="1095" spans="1:4" x14ac:dyDescent="0.25">
      <c r="A1095" t="str">
        <f>"40510174  "</f>
        <v xml:space="preserve">40510174  </v>
      </c>
      <c r="B1095" t="s">
        <v>1080</v>
      </c>
      <c r="C1095">
        <v>63.8</v>
      </c>
      <c r="D1095" t="str">
        <f>"270"</f>
        <v>270</v>
      </c>
    </row>
    <row r="1096" spans="1:4" x14ac:dyDescent="0.25">
      <c r="A1096" t="str">
        <f>"40510182  "</f>
        <v xml:space="preserve">40510182  </v>
      </c>
      <c r="B1096" t="s">
        <v>1081</v>
      </c>
      <c r="C1096">
        <v>1.1000000000000001</v>
      </c>
      <c r="D1096" t="str">
        <f>"270"</f>
        <v>270</v>
      </c>
    </row>
    <row r="1097" spans="1:4" x14ac:dyDescent="0.25">
      <c r="A1097" t="str">
        <f>"40510190  "</f>
        <v xml:space="preserve">40510190  </v>
      </c>
      <c r="B1097" t="s">
        <v>1082</v>
      </c>
      <c r="C1097">
        <v>9.9</v>
      </c>
      <c r="D1097" t="str">
        <f>"270"</f>
        <v>270</v>
      </c>
    </row>
    <row r="1098" spans="1:4" x14ac:dyDescent="0.25">
      <c r="A1098" t="str">
        <f>"40510208  "</f>
        <v xml:space="preserve">40510208  </v>
      </c>
      <c r="B1098" t="s">
        <v>1083</v>
      </c>
      <c r="C1098">
        <v>12.1</v>
      </c>
      <c r="D1098" t="str">
        <f>"271"</f>
        <v>271</v>
      </c>
    </row>
    <row r="1099" spans="1:4" x14ac:dyDescent="0.25">
      <c r="A1099" t="str">
        <f>"40510216  "</f>
        <v xml:space="preserve">40510216  </v>
      </c>
      <c r="B1099" t="s">
        <v>1084</v>
      </c>
      <c r="C1099">
        <v>19.8</v>
      </c>
      <c r="D1099" t="str">
        <f>"270"</f>
        <v>270</v>
      </c>
    </row>
    <row r="1100" spans="1:4" x14ac:dyDescent="0.25">
      <c r="A1100" t="str">
        <f>"40510224  "</f>
        <v xml:space="preserve">40510224  </v>
      </c>
      <c r="B1100" t="s">
        <v>1085</v>
      </c>
      <c r="C1100">
        <v>35.200000000000003</v>
      </c>
      <c r="D1100" t="str">
        <f>"270"</f>
        <v>270</v>
      </c>
    </row>
    <row r="1101" spans="1:4" x14ac:dyDescent="0.25">
      <c r="A1101" t="str">
        <f>"40510232  "</f>
        <v xml:space="preserve">40510232  </v>
      </c>
      <c r="B1101" t="s">
        <v>1085</v>
      </c>
      <c r="C1101">
        <v>39.6</v>
      </c>
      <c r="D1101" t="str">
        <f>"270"</f>
        <v>270</v>
      </c>
    </row>
    <row r="1102" spans="1:4" x14ac:dyDescent="0.25">
      <c r="A1102" t="str">
        <f>"40510240  "</f>
        <v xml:space="preserve">40510240  </v>
      </c>
      <c r="B1102" t="s">
        <v>1086</v>
      </c>
      <c r="C1102">
        <v>12.1</v>
      </c>
      <c r="D1102" t="str">
        <f>"270"</f>
        <v>270</v>
      </c>
    </row>
    <row r="1103" spans="1:4" x14ac:dyDescent="0.25">
      <c r="A1103" t="str">
        <f>"40510257  "</f>
        <v xml:space="preserve">40510257  </v>
      </c>
      <c r="B1103" t="s">
        <v>1087</v>
      </c>
      <c r="C1103">
        <v>50.6</v>
      </c>
      <c r="D1103" t="str">
        <f>"270"</f>
        <v>270</v>
      </c>
    </row>
    <row r="1104" spans="1:4" x14ac:dyDescent="0.25">
      <c r="A1104" t="str">
        <f>"40510265  "</f>
        <v xml:space="preserve">40510265  </v>
      </c>
      <c r="B1104" t="s">
        <v>1088</v>
      </c>
      <c r="C1104">
        <v>3.3</v>
      </c>
      <c r="D1104" t="str">
        <f>"271"</f>
        <v>271</v>
      </c>
    </row>
    <row r="1105" spans="1:4" x14ac:dyDescent="0.25">
      <c r="A1105" t="str">
        <f>"40510281  "</f>
        <v xml:space="preserve">40510281  </v>
      </c>
      <c r="B1105" t="s">
        <v>1089</v>
      </c>
      <c r="C1105">
        <v>4.4000000000000004</v>
      </c>
      <c r="D1105" t="str">
        <f t="shared" ref="D1105:D1111" si="45">"270"</f>
        <v>270</v>
      </c>
    </row>
    <row r="1106" spans="1:4" x14ac:dyDescent="0.25">
      <c r="A1106" t="str">
        <f>"40510307  "</f>
        <v xml:space="preserve">40510307  </v>
      </c>
      <c r="B1106" t="s">
        <v>1090</v>
      </c>
      <c r="C1106">
        <v>22</v>
      </c>
      <c r="D1106" t="str">
        <f t="shared" si="45"/>
        <v>270</v>
      </c>
    </row>
    <row r="1107" spans="1:4" x14ac:dyDescent="0.25">
      <c r="A1107" t="str">
        <f>"40510323  "</f>
        <v xml:space="preserve">40510323  </v>
      </c>
      <c r="B1107" t="s">
        <v>1091</v>
      </c>
      <c r="C1107">
        <v>14.3</v>
      </c>
      <c r="D1107" t="str">
        <f t="shared" si="45"/>
        <v>270</v>
      </c>
    </row>
    <row r="1108" spans="1:4" x14ac:dyDescent="0.25">
      <c r="A1108" t="str">
        <f>"40510324"</f>
        <v>40510324</v>
      </c>
      <c r="B1108" t="s">
        <v>1092</v>
      </c>
      <c r="C1108">
        <v>16.5</v>
      </c>
      <c r="D1108" t="str">
        <f t="shared" si="45"/>
        <v>270</v>
      </c>
    </row>
    <row r="1109" spans="1:4" x14ac:dyDescent="0.25">
      <c r="A1109" t="str">
        <f>"40510344"</f>
        <v>40510344</v>
      </c>
      <c r="B1109" t="s">
        <v>1093</v>
      </c>
      <c r="C1109">
        <v>12.1</v>
      </c>
      <c r="D1109" t="str">
        <f t="shared" si="45"/>
        <v>270</v>
      </c>
    </row>
    <row r="1110" spans="1:4" x14ac:dyDescent="0.25">
      <c r="A1110" t="str">
        <f>"40510345"</f>
        <v>40510345</v>
      </c>
      <c r="B1110" t="s">
        <v>1094</v>
      </c>
      <c r="C1110">
        <v>27.5</v>
      </c>
      <c r="D1110" t="str">
        <f t="shared" si="45"/>
        <v>270</v>
      </c>
    </row>
    <row r="1111" spans="1:4" x14ac:dyDescent="0.25">
      <c r="A1111" t="str">
        <f>"40510349  "</f>
        <v xml:space="preserve">40510349  </v>
      </c>
      <c r="B1111" t="s">
        <v>1095</v>
      </c>
      <c r="C1111">
        <v>12.1</v>
      </c>
      <c r="D1111" t="str">
        <f t="shared" si="45"/>
        <v>270</v>
      </c>
    </row>
    <row r="1112" spans="1:4" x14ac:dyDescent="0.25">
      <c r="A1112" t="str">
        <f>"40510364  "</f>
        <v xml:space="preserve">40510364  </v>
      </c>
      <c r="B1112" t="s">
        <v>1096</v>
      </c>
      <c r="C1112">
        <v>12.1</v>
      </c>
      <c r="D1112" t="str">
        <f>"271"</f>
        <v>271</v>
      </c>
    </row>
    <row r="1113" spans="1:4" x14ac:dyDescent="0.25">
      <c r="A1113" t="str">
        <f>"40510372  "</f>
        <v xml:space="preserve">40510372  </v>
      </c>
      <c r="B1113" t="s">
        <v>1097</v>
      </c>
      <c r="C1113" s="1">
        <v>1100</v>
      </c>
      <c r="D1113" t="str">
        <f>"270"</f>
        <v>270</v>
      </c>
    </row>
    <row r="1114" spans="1:4" x14ac:dyDescent="0.25">
      <c r="A1114" t="str">
        <f>"40510380  "</f>
        <v xml:space="preserve">40510380  </v>
      </c>
      <c r="B1114" t="s">
        <v>1098</v>
      </c>
      <c r="C1114">
        <v>9.9</v>
      </c>
      <c r="D1114" t="str">
        <f>"270"</f>
        <v>270</v>
      </c>
    </row>
    <row r="1115" spans="1:4" x14ac:dyDescent="0.25">
      <c r="A1115" t="str">
        <f>"40510398  "</f>
        <v xml:space="preserve">40510398  </v>
      </c>
      <c r="B1115" t="s">
        <v>1099</v>
      </c>
      <c r="C1115">
        <v>12.1</v>
      </c>
      <c r="D1115" t="str">
        <f>"270"</f>
        <v>270</v>
      </c>
    </row>
    <row r="1116" spans="1:4" x14ac:dyDescent="0.25">
      <c r="A1116" t="str">
        <f>"40510406  "</f>
        <v xml:space="preserve">40510406  </v>
      </c>
      <c r="B1116" t="s">
        <v>1100</v>
      </c>
      <c r="C1116" s="1">
        <v>1650</v>
      </c>
      <c r="D1116" t="str">
        <f>"271"</f>
        <v>271</v>
      </c>
    </row>
    <row r="1117" spans="1:4" x14ac:dyDescent="0.25">
      <c r="A1117" t="str">
        <f>"40510414  "</f>
        <v xml:space="preserve">40510414  </v>
      </c>
      <c r="B1117" t="s">
        <v>1101</v>
      </c>
      <c r="C1117" s="1">
        <v>1650</v>
      </c>
      <c r="D1117" t="str">
        <f>"270"</f>
        <v>270</v>
      </c>
    </row>
    <row r="1118" spans="1:4" x14ac:dyDescent="0.25">
      <c r="A1118" t="str">
        <f>"40510422  "</f>
        <v xml:space="preserve">40510422  </v>
      </c>
      <c r="B1118" t="s">
        <v>1102</v>
      </c>
      <c r="C1118">
        <v>16.5</v>
      </c>
      <c r="D1118" t="str">
        <f>"270"</f>
        <v>270</v>
      </c>
    </row>
    <row r="1119" spans="1:4" x14ac:dyDescent="0.25">
      <c r="A1119" t="str">
        <f>"40510430  "</f>
        <v xml:space="preserve">40510430  </v>
      </c>
      <c r="B1119" t="s">
        <v>1103</v>
      </c>
      <c r="C1119">
        <v>480.7</v>
      </c>
      <c r="D1119" t="str">
        <f>"270"</f>
        <v>270</v>
      </c>
    </row>
    <row r="1120" spans="1:4" x14ac:dyDescent="0.25">
      <c r="A1120" t="str">
        <f>"40510448  "</f>
        <v xml:space="preserve">40510448  </v>
      </c>
      <c r="B1120" t="s">
        <v>1104</v>
      </c>
      <c r="C1120">
        <v>141.9</v>
      </c>
      <c r="D1120" t="str">
        <f>"271"</f>
        <v>271</v>
      </c>
    </row>
    <row r="1121" spans="1:4" x14ac:dyDescent="0.25">
      <c r="A1121" t="str">
        <f>"40510455  "</f>
        <v xml:space="preserve">40510455  </v>
      </c>
      <c r="B1121" t="s">
        <v>1105</v>
      </c>
      <c r="C1121">
        <v>39.6</v>
      </c>
      <c r="D1121" t="str">
        <f>"271"</f>
        <v>271</v>
      </c>
    </row>
    <row r="1122" spans="1:4" x14ac:dyDescent="0.25">
      <c r="A1122" t="str">
        <f>"40510463  "</f>
        <v xml:space="preserve">40510463  </v>
      </c>
      <c r="B1122" t="s">
        <v>1106</v>
      </c>
      <c r="C1122">
        <v>24.2</v>
      </c>
      <c r="D1122" t="str">
        <f t="shared" ref="D1122:D1137" si="46">"270"</f>
        <v>270</v>
      </c>
    </row>
    <row r="1123" spans="1:4" x14ac:dyDescent="0.25">
      <c r="A1123" t="str">
        <f>"40510471  "</f>
        <v xml:space="preserve">40510471  </v>
      </c>
      <c r="B1123" t="s">
        <v>1107</v>
      </c>
      <c r="C1123">
        <v>682</v>
      </c>
      <c r="D1123" t="str">
        <f t="shared" si="46"/>
        <v>270</v>
      </c>
    </row>
    <row r="1124" spans="1:4" x14ac:dyDescent="0.25">
      <c r="A1124" t="str">
        <f>"40510489  "</f>
        <v xml:space="preserve">40510489  </v>
      </c>
      <c r="B1124" t="s">
        <v>1108</v>
      </c>
      <c r="C1124">
        <v>577.5</v>
      </c>
      <c r="D1124" t="str">
        <f t="shared" si="46"/>
        <v>270</v>
      </c>
    </row>
    <row r="1125" spans="1:4" x14ac:dyDescent="0.25">
      <c r="A1125" t="str">
        <f>"40510505  "</f>
        <v xml:space="preserve">40510505  </v>
      </c>
      <c r="B1125" t="s">
        <v>1109</v>
      </c>
      <c r="C1125">
        <v>19.8</v>
      </c>
      <c r="D1125" t="str">
        <f t="shared" si="46"/>
        <v>270</v>
      </c>
    </row>
    <row r="1126" spans="1:4" x14ac:dyDescent="0.25">
      <c r="A1126" t="str">
        <f>"40510539  "</f>
        <v xml:space="preserve">40510539  </v>
      </c>
      <c r="B1126" t="s">
        <v>1110</v>
      </c>
      <c r="C1126">
        <v>139.69999999999999</v>
      </c>
      <c r="D1126" t="str">
        <f t="shared" si="46"/>
        <v>270</v>
      </c>
    </row>
    <row r="1127" spans="1:4" x14ac:dyDescent="0.25">
      <c r="A1127" t="str">
        <f>"40510547  "</f>
        <v xml:space="preserve">40510547  </v>
      </c>
      <c r="B1127" t="s">
        <v>1111</v>
      </c>
      <c r="C1127">
        <v>22</v>
      </c>
      <c r="D1127" t="str">
        <f t="shared" si="46"/>
        <v>270</v>
      </c>
    </row>
    <row r="1128" spans="1:4" x14ac:dyDescent="0.25">
      <c r="A1128" t="str">
        <f>"40510554  "</f>
        <v xml:space="preserve">40510554  </v>
      </c>
      <c r="B1128" t="s">
        <v>1112</v>
      </c>
      <c r="C1128">
        <v>232.1</v>
      </c>
      <c r="D1128" t="str">
        <f t="shared" si="46"/>
        <v>270</v>
      </c>
    </row>
    <row r="1129" spans="1:4" x14ac:dyDescent="0.25">
      <c r="A1129" t="str">
        <f>"40510562  "</f>
        <v xml:space="preserve">40510562  </v>
      </c>
      <c r="B1129" t="s">
        <v>1113</v>
      </c>
      <c r="C1129">
        <v>72.599999999999994</v>
      </c>
      <c r="D1129" t="str">
        <f t="shared" si="46"/>
        <v>270</v>
      </c>
    </row>
    <row r="1130" spans="1:4" x14ac:dyDescent="0.25">
      <c r="A1130" t="str">
        <f>"40510570  "</f>
        <v xml:space="preserve">40510570  </v>
      </c>
      <c r="B1130" t="s">
        <v>1114</v>
      </c>
      <c r="C1130">
        <v>38.5</v>
      </c>
      <c r="D1130" t="str">
        <f t="shared" si="46"/>
        <v>270</v>
      </c>
    </row>
    <row r="1131" spans="1:4" x14ac:dyDescent="0.25">
      <c r="A1131" t="str">
        <f>"40510588  "</f>
        <v xml:space="preserve">40510588  </v>
      </c>
      <c r="B1131" t="s">
        <v>1115</v>
      </c>
      <c r="C1131">
        <v>58.3</v>
      </c>
      <c r="D1131" t="str">
        <f t="shared" si="46"/>
        <v>270</v>
      </c>
    </row>
    <row r="1132" spans="1:4" x14ac:dyDescent="0.25">
      <c r="A1132" t="str">
        <f>"40510604  "</f>
        <v xml:space="preserve">40510604  </v>
      </c>
      <c r="B1132" t="s">
        <v>1116</v>
      </c>
      <c r="C1132">
        <v>61.6</v>
      </c>
      <c r="D1132" t="str">
        <f t="shared" si="46"/>
        <v>270</v>
      </c>
    </row>
    <row r="1133" spans="1:4" x14ac:dyDescent="0.25">
      <c r="A1133" t="str">
        <f>"40510612  "</f>
        <v xml:space="preserve">40510612  </v>
      </c>
      <c r="B1133" t="s">
        <v>1117</v>
      </c>
      <c r="C1133">
        <v>46.2</v>
      </c>
      <c r="D1133" t="str">
        <f t="shared" si="46"/>
        <v>270</v>
      </c>
    </row>
    <row r="1134" spans="1:4" x14ac:dyDescent="0.25">
      <c r="A1134" t="str">
        <f>"40510620  "</f>
        <v xml:space="preserve">40510620  </v>
      </c>
      <c r="B1134" t="s">
        <v>1118</v>
      </c>
      <c r="C1134">
        <v>12.1</v>
      </c>
      <c r="D1134" t="str">
        <f t="shared" si="46"/>
        <v>270</v>
      </c>
    </row>
    <row r="1135" spans="1:4" x14ac:dyDescent="0.25">
      <c r="A1135" t="str">
        <f>"40510646  "</f>
        <v xml:space="preserve">40510646  </v>
      </c>
      <c r="B1135" t="s">
        <v>1119</v>
      </c>
      <c r="C1135">
        <v>12.1</v>
      </c>
      <c r="D1135" t="str">
        <f t="shared" si="46"/>
        <v>270</v>
      </c>
    </row>
    <row r="1136" spans="1:4" x14ac:dyDescent="0.25">
      <c r="A1136" t="str">
        <f>"40510653  "</f>
        <v xml:space="preserve">40510653  </v>
      </c>
      <c r="B1136" t="s">
        <v>1120</v>
      </c>
      <c r="C1136">
        <v>192.5</v>
      </c>
      <c r="D1136" t="str">
        <f t="shared" si="46"/>
        <v>270</v>
      </c>
    </row>
    <row r="1137" spans="1:4" x14ac:dyDescent="0.25">
      <c r="A1137" t="str">
        <f>"40510679  "</f>
        <v xml:space="preserve">40510679  </v>
      </c>
      <c r="B1137" t="s">
        <v>1121</v>
      </c>
      <c r="C1137">
        <v>78.099999999999994</v>
      </c>
      <c r="D1137" t="str">
        <f t="shared" si="46"/>
        <v>270</v>
      </c>
    </row>
    <row r="1138" spans="1:4" x14ac:dyDescent="0.25">
      <c r="A1138" t="str">
        <f>"40510687  "</f>
        <v xml:space="preserve">40510687  </v>
      </c>
      <c r="B1138" t="s">
        <v>1122</v>
      </c>
      <c r="C1138">
        <v>7.7</v>
      </c>
      <c r="D1138" t="str">
        <f>"271"</f>
        <v>271</v>
      </c>
    </row>
    <row r="1139" spans="1:4" x14ac:dyDescent="0.25">
      <c r="A1139" t="str">
        <f>"40510703  "</f>
        <v xml:space="preserve">40510703  </v>
      </c>
      <c r="B1139" t="s">
        <v>1123</v>
      </c>
      <c r="C1139">
        <v>16.5</v>
      </c>
      <c r="D1139" t="str">
        <f>"270"</f>
        <v>270</v>
      </c>
    </row>
    <row r="1140" spans="1:4" x14ac:dyDescent="0.25">
      <c r="A1140" t="str">
        <f>"40510711  "</f>
        <v xml:space="preserve">40510711  </v>
      </c>
      <c r="B1140" t="s">
        <v>1124</v>
      </c>
      <c r="C1140">
        <v>3.3</v>
      </c>
      <c r="D1140" t="str">
        <f>"270"</f>
        <v>270</v>
      </c>
    </row>
    <row r="1141" spans="1:4" x14ac:dyDescent="0.25">
      <c r="A1141" t="str">
        <f>"40510729  "</f>
        <v xml:space="preserve">40510729  </v>
      </c>
      <c r="B1141" t="s">
        <v>1125</v>
      </c>
      <c r="C1141">
        <v>4.4000000000000004</v>
      </c>
      <c r="D1141" t="str">
        <f>"270"</f>
        <v>270</v>
      </c>
    </row>
    <row r="1142" spans="1:4" x14ac:dyDescent="0.25">
      <c r="A1142" t="str">
        <f>"40510737  "</f>
        <v xml:space="preserve">40510737  </v>
      </c>
      <c r="B1142" t="s">
        <v>1126</v>
      </c>
      <c r="C1142">
        <v>7.7</v>
      </c>
      <c r="D1142" t="str">
        <f>"270"</f>
        <v>270</v>
      </c>
    </row>
    <row r="1143" spans="1:4" x14ac:dyDescent="0.25">
      <c r="A1143" t="str">
        <f>"40510745  "</f>
        <v xml:space="preserve">40510745  </v>
      </c>
      <c r="B1143" t="s">
        <v>1127</v>
      </c>
      <c r="C1143">
        <v>23.1</v>
      </c>
      <c r="D1143" t="str">
        <f>"270"</f>
        <v>270</v>
      </c>
    </row>
    <row r="1144" spans="1:4" x14ac:dyDescent="0.25">
      <c r="A1144" t="str">
        <f>"40510786  "</f>
        <v xml:space="preserve">40510786  </v>
      </c>
      <c r="B1144" t="s">
        <v>1128</v>
      </c>
      <c r="C1144">
        <v>12.1</v>
      </c>
      <c r="D1144" t="str">
        <f>"271"</f>
        <v>271</v>
      </c>
    </row>
    <row r="1145" spans="1:4" x14ac:dyDescent="0.25">
      <c r="A1145" t="str">
        <f>"40510802  "</f>
        <v xml:space="preserve">40510802  </v>
      </c>
      <c r="B1145" t="s">
        <v>1129</v>
      </c>
      <c r="C1145">
        <v>22</v>
      </c>
      <c r="D1145" t="str">
        <f>"271"</f>
        <v>271</v>
      </c>
    </row>
    <row r="1146" spans="1:4" x14ac:dyDescent="0.25">
      <c r="A1146" t="str">
        <f>"40510828  "</f>
        <v xml:space="preserve">40510828  </v>
      </c>
      <c r="B1146" t="s">
        <v>1130</v>
      </c>
      <c r="C1146">
        <v>12.1</v>
      </c>
      <c r="D1146" t="str">
        <f>"271"</f>
        <v>271</v>
      </c>
    </row>
    <row r="1147" spans="1:4" x14ac:dyDescent="0.25">
      <c r="A1147" t="str">
        <f>"40510833"</f>
        <v>40510833</v>
      </c>
      <c r="B1147" t="s">
        <v>1131</v>
      </c>
      <c r="C1147">
        <v>58.3</v>
      </c>
      <c r="D1147" t="str">
        <f>"270"</f>
        <v>270</v>
      </c>
    </row>
    <row r="1148" spans="1:4" x14ac:dyDescent="0.25">
      <c r="A1148" t="str">
        <f>"40510901  "</f>
        <v xml:space="preserve">40510901  </v>
      </c>
      <c r="B1148" t="s">
        <v>1132</v>
      </c>
      <c r="C1148">
        <v>493.9</v>
      </c>
      <c r="D1148" t="str">
        <f>"278"</f>
        <v>278</v>
      </c>
    </row>
    <row r="1149" spans="1:4" x14ac:dyDescent="0.25">
      <c r="A1149" t="str">
        <f>"40510950  "</f>
        <v xml:space="preserve">40510950  </v>
      </c>
      <c r="B1149" t="s">
        <v>1133</v>
      </c>
      <c r="C1149">
        <v>110</v>
      </c>
      <c r="D1149" t="str">
        <f>"270"</f>
        <v>270</v>
      </c>
    </row>
    <row r="1150" spans="1:4" x14ac:dyDescent="0.25">
      <c r="A1150" t="str">
        <f>"40510968  "</f>
        <v xml:space="preserve">40510968  </v>
      </c>
      <c r="B1150" t="s">
        <v>1134</v>
      </c>
      <c r="C1150">
        <v>269.5</v>
      </c>
      <c r="D1150" t="str">
        <f>"270"</f>
        <v>270</v>
      </c>
    </row>
    <row r="1151" spans="1:4" x14ac:dyDescent="0.25">
      <c r="A1151" t="str">
        <f>"40510984  "</f>
        <v xml:space="preserve">40510984  </v>
      </c>
      <c r="B1151" t="s">
        <v>1135</v>
      </c>
      <c r="C1151">
        <v>600.6</v>
      </c>
      <c r="D1151" t="str">
        <f>"270"</f>
        <v>270</v>
      </c>
    </row>
    <row r="1152" spans="1:4" x14ac:dyDescent="0.25">
      <c r="A1152" t="str">
        <f>"40511222  "</f>
        <v xml:space="preserve">40511222  </v>
      </c>
      <c r="B1152" t="s">
        <v>1136</v>
      </c>
      <c r="C1152">
        <v>346.5</v>
      </c>
      <c r="D1152" t="str">
        <f>"278"</f>
        <v>278</v>
      </c>
    </row>
    <row r="1153" spans="1:5" x14ac:dyDescent="0.25">
      <c r="A1153" t="str">
        <f>"40511230  "</f>
        <v xml:space="preserve">40511230  </v>
      </c>
      <c r="B1153" t="s">
        <v>1137</v>
      </c>
      <c r="C1153">
        <v>344.3</v>
      </c>
      <c r="D1153" t="str">
        <f>"278"</f>
        <v>278</v>
      </c>
    </row>
    <row r="1154" spans="1:5" x14ac:dyDescent="0.25">
      <c r="A1154" t="str">
        <f>"40511255  "</f>
        <v xml:space="preserve">40511255  </v>
      </c>
      <c r="B1154" t="s">
        <v>1138</v>
      </c>
      <c r="C1154">
        <v>23.1</v>
      </c>
      <c r="D1154" t="str">
        <f>"270"</f>
        <v>270</v>
      </c>
    </row>
    <row r="1155" spans="1:5" x14ac:dyDescent="0.25">
      <c r="A1155" t="str">
        <f>"40511271  "</f>
        <v xml:space="preserve">40511271  </v>
      </c>
      <c r="B1155" t="s">
        <v>1139</v>
      </c>
      <c r="C1155">
        <v>44</v>
      </c>
      <c r="D1155" t="str">
        <f>"270"</f>
        <v>270</v>
      </c>
    </row>
    <row r="1156" spans="1:5" x14ac:dyDescent="0.25">
      <c r="A1156" t="str">
        <f>"40511305  "</f>
        <v xml:space="preserve">40511305  </v>
      </c>
      <c r="B1156" t="s">
        <v>1140</v>
      </c>
      <c r="C1156">
        <v>63.8</v>
      </c>
      <c r="D1156" t="str">
        <f>"272"</f>
        <v>272</v>
      </c>
      <c r="E1156" t="str">
        <f>"A4550"</f>
        <v>A4550</v>
      </c>
    </row>
    <row r="1157" spans="1:5" x14ac:dyDescent="0.25">
      <c r="A1157" t="str">
        <f>"40511321  "</f>
        <v xml:space="preserve">40511321  </v>
      </c>
      <c r="B1157" t="s">
        <v>1141</v>
      </c>
      <c r="C1157">
        <v>20.02</v>
      </c>
      <c r="D1157" t="str">
        <f>"271"</f>
        <v>271</v>
      </c>
    </row>
    <row r="1158" spans="1:5" x14ac:dyDescent="0.25">
      <c r="A1158" t="str">
        <f>"40511339  "</f>
        <v xml:space="preserve">40511339  </v>
      </c>
      <c r="B1158" t="s">
        <v>1142</v>
      </c>
      <c r="C1158">
        <v>16.5</v>
      </c>
      <c r="D1158" t="str">
        <f>"270"</f>
        <v>270</v>
      </c>
    </row>
    <row r="1159" spans="1:5" x14ac:dyDescent="0.25">
      <c r="A1159" t="str">
        <f>"40511347  "</f>
        <v xml:space="preserve">40511347  </v>
      </c>
      <c r="B1159" t="s">
        <v>1143</v>
      </c>
      <c r="C1159">
        <v>73.7</v>
      </c>
      <c r="D1159" t="str">
        <f>"270"</f>
        <v>270</v>
      </c>
    </row>
    <row r="1160" spans="1:5" x14ac:dyDescent="0.25">
      <c r="A1160" t="str">
        <f>"40511354  "</f>
        <v xml:space="preserve">40511354  </v>
      </c>
      <c r="B1160" t="s">
        <v>1144</v>
      </c>
      <c r="C1160">
        <v>37.4</v>
      </c>
      <c r="D1160" t="str">
        <f>"270"</f>
        <v>270</v>
      </c>
    </row>
    <row r="1161" spans="1:5" x14ac:dyDescent="0.25">
      <c r="A1161" t="str">
        <f>"40511362  "</f>
        <v xml:space="preserve">40511362  </v>
      </c>
      <c r="B1161" t="s">
        <v>1145</v>
      </c>
      <c r="C1161">
        <v>358.6</v>
      </c>
      <c r="D1161" t="str">
        <f>"271"</f>
        <v>271</v>
      </c>
    </row>
    <row r="1162" spans="1:5" x14ac:dyDescent="0.25">
      <c r="A1162" t="str">
        <f>"40511370  "</f>
        <v xml:space="preserve">40511370  </v>
      </c>
      <c r="B1162" t="s">
        <v>1146</v>
      </c>
      <c r="C1162">
        <v>262.89999999999998</v>
      </c>
      <c r="D1162" t="str">
        <f>"270"</f>
        <v>270</v>
      </c>
    </row>
    <row r="1163" spans="1:5" x14ac:dyDescent="0.25">
      <c r="A1163" t="str">
        <f>"40511388  "</f>
        <v xml:space="preserve">40511388  </v>
      </c>
      <c r="B1163" t="s">
        <v>1147</v>
      </c>
      <c r="C1163">
        <v>262.89999999999998</v>
      </c>
      <c r="D1163" t="str">
        <f>"270"</f>
        <v>270</v>
      </c>
    </row>
    <row r="1164" spans="1:5" x14ac:dyDescent="0.25">
      <c r="A1164" t="str">
        <f>"40511396  "</f>
        <v xml:space="preserve">40511396  </v>
      </c>
      <c r="B1164" t="s">
        <v>1148</v>
      </c>
      <c r="C1164">
        <v>279.39999999999998</v>
      </c>
      <c r="D1164" t="str">
        <f>"270"</f>
        <v>270</v>
      </c>
    </row>
    <row r="1165" spans="1:5" x14ac:dyDescent="0.25">
      <c r="A1165" t="str">
        <f>"40511404  "</f>
        <v xml:space="preserve">40511404  </v>
      </c>
      <c r="B1165" t="s">
        <v>1149</v>
      </c>
      <c r="C1165">
        <v>260.7</v>
      </c>
      <c r="D1165" t="str">
        <f>"272"</f>
        <v>272</v>
      </c>
    </row>
    <row r="1166" spans="1:5" x14ac:dyDescent="0.25">
      <c r="A1166" t="str">
        <f>"40511412  "</f>
        <v xml:space="preserve">40511412  </v>
      </c>
      <c r="B1166" t="s">
        <v>1150</v>
      </c>
      <c r="C1166">
        <v>166.1</v>
      </c>
      <c r="D1166" t="str">
        <f>"270"</f>
        <v>270</v>
      </c>
    </row>
    <row r="1167" spans="1:5" x14ac:dyDescent="0.25">
      <c r="A1167" t="str">
        <f>"40511420  "</f>
        <v xml:space="preserve">40511420  </v>
      </c>
      <c r="B1167" t="s">
        <v>1151</v>
      </c>
      <c r="C1167">
        <v>201.3</v>
      </c>
      <c r="D1167" t="str">
        <f>"270"</f>
        <v>270</v>
      </c>
    </row>
    <row r="1168" spans="1:5" x14ac:dyDescent="0.25">
      <c r="A1168" t="str">
        <f>"40511438  "</f>
        <v xml:space="preserve">40511438  </v>
      </c>
      <c r="B1168" t="s">
        <v>1152</v>
      </c>
      <c r="C1168">
        <v>15.55</v>
      </c>
      <c r="D1168" t="str">
        <f>"270"</f>
        <v>270</v>
      </c>
    </row>
    <row r="1169" spans="1:4" x14ac:dyDescent="0.25">
      <c r="A1169" t="str">
        <f>"4051144"</f>
        <v>4051144</v>
      </c>
      <c r="B1169" t="s">
        <v>1153</v>
      </c>
      <c r="C1169" s="1">
        <v>3246.1</v>
      </c>
      <c r="D1169" t="str">
        <f>"278"</f>
        <v>278</v>
      </c>
    </row>
    <row r="1170" spans="1:4" x14ac:dyDescent="0.25">
      <c r="A1170" t="str">
        <f>"40511453  "</f>
        <v xml:space="preserve">40511453  </v>
      </c>
      <c r="B1170" t="s">
        <v>1154</v>
      </c>
      <c r="C1170">
        <v>53.9</v>
      </c>
      <c r="D1170" t="str">
        <f>"270"</f>
        <v>270</v>
      </c>
    </row>
    <row r="1171" spans="1:4" x14ac:dyDescent="0.25">
      <c r="A1171" t="str">
        <f>"40511460"</f>
        <v>40511460</v>
      </c>
      <c r="B1171" t="s">
        <v>1155</v>
      </c>
      <c r="C1171" s="1">
        <v>3877.5</v>
      </c>
      <c r="D1171" t="str">
        <f>"270"</f>
        <v>270</v>
      </c>
    </row>
    <row r="1172" spans="1:4" x14ac:dyDescent="0.25">
      <c r="A1172" t="str">
        <f>"40511470"</f>
        <v>40511470</v>
      </c>
      <c r="B1172" t="s">
        <v>1156</v>
      </c>
      <c r="C1172" s="1">
        <v>2467.3000000000002</v>
      </c>
      <c r="D1172" t="str">
        <f>"278"</f>
        <v>278</v>
      </c>
    </row>
    <row r="1173" spans="1:4" x14ac:dyDescent="0.25">
      <c r="A1173" t="str">
        <f>"40511480"</f>
        <v>40511480</v>
      </c>
      <c r="B1173" t="s">
        <v>1157</v>
      </c>
      <c r="C1173">
        <v>990</v>
      </c>
      <c r="D1173" t="str">
        <f>"270"</f>
        <v>270</v>
      </c>
    </row>
    <row r="1174" spans="1:4" x14ac:dyDescent="0.25">
      <c r="A1174" t="str">
        <f>"40511490"</f>
        <v>40511490</v>
      </c>
      <c r="B1174" t="s">
        <v>1158</v>
      </c>
      <c r="C1174">
        <v>817.3</v>
      </c>
      <c r="D1174" t="str">
        <f>"270"</f>
        <v>270</v>
      </c>
    </row>
    <row r="1175" spans="1:4" x14ac:dyDescent="0.25">
      <c r="A1175" t="str">
        <f>"40511503  "</f>
        <v xml:space="preserve">40511503  </v>
      </c>
      <c r="B1175" t="s">
        <v>1159</v>
      </c>
      <c r="C1175">
        <v>12.1</v>
      </c>
      <c r="D1175" t="str">
        <f>"270"</f>
        <v>270</v>
      </c>
    </row>
    <row r="1176" spans="1:4" x14ac:dyDescent="0.25">
      <c r="A1176" t="str">
        <f>"40511511  "</f>
        <v xml:space="preserve">40511511  </v>
      </c>
      <c r="B1176" t="s">
        <v>1160</v>
      </c>
      <c r="C1176">
        <v>47.3</v>
      </c>
      <c r="D1176" t="str">
        <f>"270"</f>
        <v>270</v>
      </c>
    </row>
    <row r="1177" spans="1:4" x14ac:dyDescent="0.25">
      <c r="A1177" t="str">
        <f>"40511529  "</f>
        <v xml:space="preserve">40511529  </v>
      </c>
      <c r="B1177" t="s">
        <v>1161</v>
      </c>
      <c r="C1177" s="1">
        <v>4675</v>
      </c>
      <c r="D1177" t="str">
        <f>"278"</f>
        <v>278</v>
      </c>
    </row>
    <row r="1178" spans="1:4" x14ac:dyDescent="0.25">
      <c r="A1178" t="str">
        <f>"40511537  "</f>
        <v xml:space="preserve">40511537  </v>
      </c>
      <c r="B1178" t="s">
        <v>1162</v>
      </c>
      <c r="C1178">
        <v>276.10000000000002</v>
      </c>
      <c r="D1178" t="str">
        <f t="shared" ref="D1178:D1194" si="47">"270"</f>
        <v>270</v>
      </c>
    </row>
    <row r="1179" spans="1:4" x14ac:dyDescent="0.25">
      <c r="A1179" t="str">
        <f>"40511545  "</f>
        <v xml:space="preserve">40511545  </v>
      </c>
      <c r="B1179" t="s">
        <v>1163</v>
      </c>
      <c r="C1179">
        <v>192.5</v>
      </c>
      <c r="D1179" t="str">
        <f t="shared" si="47"/>
        <v>270</v>
      </c>
    </row>
    <row r="1180" spans="1:4" x14ac:dyDescent="0.25">
      <c r="A1180" t="str">
        <f>"40511552  "</f>
        <v xml:space="preserve">40511552  </v>
      </c>
      <c r="B1180" t="s">
        <v>1164</v>
      </c>
      <c r="C1180">
        <v>47.3</v>
      </c>
      <c r="D1180" t="str">
        <f t="shared" si="47"/>
        <v>270</v>
      </c>
    </row>
    <row r="1181" spans="1:4" x14ac:dyDescent="0.25">
      <c r="A1181" t="str">
        <f>"40511560"</f>
        <v>40511560</v>
      </c>
      <c r="B1181" t="s">
        <v>1165</v>
      </c>
      <c r="C1181">
        <v>291.5</v>
      </c>
      <c r="D1181" t="str">
        <f t="shared" si="47"/>
        <v>270</v>
      </c>
    </row>
    <row r="1182" spans="1:4" x14ac:dyDescent="0.25">
      <c r="A1182" t="str">
        <f>"4051157"</f>
        <v>4051157</v>
      </c>
      <c r="B1182" t="s">
        <v>1166</v>
      </c>
      <c r="C1182" s="1">
        <v>7425</v>
      </c>
      <c r="D1182" t="str">
        <f t="shared" si="47"/>
        <v>270</v>
      </c>
    </row>
    <row r="1183" spans="1:4" x14ac:dyDescent="0.25">
      <c r="A1183" t="str">
        <f>"40511580"</f>
        <v>40511580</v>
      </c>
      <c r="B1183" t="s">
        <v>1167</v>
      </c>
      <c r="C1183" s="1">
        <v>7301.8</v>
      </c>
      <c r="D1183" t="str">
        <f t="shared" si="47"/>
        <v>270</v>
      </c>
    </row>
    <row r="1184" spans="1:4" x14ac:dyDescent="0.25">
      <c r="A1184" t="str">
        <f>"40511602  "</f>
        <v xml:space="preserve">40511602  </v>
      </c>
      <c r="B1184" t="s">
        <v>1168</v>
      </c>
      <c r="C1184">
        <v>46.2</v>
      </c>
      <c r="D1184" t="str">
        <f t="shared" si="47"/>
        <v>270</v>
      </c>
    </row>
    <row r="1185" spans="1:4" x14ac:dyDescent="0.25">
      <c r="A1185" t="str">
        <f>"4051161"</f>
        <v>4051161</v>
      </c>
      <c r="B1185" t="s">
        <v>1169</v>
      </c>
      <c r="C1185">
        <v>72.599999999999994</v>
      </c>
      <c r="D1185" t="str">
        <f t="shared" si="47"/>
        <v>270</v>
      </c>
    </row>
    <row r="1186" spans="1:4" x14ac:dyDescent="0.25">
      <c r="A1186" t="str">
        <f>"40511620"</f>
        <v>40511620</v>
      </c>
      <c r="B1186" t="s">
        <v>1170</v>
      </c>
      <c r="C1186">
        <v>137.5</v>
      </c>
      <c r="D1186" t="str">
        <f t="shared" si="47"/>
        <v>270</v>
      </c>
    </row>
    <row r="1187" spans="1:4" x14ac:dyDescent="0.25">
      <c r="A1187" t="str">
        <f>"40511630"</f>
        <v>40511630</v>
      </c>
      <c r="B1187" t="s">
        <v>1171</v>
      </c>
      <c r="C1187">
        <v>38.5</v>
      </c>
      <c r="D1187" t="str">
        <f t="shared" si="47"/>
        <v>270</v>
      </c>
    </row>
    <row r="1188" spans="1:4" x14ac:dyDescent="0.25">
      <c r="A1188" t="str">
        <f>"4051164"</f>
        <v>4051164</v>
      </c>
      <c r="B1188" t="s">
        <v>1172</v>
      </c>
      <c r="C1188">
        <v>182.6</v>
      </c>
      <c r="D1188" t="str">
        <f t="shared" si="47"/>
        <v>270</v>
      </c>
    </row>
    <row r="1189" spans="1:4" x14ac:dyDescent="0.25">
      <c r="A1189" t="str">
        <f>"40511660"</f>
        <v>40511660</v>
      </c>
      <c r="B1189" t="s">
        <v>1173</v>
      </c>
      <c r="C1189">
        <v>83.6</v>
      </c>
      <c r="D1189" t="str">
        <f t="shared" si="47"/>
        <v>270</v>
      </c>
    </row>
    <row r="1190" spans="1:4" x14ac:dyDescent="0.25">
      <c r="A1190" t="str">
        <f>"40511677  "</f>
        <v xml:space="preserve">40511677  </v>
      </c>
      <c r="B1190" t="s">
        <v>1174</v>
      </c>
      <c r="C1190">
        <v>260.7</v>
      </c>
      <c r="D1190" t="str">
        <f t="shared" si="47"/>
        <v>270</v>
      </c>
    </row>
    <row r="1191" spans="1:4" x14ac:dyDescent="0.25">
      <c r="A1191" t="str">
        <f>"40511680"</f>
        <v>40511680</v>
      </c>
      <c r="B1191" t="s">
        <v>1175</v>
      </c>
      <c r="C1191" s="1">
        <v>1567.5</v>
      </c>
      <c r="D1191" t="str">
        <f t="shared" si="47"/>
        <v>270</v>
      </c>
    </row>
    <row r="1192" spans="1:4" x14ac:dyDescent="0.25">
      <c r="A1192" t="str">
        <f>"40511690"</f>
        <v>40511690</v>
      </c>
      <c r="B1192" t="s">
        <v>1176</v>
      </c>
      <c r="C1192">
        <v>990</v>
      </c>
      <c r="D1192" t="str">
        <f t="shared" si="47"/>
        <v>270</v>
      </c>
    </row>
    <row r="1193" spans="1:4" x14ac:dyDescent="0.25">
      <c r="A1193" t="str">
        <f>"40511701  "</f>
        <v xml:space="preserve">40511701  </v>
      </c>
      <c r="B1193" t="s">
        <v>1177</v>
      </c>
      <c r="C1193">
        <v>66</v>
      </c>
      <c r="D1193" t="str">
        <f t="shared" si="47"/>
        <v>270</v>
      </c>
    </row>
    <row r="1194" spans="1:4" x14ac:dyDescent="0.25">
      <c r="A1194" t="str">
        <f>"40511720"</f>
        <v>40511720</v>
      </c>
      <c r="B1194" t="s">
        <v>1178</v>
      </c>
      <c r="C1194">
        <v>37.4</v>
      </c>
      <c r="D1194" t="str">
        <f t="shared" si="47"/>
        <v>270</v>
      </c>
    </row>
    <row r="1195" spans="1:4" x14ac:dyDescent="0.25">
      <c r="A1195" t="str">
        <f>"40511735  "</f>
        <v xml:space="preserve">40511735  </v>
      </c>
      <c r="B1195" t="s">
        <v>1179</v>
      </c>
      <c r="C1195" s="1">
        <v>3877.5</v>
      </c>
      <c r="D1195" t="str">
        <f>"278"</f>
        <v>278</v>
      </c>
    </row>
    <row r="1196" spans="1:4" x14ac:dyDescent="0.25">
      <c r="A1196" t="str">
        <f>"40511743  "</f>
        <v xml:space="preserve">40511743  </v>
      </c>
      <c r="B1196" t="s">
        <v>387</v>
      </c>
      <c r="C1196" s="1">
        <v>6101.7</v>
      </c>
      <c r="D1196" t="str">
        <f>"278"</f>
        <v>278</v>
      </c>
    </row>
    <row r="1197" spans="1:4" x14ac:dyDescent="0.25">
      <c r="A1197" t="str">
        <f>"40511750  "</f>
        <v xml:space="preserve">40511750  </v>
      </c>
      <c r="B1197" t="s">
        <v>1180</v>
      </c>
      <c r="C1197">
        <v>25.3</v>
      </c>
      <c r="D1197" t="str">
        <f t="shared" ref="D1197:D1202" si="48">"270"</f>
        <v>270</v>
      </c>
    </row>
    <row r="1198" spans="1:4" x14ac:dyDescent="0.25">
      <c r="A1198" t="str">
        <f>"40511768  "</f>
        <v xml:space="preserve">40511768  </v>
      </c>
      <c r="B1198" t="s">
        <v>1181</v>
      </c>
      <c r="C1198">
        <v>36.299999999999997</v>
      </c>
      <c r="D1198" t="str">
        <f t="shared" si="48"/>
        <v>270</v>
      </c>
    </row>
    <row r="1199" spans="1:4" x14ac:dyDescent="0.25">
      <c r="A1199" t="str">
        <f>"40511776  "</f>
        <v xml:space="preserve">40511776  </v>
      </c>
      <c r="B1199" t="s">
        <v>1182</v>
      </c>
      <c r="C1199">
        <v>124.3</v>
      </c>
      <c r="D1199" t="str">
        <f t="shared" si="48"/>
        <v>270</v>
      </c>
    </row>
    <row r="1200" spans="1:4" x14ac:dyDescent="0.25">
      <c r="A1200" t="str">
        <f>"40511784  "</f>
        <v xml:space="preserve">40511784  </v>
      </c>
      <c r="B1200" t="s">
        <v>1183</v>
      </c>
      <c r="C1200">
        <v>40.700000000000003</v>
      </c>
      <c r="D1200" t="str">
        <f t="shared" si="48"/>
        <v>270</v>
      </c>
    </row>
    <row r="1201" spans="1:5" x14ac:dyDescent="0.25">
      <c r="A1201" t="str">
        <f>"40511792  "</f>
        <v xml:space="preserve">40511792  </v>
      </c>
      <c r="B1201" t="s">
        <v>1184</v>
      </c>
      <c r="C1201">
        <v>88</v>
      </c>
      <c r="D1201" t="str">
        <f t="shared" si="48"/>
        <v>270</v>
      </c>
    </row>
    <row r="1202" spans="1:5" x14ac:dyDescent="0.25">
      <c r="A1202" t="str">
        <f>"40511800  "</f>
        <v xml:space="preserve">40511800  </v>
      </c>
      <c r="B1202" t="s">
        <v>1185</v>
      </c>
      <c r="C1202">
        <v>25.3</v>
      </c>
      <c r="D1202" t="str">
        <f t="shared" si="48"/>
        <v>270</v>
      </c>
      <c r="E1202" t="str">
        <f>"A4358"</f>
        <v>A4358</v>
      </c>
    </row>
    <row r="1203" spans="1:5" x14ac:dyDescent="0.25">
      <c r="A1203" t="str">
        <f>"40511859  "</f>
        <v xml:space="preserve">40511859  </v>
      </c>
      <c r="B1203" t="s">
        <v>1186</v>
      </c>
      <c r="C1203">
        <v>73.7</v>
      </c>
      <c r="D1203" t="str">
        <f>"272"</f>
        <v>272</v>
      </c>
    </row>
    <row r="1204" spans="1:5" x14ac:dyDescent="0.25">
      <c r="A1204" t="str">
        <f>"40511890"</f>
        <v>40511890</v>
      </c>
      <c r="B1204" t="s">
        <v>1187</v>
      </c>
      <c r="C1204">
        <v>410.3</v>
      </c>
      <c r="D1204" t="str">
        <f>"270"</f>
        <v>270</v>
      </c>
    </row>
    <row r="1205" spans="1:5" x14ac:dyDescent="0.25">
      <c r="A1205" t="str">
        <f>"40511909  "</f>
        <v xml:space="preserve">40511909  </v>
      </c>
      <c r="B1205" t="s">
        <v>1188</v>
      </c>
      <c r="C1205">
        <v>12.1</v>
      </c>
      <c r="D1205" t="str">
        <f>"270"</f>
        <v>270</v>
      </c>
    </row>
    <row r="1206" spans="1:5" x14ac:dyDescent="0.25">
      <c r="A1206" t="str">
        <f>"40511917  "</f>
        <v xml:space="preserve">40511917  </v>
      </c>
      <c r="B1206" t="s">
        <v>1189</v>
      </c>
      <c r="C1206">
        <v>16.5</v>
      </c>
      <c r="D1206" t="str">
        <f>"270"</f>
        <v>270</v>
      </c>
    </row>
    <row r="1207" spans="1:5" x14ac:dyDescent="0.25">
      <c r="A1207" t="str">
        <f>"40511925  "</f>
        <v xml:space="preserve">40511925  </v>
      </c>
      <c r="B1207" t="s">
        <v>1190</v>
      </c>
      <c r="C1207" s="1">
        <v>5500</v>
      </c>
      <c r="D1207" t="str">
        <f>"278"</f>
        <v>278</v>
      </c>
    </row>
    <row r="1208" spans="1:5" x14ac:dyDescent="0.25">
      <c r="A1208" t="str">
        <f>"40511930"</f>
        <v>40511930</v>
      </c>
      <c r="B1208" t="s">
        <v>1191</v>
      </c>
      <c r="C1208" s="1">
        <v>2970</v>
      </c>
      <c r="D1208" t="str">
        <f>"270"</f>
        <v>270</v>
      </c>
    </row>
    <row r="1209" spans="1:5" x14ac:dyDescent="0.25">
      <c r="A1209" t="str">
        <f>"40511931"</f>
        <v>40511931</v>
      </c>
      <c r="B1209" t="s">
        <v>1192</v>
      </c>
      <c r="C1209">
        <v>31.9</v>
      </c>
      <c r="D1209" t="str">
        <f>"270"</f>
        <v>270</v>
      </c>
    </row>
    <row r="1210" spans="1:5" x14ac:dyDescent="0.25">
      <c r="A1210" t="str">
        <f>"40511949"</f>
        <v>40511949</v>
      </c>
      <c r="B1210" t="s">
        <v>1193</v>
      </c>
      <c r="C1210">
        <v>493.9</v>
      </c>
      <c r="D1210" t="str">
        <f>"270       "</f>
        <v xml:space="preserve">270       </v>
      </c>
    </row>
    <row r="1211" spans="1:5" x14ac:dyDescent="0.25">
      <c r="A1211" t="str">
        <f>"40511958  "</f>
        <v xml:space="preserve">40511958  </v>
      </c>
      <c r="B1211" t="s">
        <v>1194</v>
      </c>
      <c r="C1211">
        <v>37.4</v>
      </c>
      <c r="D1211" t="str">
        <f>"270"</f>
        <v>270</v>
      </c>
    </row>
    <row r="1212" spans="1:5" x14ac:dyDescent="0.25">
      <c r="A1212" t="str">
        <f>"40511964"</f>
        <v>40511964</v>
      </c>
      <c r="B1212" t="s">
        <v>1195</v>
      </c>
      <c r="C1212" s="1">
        <v>4880.7</v>
      </c>
      <c r="D1212" t="str">
        <f>"270"</f>
        <v>270</v>
      </c>
    </row>
    <row r="1213" spans="1:5" x14ac:dyDescent="0.25">
      <c r="A1213" t="str">
        <f>"40511974  "</f>
        <v xml:space="preserve">40511974  </v>
      </c>
      <c r="B1213" t="s">
        <v>1196</v>
      </c>
      <c r="C1213">
        <v>28.6</v>
      </c>
      <c r="D1213" t="str">
        <f>"270"</f>
        <v>270</v>
      </c>
    </row>
    <row r="1214" spans="1:5" x14ac:dyDescent="0.25">
      <c r="A1214" t="str">
        <f>"40511989"</f>
        <v>40511989</v>
      </c>
      <c r="B1214" t="s">
        <v>1197</v>
      </c>
      <c r="C1214">
        <v>293.7</v>
      </c>
      <c r="D1214" t="str">
        <f>"270"</f>
        <v>270</v>
      </c>
    </row>
    <row r="1215" spans="1:5" x14ac:dyDescent="0.25">
      <c r="A1215" t="str">
        <f>"40511990  "</f>
        <v xml:space="preserve">40511990  </v>
      </c>
      <c r="B1215" t="s">
        <v>1198</v>
      </c>
      <c r="C1215">
        <v>33</v>
      </c>
      <c r="D1215" t="str">
        <f>"272"</f>
        <v>272</v>
      </c>
    </row>
    <row r="1216" spans="1:5" x14ac:dyDescent="0.25">
      <c r="A1216" t="str">
        <f>"40512055  "</f>
        <v xml:space="preserve">40512055  </v>
      </c>
      <c r="B1216" t="s">
        <v>1199</v>
      </c>
      <c r="C1216">
        <v>105.6</v>
      </c>
      <c r="D1216" t="str">
        <f>"272"</f>
        <v>272</v>
      </c>
      <c r="E1216" t="str">
        <f>"A4550"</f>
        <v>A4550</v>
      </c>
    </row>
    <row r="1217" spans="1:5" x14ac:dyDescent="0.25">
      <c r="A1217" t="str">
        <f>"40512105  "</f>
        <v xml:space="preserve">40512105  </v>
      </c>
      <c r="B1217" t="s">
        <v>1200</v>
      </c>
      <c r="C1217">
        <v>7.7</v>
      </c>
      <c r="D1217" t="str">
        <f>"270"</f>
        <v>270</v>
      </c>
    </row>
    <row r="1218" spans="1:5" x14ac:dyDescent="0.25">
      <c r="A1218" t="str">
        <f>"40512154  "</f>
        <v xml:space="preserve">40512154  </v>
      </c>
      <c r="B1218" t="s">
        <v>1201</v>
      </c>
      <c r="C1218">
        <v>27.5</v>
      </c>
      <c r="D1218" t="str">
        <f>"270"</f>
        <v>270</v>
      </c>
    </row>
    <row r="1219" spans="1:5" x14ac:dyDescent="0.25">
      <c r="A1219" t="str">
        <f>"40512162  "</f>
        <v xml:space="preserve">40512162  </v>
      </c>
      <c r="B1219" t="s">
        <v>1202</v>
      </c>
      <c r="C1219">
        <v>194.7</v>
      </c>
      <c r="D1219" t="str">
        <f>"270"</f>
        <v>270</v>
      </c>
      <c r="E1219" t="str">
        <f>"A4590"</f>
        <v>A4590</v>
      </c>
    </row>
    <row r="1220" spans="1:5" x14ac:dyDescent="0.25">
      <c r="A1220" t="str">
        <f>"40512173"</f>
        <v>40512173</v>
      </c>
      <c r="B1220" t="s">
        <v>1203</v>
      </c>
      <c r="C1220" s="1">
        <v>1430</v>
      </c>
      <c r="D1220" t="str">
        <f>"270"</f>
        <v>270</v>
      </c>
    </row>
    <row r="1221" spans="1:5" x14ac:dyDescent="0.25">
      <c r="A1221" t="str">
        <f>"40512188  "</f>
        <v xml:space="preserve">40512188  </v>
      </c>
      <c r="B1221" t="s">
        <v>1204</v>
      </c>
      <c r="C1221">
        <v>132</v>
      </c>
      <c r="D1221" t="str">
        <f>"270"</f>
        <v>270</v>
      </c>
    </row>
    <row r="1222" spans="1:5" x14ac:dyDescent="0.25">
      <c r="A1222" t="str">
        <f>"40512193"</f>
        <v>40512193</v>
      </c>
      <c r="B1222" t="s">
        <v>1205</v>
      </c>
      <c r="C1222" s="1">
        <v>3168</v>
      </c>
      <c r="D1222" t="str">
        <f>"278"</f>
        <v>278</v>
      </c>
    </row>
    <row r="1223" spans="1:5" x14ac:dyDescent="0.25">
      <c r="A1223" t="str">
        <f>"40512204  "</f>
        <v xml:space="preserve">40512204  </v>
      </c>
      <c r="B1223" t="s">
        <v>1206</v>
      </c>
      <c r="C1223">
        <v>49.5</v>
      </c>
      <c r="D1223" t="str">
        <f>"270"</f>
        <v>270</v>
      </c>
      <c r="E1223" t="str">
        <f>"A4590"</f>
        <v>A4590</v>
      </c>
    </row>
    <row r="1224" spans="1:5" x14ac:dyDescent="0.25">
      <c r="A1224" t="str">
        <f>"40512212  "</f>
        <v xml:space="preserve">40512212  </v>
      </c>
      <c r="B1224" t="s">
        <v>1207</v>
      </c>
      <c r="C1224">
        <v>291.5</v>
      </c>
      <c r="D1224" t="str">
        <f>"270"</f>
        <v>270</v>
      </c>
      <c r="E1224" t="str">
        <f>"A4590"</f>
        <v>A4590</v>
      </c>
    </row>
    <row r="1225" spans="1:5" x14ac:dyDescent="0.25">
      <c r="A1225" t="str">
        <f>"40512223"</f>
        <v>40512223</v>
      </c>
      <c r="B1225" t="s">
        <v>1208</v>
      </c>
      <c r="C1225" s="1">
        <v>1540</v>
      </c>
      <c r="D1225" t="str">
        <f>"278"</f>
        <v>278</v>
      </c>
    </row>
    <row r="1226" spans="1:5" x14ac:dyDescent="0.25">
      <c r="A1226" t="str">
        <f>"405122287"</f>
        <v>405122287</v>
      </c>
      <c r="B1226" t="s">
        <v>1209</v>
      </c>
      <c r="C1226">
        <v>493.9</v>
      </c>
      <c r="D1226" t="str">
        <f t="shared" ref="D1226:D1233" si="49">"270"</f>
        <v>270</v>
      </c>
    </row>
    <row r="1227" spans="1:5" x14ac:dyDescent="0.25">
      <c r="A1227" t="str">
        <f>"40512238  "</f>
        <v xml:space="preserve">40512238  </v>
      </c>
      <c r="B1227" t="s">
        <v>1210</v>
      </c>
      <c r="C1227">
        <v>194.7</v>
      </c>
      <c r="D1227" t="str">
        <f t="shared" si="49"/>
        <v>270</v>
      </c>
    </row>
    <row r="1228" spans="1:5" x14ac:dyDescent="0.25">
      <c r="A1228" t="str">
        <f>"40512243"</f>
        <v>40512243</v>
      </c>
      <c r="B1228" t="s">
        <v>1211</v>
      </c>
      <c r="C1228">
        <v>831.6</v>
      </c>
      <c r="D1228" t="str">
        <f t="shared" si="49"/>
        <v>270</v>
      </c>
    </row>
    <row r="1229" spans="1:5" x14ac:dyDescent="0.25">
      <c r="A1229" t="str">
        <f>"40512253  "</f>
        <v xml:space="preserve">40512253  </v>
      </c>
      <c r="B1229" t="s">
        <v>1212</v>
      </c>
      <c r="C1229">
        <v>37.4</v>
      </c>
      <c r="D1229" t="str">
        <f t="shared" si="49"/>
        <v>270</v>
      </c>
      <c r="E1229" t="str">
        <f>"A4590"</f>
        <v>A4590</v>
      </c>
    </row>
    <row r="1230" spans="1:5" x14ac:dyDescent="0.25">
      <c r="A1230" t="str">
        <f>"40512261  "</f>
        <v xml:space="preserve">40512261  </v>
      </c>
      <c r="B1230" t="s">
        <v>1213</v>
      </c>
      <c r="C1230">
        <v>49.5</v>
      </c>
      <c r="D1230" t="str">
        <f t="shared" si="49"/>
        <v>270</v>
      </c>
      <c r="E1230" t="str">
        <f>"A4590"</f>
        <v>A4590</v>
      </c>
    </row>
    <row r="1231" spans="1:5" x14ac:dyDescent="0.25">
      <c r="A1231" t="str">
        <f>"40512273"</f>
        <v>40512273</v>
      </c>
      <c r="B1231" t="s">
        <v>1214</v>
      </c>
      <c r="C1231">
        <v>123.2</v>
      </c>
      <c r="D1231" t="str">
        <f t="shared" si="49"/>
        <v>270</v>
      </c>
    </row>
    <row r="1232" spans="1:5" x14ac:dyDescent="0.25">
      <c r="A1232" t="str">
        <f>"40512287  "</f>
        <v xml:space="preserve">40512287  </v>
      </c>
      <c r="B1232" t="s">
        <v>1215</v>
      </c>
      <c r="C1232">
        <v>643.5</v>
      </c>
      <c r="D1232" t="str">
        <f t="shared" si="49"/>
        <v>270</v>
      </c>
    </row>
    <row r="1233" spans="1:4" x14ac:dyDescent="0.25">
      <c r="A1233" t="str">
        <f>"40512295  "</f>
        <v xml:space="preserve">40512295  </v>
      </c>
      <c r="B1233" t="s">
        <v>1216</v>
      </c>
      <c r="C1233">
        <v>198</v>
      </c>
      <c r="D1233" t="str">
        <f t="shared" si="49"/>
        <v>270</v>
      </c>
    </row>
    <row r="1234" spans="1:4" x14ac:dyDescent="0.25">
      <c r="A1234" t="str">
        <f>"40512303  "</f>
        <v xml:space="preserve">40512303  </v>
      </c>
      <c r="B1234" t="s">
        <v>1217</v>
      </c>
      <c r="C1234">
        <v>12.1</v>
      </c>
      <c r="D1234" t="str">
        <f>"271"</f>
        <v>271</v>
      </c>
    </row>
    <row r="1235" spans="1:4" x14ac:dyDescent="0.25">
      <c r="A1235" t="str">
        <f>"40512319"</f>
        <v>40512319</v>
      </c>
      <c r="B1235" t="s">
        <v>1218</v>
      </c>
      <c r="C1235">
        <v>577.5</v>
      </c>
      <c r="D1235" t="str">
        <f>"270"</f>
        <v>270</v>
      </c>
    </row>
    <row r="1236" spans="1:4" x14ac:dyDescent="0.25">
      <c r="A1236" t="str">
        <f>"40512329  "</f>
        <v xml:space="preserve">40512329  </v>
      </c>
      <c r="B1236" t="s">
        <v>1219</v>
      </c>
      <c r="C1236">
        <v>335.5</v>
      </c>
      <c r="D1236" t="str">
        <f>"270"</f>
        <v>270</v>
      </c>
    </row>
    <row r="1237" spans="1:4" x14ac:dyDescent="0.25">
      <c r="A1237" t="str">
        <f>"40512330"</f>
        <v>40512330</v>
      </c>
      <c r="B1237" t="s">
        <v>1220</v>
      </c>
      <c r="C1237" s="1">
        <v>2722.5</v>
      </c>
      <c r="D1237" t="str">
        <f>"270"</f>
        <v>270</v>
      </c>
    </row>
    <row r="1238" spans="1:4" x14ac:dyDescent="0.25">
      <c r="A1238" t="str">
        <f>"40512345  "</f>
        <v xml:space="preserve">40512345  </v>
      </c>
      <c r="B1238" t="s">
        <v>1221</v>
      </c>
      <c r="C1238">
        <v>110</v>
      </c>
      <c r="D1238" t="str">
        <f>"307"</f>
        <v>307</v>
      </c>
    </row>
    <row r="1239" spans="1:4" x14ac:dyDescent="0.25">
      <c r="A1239" t="str">
        <f>"40512352  "</f>
        <v xml:space="preserve">40512352  </v>
      </c>
      <c r="B1239" t="s">
        <v>1222</v>
      </c>
      <c r="C1239">
        <v>41.8</v>
      </c>
      <c r="D1239" t="str">
        <f>"271"</f>
        <v>271</v>
      </c>
    </row>
    <row r="1240" spans="1:4" x14ac:dyDescent="0.25">
      <c r="A1240" t="str">
        <f>"40512360"</f>
        <v>40512360</v>
      </c>
      <c r="B1240" t="s">
        <v>1223</v>
      </c>
      <c r="C1240">
        <v>556.6</v>
      </c>
      <c r="D1240" t="str">
        <f>"270"</f>
        <v>270</v>
      </c>
    </row>
    <row r="1241" spans="1:4" x14ac:dyDescent="0.25">
      <c r="A1241" t="str">
        <f>"40512371"</f>
        <v>40512371</v>
      </c>
      <c r="B1241" t="s">
        <v>1224</v>
      </c>
      <c r="C1241">
        <v>858</v>
      </c>
      <c r="D1241" t="str">
        <f>"270"</f>
        <v>270</v>
      </c>
    </row>
    <row r="1242" spans="1:4" x14ac:dyDescent="0.25">
      <c r="A1242" t="str">
        <f>"40512384"</f>
        <v>40512384</v>
      </c>
      <c r="B1242" t="s">
        <v>1225</v>
      </c>
      <c r="C1242">
        <v>550</v>
      </c>
      <c r="D1242" t="str">
        <f>"270"</f>
        <v>270</v>
      </c>
    </row>
    <row r="1243" spans="1:4" x14ac:dyDescent="0.25">
      <c r="A1243" t="str">
        <f>"40512394"</f>
        <v>40512394</v>
      </c>
      <c r="B1243" t="s">
        <v>1226</v>
      </c>
      <c r="C1243" s="1">
        <v>6022.5</v>
      </c>
      <c r="D1243" t="str">
        <f>"270"</f>
        <v>270</v>
      </c>
    </row>
    <row r="1244" spans="1:4" x14ac:dyDescent="0.25">
      <c r="A1244" t="str">
        <f>"40512410  "</f>
        <v xml:space="preserve">40512410  </v>
      </c>
      <c r="B1244" t="s">
        <v>1227</v>
      </c>
      <c r="C1244" s="1">
        <v>5940</v>
      </c>
      <c r="D1244" t="str">
        <f>"278"</f>
        <v>278</v>
      </c>
    </row>
    <row r="1245" spans="1:4" x14ac:dyDescent="0.25">
      <c r="A1245" t="str">
        <f>"40512428  "</f>
        <v xml:space="preserve">40512428  </v>
      </c>
      <c r="B1245" t="s">
        <v>1228</v>
      </c>
      <c r="C1245" s="1">
        <v>4950</v>
      </c>
      <c r="D1245" t="str">
        <f>"278"</f>
        <v>278</v>
      </c>
    </row>
    <row r="1246" spans="1:4" x14ac:dyDescent="0.25">
      <c r="A1246" t="str">
        <f>"40512436  "</f>
        <v xml:space="preserve">40512436  </v>
      </c>
      <c r="B1246" t="s">
        <v>1229</v>
      </c>
      <c r="C1246">
        <v>213.4</v>
      </c>
      <c r="D1246" t="str">
        <f>"270"</f>
        <v>270</v>
      </c>
    </row>
    <row r="1247" spans="1:4" x14ac:dyDescent="0.25">
      <c r="A1247" t="str">
        <f>"40512444  "</f>
        <v xml:space="preserve">40512444  </v>
      </c>
      <c r="B1247" t="s">
        <v>1230</v>
      </c>
      <c r="C1247" s="1">
        <v>6781.5</v>
      </c>
      <c r="D1247" t="str">
        <f>"278"</f>
        <v>278</v>
      </c>
    </row>
    <row r="1248" spans="1:4" x14ac:dyDescent="0.25">
      <c r="A1248" t="str">
        <f>"40512451  "</f>
        <v xml:space="preserve">40512451  </v>
      </c>
      <c r="B1248" t="s">
        <v>1231</v>
      </c>
      <c r="C1248" s="1">
        <v>1201.2</v>
      </c>
      <c r="D1248" t="str">
        <f>"270"</f>
        <v>270</v>
      </c>
    </row>
    <row r="1249" spans="1:4" x14ac:dyDescent="0.25">
      <c r="A1249" t="str">
        <f>"40512469  "</f>
        <v xml:space="preserve">40512469  </v>
      </c>
      <c r="B1249" t="s">
        <v>1232</v>
      </c>
      <c r="C1249" s="1">
        <v>17490</v>
      </c>
      <c r="D1249" t="str">
        <f>"278"</f>
        <v>278</v>
      </c>
    </row>
    <row r="1250" spans="1:4" x14ac:dyDescent="0.25">
      <c r="A1250" t="str">
        <f>"40512477  "</f>
        <v xml:space="preserve">40512477  </v>
      </c>
      <c r="B1250" t="s">
        <v>1233</v>
      </c>
      <c r="C1250" s="1">
        <v>1021.9</v>
      </c>
      <c r="D1250" t="str">
        <f>"270"</f>
        <v>270</v>
      </c>
    </row>
    <row r="1251" spans="1:4" x14ac:dyDescent="0.25">
      <c r="A1251" t="str">
        <f>"40512485  "</f>
        <v xml:space="preserve">40512485  </v>
      </c>
      <c r="B1251" t="s">
        <v>1234</v>
      </c>
      <c r="C1251" s="1">
        <v>3687.2</v>
      </c>
      <c r="D1251" t="str">
        <f>"278"</f>
        <v>278</v>
      </c>
    </row>
    <row r="1252" spans="1:4" x14ac:dyDescent="0.25">
      <c r="A1252" t="str">
        <f>"40512493  "</f>
        <v xml:space="preserve">40512493  </v>
      </c>
      <c r="B1252" t="s">
        <v>1235</v>
      </c>
      <c r="C1252">
        <v>734.8</v>
      </c>
      <c r="D1252" t="str">
        <f>"270"</f>
        <v>270</v>
      </c>
    </row>
    <row r="1253" spans="1:4" x14ac:dyDescent="0.25">
      <c r="A1253" t="str">
        <f>"40512500"</f>
        <v>40512500</v>
      </c>
      <c r="B1253" t="s">
        <v>1236</v>
      </c>
      <c r="C1253">
        <v>430.1</v>
      </c>
      <c r="D1253" t="str">
        <f>"270"</f>
        <v>270</v>
      </c>
    </row>
    <row r="1254" spans="1:4" x14ac:dyDescent="0.25">
      <c r="A1254" t="str">
        <f>"40512501  "</f>
        <v xml:space="preserve">40512501  </v>
      </c>
      <c r="B1254" t="s">
        <v>1237</v>
      </c>
      <c r="C1254" s="1">
        <v>2599.3000000000002</v>
      </c>
      <c r="D1254" t="str">
        <f>"278"</f>
        <v>278</v>
      </c>
    </row>
    <row r="1255" spans="1:4" x14ac:dyDescent="0.25">
      <c r="A1255" t="str">
        <f>"40512519  "</f>
        <v xml:space="preserve">40512519  </v>
      </c>
      <c r="B1255" t="s">
        <v>1238</v>
      </c>
      <c r="C1255" s="1">
        <v>9284</v>
      </c>
      <c r="D1255" t="str">
        <f>"278"</f>
        <v>278</v>
      </c>
    </row>
    <row r="1256" spans="1:4" x14ac:dyDescent="0.25">
      <c r="A1256" t="str">
        <f>"40512527  "</f>
        <v xml:space="preserve">40512527  </v>
      </c>
      <c r="B1256" t="s">
        <v>1239</v>
      </c>
      <c r="C1256" s="1">
        <v>9762.5</v>
      </c>
      <c r="D1256" t="str">
        <f>"278"</f>
        <v>278</v>
      </c>
    </row>
    <row r="1257" spans="1:4" x14ac:dyDescent="0.25">
      <c r="A1257" t="str">
        <f>"40512535  "</f>
        <v xml:space="preserve">40512535  </v>
      </c>
      <c r="B1257" t="s">
        <v>1240</v>
      </c>
      <c r="C1257">
        <v>346.5</v>
      </c>
      <c r="D1257" t="str">
        <f>"270"</f>
        <v>270</v>
      </c>
    </row>
    <row r="1258" spans="1:4" x14ac:dyDescent="0.25">
      <c r="A1258" t="str">
        <f>"40512543  "</f>
        <v xml:space="preserve">40512543  </v>
      </c>
      <c r="B1258" t="s">
        <v>1241</v>
      </c>
      <c r="C1258" s="1">
        <v>1014.2</v>
      </c>
      <c r="D1258" t="str">
        <f>"270"</f>
        <v>270</v>
      </c>
    </row>
    <row r="1259" spans="1:4" x14ac:dyDescent="0.25">
      <c r="A1259" t="str">
        <f>"40512550  "</f>
        <v xml:space="preserve">40512550  </v>
      </c>
      <c r="B1259" t="s">
        <v>1242</v>
      </c>
      <c r="C1259">
        <v>894.3</v>
      </c>
      <c r="D1259" t="str">
        <f>"270"</f>
        <v>270</v>
      </c>
    </row>
    <row r="1260" spans="1:4" x14ac:dyDescent="0.25">
      <c r="A1260" t="str">
        <f>"40512568  "</f>
        <v xml:space="preserve">40512568  </v>
      </c>
      <c r="B1260" t="s">
        <v>1243</v>
      </c>
      <c r="C1260">
        <v>525.79999999999995</v>
      </c>
      <c r="D1260" t="str">
        <f>"270"</f>
        <v>270</v>
      </c>
    </row>
    <row r="1261" spans="1:4" x14ac:dyDescent="0.25">
      <c r="A1261" t="str">
        <f>"40512576  "</f>
        <v xml:space="preserve">40512576  </v>
      </c>
      <c r="B1261" t="s">
        <v>1244</v>
      </c>
      <c r="C1261">
        <v>108.9</v>
      </c>
      <c r="D1261" t="str">
        <f>"278"</f>
        <v>278</v>
      </c>
    </row>
    <row r="1262" spans="1:4" x14ac:dyDescent="0.25">
      <c r="A1262" t="str">
        <f>"40512584  "</f>
        <v xml:space="preserve">40512584  </v>
      </c>
      <c r="B1262" t="s">
        <v>1245</v>
      </c>
      <c r="C1262" s="1">
        <v>1524.6</v>
      </c>
      <c r="D1262" t="str">
        <f>"278"</f>
        <v>278</v>
      </c>
    </row>
    <row r="1263" spans="1:4" x14ac:dyDescent="0.25">
      <c r="A1263" t="str">
        <f>"40512592  "</f>
        <v xml:space="preserve">40512592  </v>
      </c>
      <c r="B1263" t="s">
        <v>1246</v>
      </c>
      <c r="C1263">
        <v>115.5</v>
      </c>
      <c r="D1263" t="str">
        <f>"270"</f>
        <v>270</v>
      </c>
    </row>
    <row r="1264" spans="1:4" x14ac:dyDescent="0.25">
      <c r="A1264" t="str">
        <f>"40512600  "</f>
        <v xml:space="preserve">40512600  </v>
      </c>
      <c r="B1264" t="s">
        <v>1247</v>
      </c>
      <c r="C1264">
        <v>551.1</v>
      </c>
      <c r="D1264" t="str">
        <f>"278"</f>
        <v>278</v>
      </c>
    </row>
    <row r="1265" spans="1:4" x14ac:dyDescent="0.25">
      <c r="A1265" t="str">
        <f>"40512618  "</f>
        <v xml:space="preserve">40512618  </v>
      </c>
      <c r="B1265" t="s">
        <v>1248</v>
      </c>
      <c r="C1265">
        <v>493.9</v>
      </c>
      <c r="D1265" t="str">
        <f t="shared" ref="D1265:D1279" si="50">"270"</f>
        <v>270</v>
      </c>
    </row>
    <row r="1266" spans="1:4" x14ac:dyDescent="0.25">
      <c r="A1266" t="str">
        <f>"40512626  "</f>
        <v xml:space="preserve">40512626  </v>
      </c>
      <c r="B1266" t="s">
        <v>1249</v>
      </c>
      <c r="C1266">
        <v>55</v>
      </c>
      <c r="D1266" t="str">
        <f t="shared" si="50"/>
        <v>270</v>
      </c>
    </row>
    <row r="1267" spans="1:4" x14ac:dyDescent="0.25">
      <c r="A1267" t="str">
        <f>"40512634  "</f>
        <v xml:space="preserve">40512634  </v>
      </c>
      <c r="B1267" t="s">
        <v>1250</v>
      </c>
      <c r="C1267">
        <v>73.7</v>
      </c>
      <c r="D1267" t="str">
        <f t="shared" si="50"/>
        <v>270</v>
      </c>
    </row>
    <row r="1268" spans="1:4" x14ac:dyDescent="0.25">
      <c r="A1268" t="str">
        <f>"40512642  "</f>
        <v xml:space="preserve">40512642  </v>
      </c>
      <c r="B1268" t="s">
        <v>1251</v>
      </c>
      <c r="C1268">
        <v>102.3</v>
      </c>
      <c r="D1268" t="str">
        <f t="shared" si="50"/>
        <v>270</v>
      </c>
    </row>
    <row r="1269" spans="1:4" x14ac:dyDescent="0.25">
      <c r="A1269" t="str">
        <f>"40512659  "</f>
        <v xml:space="preserve">40512659  </v>
      </c>
      <c r="B1269" t="s">
        <v>1252</v>
      </c>
      <c r="C1269">
        <v>8.8000000000000007</v>
      </c>
      <c r="D1269" t="str">
        <f t="shared" si="50"/>
        <v>270</v>
      </c>
    </row>
    <row r="1270" spans="1:4" x14ac:dyDescent="0.25">
      <c r="A1270" t="str">
        <f>"40512667  "</f>
        <v xml:space="preserve">40512667  </v>
      </c>
      <c r="B1270" t="s">
        <v>1253</v>
      </c>
      <c r="C1270">
        <v>138.6</v>
      </c>
      <c r="D1270" t="str">
        <f t="shared" si="50"/>
        <v>270</v>
      </c>
    </row>
    <row r="1271" spans="1:4" x14ac:dyDescent="0.25">
      <c r="A1271" t="str">
        <f>"40512675  "</f>
        <v xml:space="preserve">40512675  </v>
      </c>
      <c r="B1271" t="s">
        <v>1254</v>
      </c>
      <c r="C1271">
        <v>536.79999999999995</v>
      </c>
      <c r="D1271" t="str">
        <f t="shared" si="50"/>
        <v>270</v>
      </c>
    </row>
    <row r="1272" spans="1:4" x14ac:dyDescent="0.25">
      <c r="A1272" t="str">
        <f>"40512683  "</f>
        <v xml:space="preserve">40512683  </v>
      </c>
      <c r="B1272" t="s">
        <v>1255</v>
      </c>
      <c r="C1272">
        <v>223.3</v>
      </c>
      <c r="D1272" t="str">
        <f t="shared" si="50"/>
        <v>270</v>
      </c>
    </row>
    <row r="1273" spans="1:4" x14ac:dyDescent="0.25">
      <c r="A1273" t="str">
        <f>"40512691  "</f>
        <v xml:space="preserve">40512691  </v>
      </c>
      <c r="B1273" t="s">
        <v>1256</v>
      </c>
      <c r="C1273">
        <v>913</v>
      </c>
      <c r="D1273" t="str">
        <f t="shared" si="50"/>
        <v>270</v>
      </c>
    </row>
    <row r="1274" spans="1:4" x14ac:dyDescent="0.25">
      <c r="A1274" t="str">
        <f>"40512709  "</f>
        <v xml:space="preserve">40512709  </v>
      </c>
      <c r="B1274" t="s">
        <v>1257</v>
      </c>
      <c r="C1274">
        <v>36.299999999999997</v>
      </c>
      <c r="D1274" t="str">
        <f t="shared" si="50"/>
        <v>270</v>
      </c>
    </row>
    <row r="1275" spans="1:4" x14ac:dyDescent="0.25">
      <c r="A1275" t="str">
        <f>"40512711"</f>
        <v>40512711</v>
      </c>
      <c r="B1275" t="s">
        <v>1258</v>
      </c>
      <c r="C1275">
        <v>224.4</v>
      </c>
      <c r="D1275" t="str">
        <f t="shared" si="50"/>
        <v>270</v>
      </c>
    </row>
    <row r="1276" spans="1:4" x14ac:dyDescent="0.25">
      <c r="A1276" t="str">
        <f>"40512717  "</f>
        <v xml:space="preserve">40512717  </v>
      </c>
      <c r="B1276" t="s">
        <v>1259</v>
      </c>
      <c r="C1276">
        <v>759</v>
      </c>
      <c r="D1276" t="str">
        <f t="shared" si="50"/>
        <v>270</v>
      </c>
    </row>
    <row r="1277" spans="1:4" x14ac:dyDescent="0.25">
      <c r="A1277" t="str">
        <f>"40512725  "</f>
        <v xml:space="preserve">40512725  </v>
      </c>
      <c r="B1277" t="s">
        <v>1260</v>
      </c>
      <c r="C1277">
        <v>335.5</v>
      </c>
      <c r="D1277" t="str">
        <f t="shared" si="50"/>
        <v>270</v>
      </c>
    </row>
    <row r="1278" spans="1:4" x14ac:dyDescent="0.25">
      <c r="A1278" t="str">
        <f>"40512733  "</f>
        <v xml:space="preserve">40512733  </v>
      </c>
      <c r="B1278" t="s">
        <v>1261</v>
      </c>
      <c r="C1278">
        <v>15.4</v>
      </c>
      <c r="D1278" t="str">
        <f t="shared" si="50"/>
        <v>270</v>
      </c>
    </row>
    <row r="1279" spans="1:4" x14ac:dyDescent="0.25">
      <c r="A1279" t="str">
        <f>"40512740"</f>
        <v>40512740</v>
      </c>
      <c r="B1279" t="s">
        <v>1262</v>
      </c>
      <c r="C1279">
        <v>367.4</v>
      </c>
      <c r="D1279" t="str">
        <f t="shared" si="50"/>
        <v>270</v>
      </c>
    </row>
    <row r="1280" spans="1:4" x14ac:dyDescent="0.25">
      <c r="A1280" t="str">
        <f>"40512763"</f>
        <v>40512763</v>
      </c>
      <c r="B1280" t="s">
        <v>1263</v>
      </c>
      <c r="C1280" s="1">
        <v>3388</v>
      </c>
      <c r="D1280" t="str">
        <f>"278"</f>
        <v>278</v>
      </c>
    </row>
    <row r="1281" spans="1:4" x14ac:dyDescent="0.25">
      <c r="A1281" t="str">
        <f>"40512773"</f>
        <v>40512773</v>
      </c>
      <c r="B1281" t="s">
        <v>1264</v>
      </c>
      <c r="C1281" s="1">
        <v>6578</v>
      </c>
      <c r="D1281" t="str">
        <f>"278"</f>
        <v>278</v>
      </c>
    </row>
    <row r="1282" spans="1:4" x14ac:dyDescent="0.25">
      <c r="A1282" t="str">
        <f>"40512781"</f>
        <v>40512781</v>
      </c>
      <c r="B1282" t="s">
        <v>1265</v>
      </c>
      <c r="C1282">
        <v>682</v>
      </c>
      <c r="D1282" t="str">
        <f>"278"</f>
        <v>278</v>
      </c>
    </row>
    <row r="1283" spans="1:4" x14ac:dyDescent="0.25">
      <c r="A1283" t="str">
        <f>"40512790  "</f>
        <v xml:space="preserve">40512790  </v>
      </c>
      <c r="B1283" t="s">
        <v>1266</v>
      </c>
      <c r="C1283">
        <v>58.3</v>
      </c>
      <c r="D1283" t="str">
        <f>"271"</f>
        <v>271</v>
      </c>
    </row>
    <row r="1284" spans="1:4" x14ac:dyDescent="0.25">
      <c r="A1284" t="str">
        <f>"40512808  "</f>
        <v xml:space="preserve">40512808  </v>
      </c>
      <c r="B1284" t="s">
        <v>1267</v>
      </c>
      <c r="C1284">
        <v>589.6</v>
      </c>
      <c r="D1284" t="str">
        <f>"278"</f>
        <v>278</v>
      </c>
    </row>
    <row r="1285" spans="1:4" x14ac:dyDescent="0.25">
      <c r="A1285" t="str">
        <f>"40512816  "</f>
        <v xml:space="preserve">40512816  </v>
      </c>
      <c r="B1285" t="s">
        <v>1268</v>
      </c>
      <c r="C1285" s="1">
        <v>5077.6000000000004</v>
      </c>
      <c r="D1285" t="str">
        <f>"278"</f>
        <v>278</v>
      </c>
    </row>
    <row r="1286" spans="1:4" x14ac:dyDescent="0.25">
      <c r="A1286" t="str">
        <f>"40512824  "</f>
        <v xml:space="preserve">40512824  </v>
      </c>
      <c r="B1286" t="s">
        <v>1269</v>
      </c>
      <c r="C1286">
        <v>820.6</v>
      </c>
      <c r="D1286" t="str">
        <f>"278"</f>
        <v>278</v>
      </c>
    </row>
    <row r="1287" spans="1:4" x14ac:dyDescent="0.25">
      <c r="A1287" t="str">
        <f>"40512832  "</f>
        <v xml:space="preserve">40512832  </v>
      </c>
      <c r="B1287" t="s">
        <v>1270</v>
      </c>
      <c r="C1287">
        <v>253</v>
      </c>
      <c r="D1287" t="str">
        <f>"270"</f>
        <v>270</v>
      </c>
    </row>
    <row r="1288" spans="1:4" x14ac:dyDescent="0.25">
      <c r="A1288" t="str">
        <f>"40512840  "</f>
        <v xml:space="preserve">40512840  </v>
      </c>
      <c r="B1288" t="s">
        <v>1271</v>
      </c>
      <c r="C1288">
        <v>45.1</v>
      </c>
      <c r="D1288" t="str">
        <f>"278"</f>
        <v>278</v>
      </c>
    </row>
    <row r="1289" spans="1:4" x14ac:dyDescent="0.25">
      <c r="A1289" t="str">
        <f>"40512857  "</f>
        <v xml:space="preserve">40512857  </v>
      </c>
      <c r="B1289" t="s">
        <v>1272</v>
      </c>
      <c r="C1289">
        <v>188.1</v>
      </c>
      <c r="D1289" t="str">
        <f>"278"</f>
        <v>278</v>
      </c>
    </row>
    <row r="1290" spans="1:4" x14ac:dyDescent="0.25">
      <c r="A1290" t="str">
        <f>"40512865  "</f>
        <v xml:space="preserve">40512865  </v>
      </c>
      <c r="B1290" t="s">
        <v>1273</v>
      </c>
      <c r="C1290" s="1">
        <v>2079</v>
      </c>
      <c r="D1290" t="str">
        <f>"278"</f>
        <v>278</v>
      </c>
    </row>
    <row r="1291" spans="1:4" x14ac:dyDescent="0.25">
      <c r="A1291" t="str">
        <f>"40512873  "</f>
        <v xml:space="preserve">40512873  </v>
      </c>
      <c r="B1291" t="s">
        <v>1274</v>
      </c>
      <c r="C1291" s="1">
        <v>2072.4</v>
      </c>
      <c r="D1291" t="str">
        <f>"270"</f>
        <v>270</v>
      </c>
    </row>
    <row r="1292" spans="1:4" x14ac:dyDescent="0.25">
      <c r="A1292" t="str">
        <f>"40512881  "</f>
        <v xml:space="preserve">40512881  </v>
      </c>
      <c r="B1292" t="s">
        <v>1275</v>
      </c>
      <c r="C1292">
        <v>115.5</v>
      </c>
      <c r="D1292" t="str">
        <f>"270"</f>
        <v>270</v>
      </c>
    </row>
    <row r="1293" spans="1:4" x14ac:dyDescent="0.25">
      <c r="A1293" t="str">
        <f>"40512899  "</f>
        <v xml:space="preserve">40512899  </v>
      </c>
      <c r="B1293" t="s">
        <v>1276</v>
      </c>
      <c r="C1293" s="1">
        <v>1243</v>
      </c>
      <c r="D1293" t="str">
        <f>"270"</f>
        <v>270</v>
      </c>
    </row>
    <row r="1294" spans="1:4" x14ac:dyDescent="0.25">
      <c r="A1294" t="str">
        <f>"40512907  "</f>
        <v xml:space="preserve">40512907  </v>
      </c>
      <c r="B1294" t="s">
        <v>1277</v>
      </c>
      <c r="C1294">
        <v>47.3</v>
      </c>
      <c r="D1294" t="str">
        <f>"270"</f>
        <v>270</v>
      </c>
    </row>
    <row r="1295" spans="1:4" x14ac:dyDescent="0.25">
      <c r="A1295" t="str">
        <f>"40512915  "</f>
        <v xml:space="preserve">40512915  </v>
      </c>
      <c r="B1295" t="s">
        <v>1278</v>
      </c>
      <c r="C1295" s="1">
        <v>11250.8</v>
      </c>
      <c r="D1295" t="str">
        <f>"278"</f>
        <v>278</v>
      </c>
    </row>
    <row r="1296" spans="1:4" x14ac:dyDescent="0.25">
      <c r="A1296" t="str">
        <f>"40512923  "</f>
        <v xml:space="preserve">40512923  </v>
      </c>
      <c r="B1296" t="s">
        <v>1279</v>
      </c>
      <c r="C1296">
        <v>598.4</v>
      </c>
      <c r="D1296" t="str">
        <f>"270"</f>
        <v>270</v>
      </c>
    </row>
    <row r="1297" spans="1:4" x14ac:dyDescent="0.25">
      <c r="A1297" t="str">
        <f>"40512949  "</f>
        <v xml:space="preserve">40512949  </v>
      </c>
      <c r="B1297" t="s">
        <v>1280</v>
      </c>
      <c r="C1297">
        <v>506</v>
      </c>
      <c r="D1297" t="str">
        <f>"270"</f>
        <v>270</v>
      </c>
    </row>
    <row r="1298" spans="1:4" x14ac:dyDescent="0.25">
      <c r="A1298" t="str">
        <f>"40512956  "</f>
        <v xml:space="preserve">40512956  </v>
      </c>
      <c r="B1298" t="s">
        <v>1281</v>
      </c>
      <c r="C1298">
        <v>46.2</v>
      </c>
      <c r="D1298" t="str">
        <f t="shared" ref="D1298:D1306" si="51">"278"</f>
        <v>278</v>
      </c>
    </row>
    <row r="1299" spans="1:4" x14ac:dyDescent="0.25">
      <c r="A1299" t="str">
        <f>"40512964  "</f>
        <v xml:space="preserve">40512964  </v>
      </c>
      <c r="B1299" t="s">
        <v>1282</v>
      </c>
      <c r="C1299" s="1">
        <v>3300</v>
      </c>
      <c r="D1299" t="str">
        <f t="shared" si="51"/>
        <v>278</v>
      </c>
    </row>
    <row r="1300" spans="1:4" x14ac:dyDescent="0.25">
      <c r="A1300" t="str">
        <f>"40512972  "</f>
        <v xml:space="preserve">40512972  </v>
      </c>
      <c r="B1300" t="s">
        <v>1283</v>
      </c>
      <c r="C1300" s="1">
        <v>17186.400000000001</v>
      </c>
      <c r="D1300" t="str">
        <f t="shared" si="51"/>
        <v>278</v>
      </c>
    </row>
    <row r="1301" spans="1:4" x14ac:dyDescent="0.25">
      <c r="A1301" t="str">
        <f>"40512980  "</f>
        <v xml:space="preserve">40512980  </v>
      </c>
      <c r="B1301" t="s">
        <v>1284</v>
      </c>
      <c r="C1301" s="1">
        <v>15138.2</v>
      </c>
      <c r="D1301" t="str">
        <f t="shared" si="51"/>
        <v>278</v>
      </c>
    </row>
    <row r="1302" spans="1:4" x14ac:dyDescent="0.25">
      <c r="A1302" t="str">
        <f>"40512998  "</f>
        <v xml:space="preserve">40512998  </v>
      </c>
      <c r="B1302" t="s">
        <v>1285</v>
      </c>
      <c r="C1302">
        <v>322.3</v>
      </c>
      <c r="D1302" t="str">
        <f t="shared" si="51"/>
        <v>278</v>
      </c>
    </row>
    <row r="1303" spans="1:4" x14ac:dyDescent="0.25">
      <c r="A1303" t="str">
        <f>"40513000"</f>
        <v>40513000</v>
      </c>
      <c r="B1303" t="s">
        <v>1286</v>
      </c>
      <c r="C1303" s="1">
        <v>5814.6</v>
      </c>
      <c r="D1303" t="str">
        <f t="shared" si="51"/>
        <v>278</v>
      </c>
    </row>
    <row r="1304" spans="1:4" x14ac:dyDescent="0.25">
      <c r="A1304" t="str">
        <f>"40513001"</f>
        <v>40513001</v>
      </c>
      <c r="B1304" t="s">
        <v>1287</v>
      </c>
      <c r="C1304">
        <v>250.8</v>
      </c>
      <c r="D1304" t="str">
        <f t="shared" si="51"/>
        <v>278</v>
      </c>
    </row>
    <row r="1305" spans="1:4" x14ac:dyDescent="0.25">
      <c r="A1305" t="str">
        <f>"40513002"</f>
        <v>40513002</v>
      </c>
      <c r="B1305" t="s">
        <v>1288</v>
      </c>
      <c r="C1305">
        <v>220</v>
      </c>
      <c r="D1305" t="str">
        <f t="shared" si="51"/>
        <v>278</v>
      </c>
    </row>
    <row r="1306" spans="1:4" x14ac:dyDescent="0.25">
      <c r="A1306" t="str">
        <f>"40513003"</f>
        <v>40513003</v>
      </c>
      <c r="B1306" t="s">
        <v>1289</v>
      </c>
      <c r="C1306">
        <v>220</v>
      </c>
      <c r="D1306" t="str">
        <f t="shared" si="51"/>
        <v>278</v>
      </c>
    </row>
    <row r="1307" spans="1:4" x14ac:dyDescent="0.25">
      <c r="A1307" t="str">
        <f>"40513004  "</f>
        <v xml:space="preserve">40513004  </v>
      </c>
      <c r="B1307" t="s">
        <v>1290</v>
      </c>
      <c r="C1307">
        <v>124.3</v>
      </c>
      <c r="D1307" t="str">
        <f>"270"</f>
        <v>270</v>
      </c>
    </row>
    <row r="1308" spans="1:4" x14ac:dyDescent="0.25">
      <c r="A1308" t="str">
        <f>"40513005"</f>
        <v>40513005</v>
      </c>
      <c r="B1308" t="s">
        <v>1291</v>
      </c>
      <c r="C1308">
        <v>330</v>
      </c>
      <c r="D1308" t="str">
        <f>"278"</f>
        <v>278</v>
      </c>
    </row>
    <row r="1309" spans="1:4" x14ac:dyDescent="0.25">
      <c r="A1309" t="str">
        <f>"40513006"</f>
        <v>40513006</v>
      </c>
      <c r="B1309" t="s">
        <v>1292</v>
      </c>
      <c r="C1309">
        <v>528</v>
      </c>
      <c r="D1309" t="str">
        <f>"278"</f>
        <v>278</v>
      </c>
    </row>
    <row r="1310" spans="1:4" x14ac:dyDescent="0.25">
      <c r="A1310" t="str">
        <f>"40513007"</f>
        <v>40513007</v>
      </c>
      <c r="B1310" t="s">
        <v>1293</v>
      </c>
      <c r="C1310">
        <v>242</v>
      </c>
      <c r="D1310" t="str">
        <f t="shared" ref="D1310:D1316" si="52">"270"</f>
        <v>270</v>
      </c>
    </row>
    <row r="1311" spans="1:4" x14ac:dyDescent="0.25">
      <c r="A1311" t="str">
        <f>"40513008"</f>
        <v>40513008</v>
      </c>
      <c r="B1311" t="s">
        <v>1294</v>
      </c>
      <c r="C1311" s="1">
        <v>3283.5</v>
      </c>
      <c r="D1311" t="str">
        <f t="shared" si="52"/>
        <v>270</v>
      </c>
    </row>
    <row r="1312" spans="1:4" x14ac:dyDescent="0.25">
      <c r="A1312" t="str">
        <f>"40513009"</f>
        <v>40513009</v>
      </c>
      <c r="B1312" t="s">
        <v>1295</v>
      </c>
      <c r="C1312">
        <v>709.5</v>
      </c>
      <c r="D1312" t="str">
        <f t="shared" si="52"/>
        <v>270</v>
      </c>
    </row>
    <row r="1313" spans="1:4" x14ac:dyDescent="0.25">
      <c r="A1313" t="str">
        <f>"40513010"</f>
        <v>40513010</v>
      </c>
      <c r="B1313" t="s">
        <v>1296</v>
      </c>
      <c r="C1313">
        <v>110</v>
      </c>
      <c r="D1313" t="str">
        <f t="shared" si="52"/>
        <v>270</v>
      </c>
    </row>
    <row r="1314" spans="1:4" x14ac:dyDescent="0.25">
      <c r="A1314" t="str">
        <f>"40513011"</f>
        <v>40513011</v>
      </c>
      <c r="B1314" t="s">
        <v>716</v>
      </c>
      <c r="C1314">
        <v>110</v>
      </c>
      <c r="D1314" t="str">
        <f t="shared" si="52"/>
        <v>270</v>
      </c>
    </row>
    <row r="1315" spans="1:4" x14ac:dyDescent="0.25">
      <c r="A1315" t="str">
        <f>"40513012  "</f>
        <v xml:space="preserve">40513012  </v>
      </c>
      <c r="B1315" t="s">
        <v>1297</v>
      </c>
      <c r="C1315">
        <v>217.8</v>
      </c>
      <c r="D1315" t="str">
        <f t="shared" si="52"/>
        <v>270</v>
      </c>
    </row>
    <row r="1316" spans="1:4" x14ac:dyDescent="0.25">
      <c r="A1316" t="str">
        <f>"40513013"</f>
        <v>40513013</v>
      </c>
      <c r="B1316" t="s">
        <v>1298</v>
      </c>
      <c r="C1316">
        <v>55</v>
      </c>
      <c r="D1316" t="str">
        <f t="shared" si="52"/>
        <v>270</v>
      </c>
    </row>
    <row r="1317" spans="1:4" x14ac:dyDescent="0.25">
      <c r="A1317" t="str">
        <f>"40513014"</f>
        <v>40513014</v>
      </c>
      <c r="B1317" t="s">
        <v>1299</v>
      </c>
      <c r="C1317" s="1">
        <v>16830</v>
      </c>
      <c r="D1317" t="str">
        <f>"278"</f>
        <v>278</v>
      </c>
    </row>
    <row r="1318" spans="1:4" x14ac:dyDescent="0.25">
      <c r="A1318" t="str">
        <f>"40513015"</f>
        <v>40513015</v>
      </c>
      <c r="B1318" t="s">
        <v>1300</v>
      </c>
      <c r="C1318">
        <v>742.5</v>
      </c>
      <c r="D1318" t="str">
        <f>"270"</f>
        <v>270</v>
      </c>
    </row>
    <row r="1319" spans="1:4" x14ac:dyDescent="0.25">
      <c r="A1319" t="str">
        <f>"40513016"</f>
        <v>40513016</v>
      </c>
      <c r="B1319" t="s">
        <v>1301</v>
      </c>
      <c r="C1319">
        <v>396</v>
      </c>
      <c r="D1319" t="str">
        <f>"278"</f>
        <v>278</v>
      </c>
    </row>
    <row r="1320" spans="1:4" x14ac:dyDescent="0.25">
      <c r="A1320" t="str">
        <f>"40513017"</f>
        <v>40513017</v>
      </c>
      <c r="B1320" t="s">
        <v>1302</v>
      </c>
      <c r="C1320">
        <v>396</v>
      </c>
      <c r="D1320" t="str">
        <f>"278"</f>
        <v>278</v>
      </c>
    </row>
    <row r="1321" spans="1:4" x14ac:dyDescent="0.25">
      <c r="A1321" t="str">
        <f>"40513018"</f>
        <v>40513018</v>
      </c>
      <c r="B1321" t="s">
        <v>1303</v>
      </c>
      <c r="C1321">
        <v>396</v>
      </c>
      <c r="D1321" t="str">
        <f>"278"</f>
        <v>278</v>
      </c>
    </row>
    <row r="1322" spans="1:4" x14ac:dyDescent="0.25">
      <c r="A1322" t="str">
        <f>"40513019"</f>
        <v>40513019</v>
      </c>
      <c r="B1322" t="s">
        <v>1304</v>
      </c>
      <c r="C1322">
        <v>396</v>
      </c>
      <c r="D1322" t="str">
        <f>"278"</f>
        <v>278</v>
      </c>
    </row>
    <row r="1323" spans="1:4" x14ac:dyDescent="0.25">
      <c r="A1323" t="str">
        <f>"40513020  "</f>
        <v xml:space="preserve">40513020  </v>
      </c>
      <c r="B1323" t="s">
        <v>1305</v>
      </c>
      <c r="C1323">
        <v>55</v>
      </c>
      <c r="D1323" t="str">
        <f>"270"</f>
        <v>270</v>
      </c>
    </row>
    <row r="1324" spans="1:4" x14ac:dyDescent="0.25">
      <c r="A1324" t="str">
        <f>"40513021"</f>
        <v>40513021</v>
      </c>
      <c r="B1324" t="s">
        <v>1306</v>
      </c>
      <c r="C1324">
        <v>237.6</v>
      </c>
      <c r="D1324" t="str">
        <f>"278"</f>
        <v>278</v>
      </c>
    </row>
    <row r="1325" spans="1:4" x14ac:dyDescent="0.25">
      <c r="A1325" t="str">
        <f>"40513022"</f>
        <v>40513022</v>
      </c>
      <c r="B1325" t="s">
        <v>1307</v>
      </c>
      <c r="C1325">
        <v>237.6</v>
      </c>
      <c r="D1325" t="str">
        <f>"278"</f>
        <v>278</v>
      </c>
    </row>
    <row r="1326" spans="1:4" x14ac:dyDescent="0.25">
      <c r="A1326" t="str">
        <f>"40513023"</f>
        <v>40513023</v>
      </c>
      <c r="B1326" t="s">
        <v>1308</v>
      </c>
      <c r="C1326" s="1">
        <v>2200</v>
      </c>
      <c r="D1326" t="str">
        <f>"278"</f>
        <v>278</v>
      </c>
    </row>
    <row r="1327" spans="1:4" x14ac:dyDescent="0.25">
      <c r="A1327" t="str">
        <f>"40513024"</f>
        <v>40513024</v>
      </c>
      <c r="B1327" t="s">
        <v>1309</v>
      </c>
      <c r="C1327">
        <v>330</v>
      </c>
      <c r="D1327" t="str">
        <f>"270"</f>
        <v>270</v>
      </c>
    </row>
    <row r="1328" spans="1:4" x14ac:dyDescent="0.25">
      <c r="A1328" t="str">
        <f>"40513025"</f>
        <v>40513025</v>
      </c>
      <c r="B1328" t="s">
        <v>1310</v>
      </c>
      <c r="C1328">
        <v>165</v>
      </c>
      <c r="D1328" t="str">
        <f t="shared" ref="D1328:D1337" si="53">"278"</f>
        <v>278</v>
      </c>
    </row>
    <row r="1329" spans="1:4" x14ac:dyDescent="0.25">
      <c r="A1329" t="str">
        <f>"40513026"</f>
        <v>40513026</v>
      </c>
      <c r="B1329" t="s">
        <v>1311</v>
      </c>
      <c r="C1329" s="1">
        <v>1320</v>
      </c>
      <c r="D1329" t="str">
        <f t="shared" si="53"/>
        <v>278</v>
      </c>
    </row>
    <row r="1330" spans="1:4" x14ac:dyDescent="0.25">
      <c r="A1330" t="str">
        <f>"40513027"</f>
        <v>40513027</v>
      </c>
      <c r="B1330" t="s">
        <v>1312</v>
      </c>
      <c r="C1330" s="1">
        <v>8200.5</v>
      </c>
      <c r="D1330" t="str">
        <f t="shared" si="53"/>
        <v>278</v>
      </c>
    </row>
    <row r="1331" spans="1:4" x14ac:dyDescent="0.25">
      <c r="A1331" t="str">
        <f>"40513028"</f>
        <v>40513028</v>
      </c>
      <c r="B1331" t="s">
        <v>1313</v>
      </c>
      <c r="C1331" s="1">
        <v>5890.5</v>
      </c>
      <c r="D1331" t="str">
        <f t="shared" si="53"/>
        <v>278</v>
      </c>
    </row>
    <row r="1332" spans="1:4" x14ac:dyDescent="0.25">
      <c r="A1332" t="str">
        <f>"40513029"</f>
        <v>40513029</v>
      </c>
      <c r="B1332" t="s">
        <v>1314</v>
      </c>
      <c r="C1332" s="1">
        <v>3349.5</v>
      </c>
      <c r="D1332" t="str">
        <f t="shared" si="53"/>
        <v>278</v>
      </c>
    </row>
    <row r="1333" spans="1:4" x14ac:dyDescent="0.25">
      <c r="A1333" t="str">
        <f>"40513030"</f>
        <v>40513030</v>
      </c>
      <c r="B1333" t="s">
        <v>1315</v>
      </c>
      <c r="C1333">
        <v>396</v>
      </c>
      <c r="D1333" t="str">
        <f t="shared" si="53"/>
        <v>278</v>
      </c>
    </row>
    <row r="1334" spans="1:4" x14ac:dyDescent="0.25">
      <c r="A1334" t="str">
        <f>"40513031"</f>
        <v>40513031</v>
      </c>
      <c r="B1334" t="s">
        <v>1316</v>
      </c>
      <c r="C1334">
        <v>396</v>
      </c>
      <c r="D1334" t="str">
        <f t="shared" si="53"/>
        <v>278</v>
      </c>
    </row>
    <row r="1335" spans="1:4" x14ac:dyDescent="0.25">
      <c r="A1335" t="str">
        <f>"40513032"</f>
        <v>40513032</v>
      </c>
      <c r="B1335" t="s">
        <v>1317</v>
      </c>
      <c r="C1335" s="1">
        <v>5500</v>
      </c>
      <c r="D1335" t="str">
        <f t="shared" si="53"/>
        <v>278</v>
      </c>
    </row>
    <row r="1336" spans="1:4" x14ac:dyDescent="0.25">
      <c r="A1336" t="str">
        <f>"40513033"</f>
        <v>40513033</v>
      </c>
      <c r="B1336" t="s">
        <v>1318</v>
      </c>
      <c r="C1336" s="1">
        <v>7700</v>
      </c>
      <c r="D1336" t="str">
        <f t="shared" si="53"/>
        <v>278</v>
      </c>
    </row>
    <row r="1337" spans="1:4" x14ac:dyDescent="0.25">
      <c r="A1337" t="str">
        <f>"40513034"</f>
        <v>40513034</v>
      </c>
      <c r="B1337" t="s">
        <v>1319</v>
      </c>
      <c r="C1337" s="1">
        <v>4785</v>
      </c>
      <c r="D1337" t="str">
        <f t="shared" si="53"/>
        <v>278</v>
      </c>
    </row>
    <row r="1338" spans="1:4" x14ac:dyDescent="0.25">
      <c r="A1338" t="str">
        <f>"40513035"</f>
        <v>40513035</v>
      </c>
      <c r="B1338" t="s">
        <v>1320</v>
      </c>
      <c r="C1338">
        <v>973.5</v>
      </c>
      <c r="D1338" t="str">
        <f>"270"</f>
        <v>270</v>
      </c>
    </row>
    <row r="1339" spans="1:4" x14ac:dyDescent="0.25">
      <c r="A1339" t="str">
        <f>"40513036"</f>
        <v>40513036</v>
      </c>
      <c r="B1339" t="s">
        <v>1321</v>
      </c>
      <c r="C1339">
        <v>649</v>
      </c>
      <c r="D1339" t="str">
        <f>"270"</f>
        <v>270</v>
      </c>
    </row>
    <row r="1340" spans="1:4" x14ac:dyDescent="0.25">
      <c r="A1340" t="str">
        <f>"40513037"</f>
        <v>40513037</v>
      </c>
      <c r="B1340" t="s">
        <v>1322</v>
      </c>
      <c r="C1340">
        <v>973.5</v>
      </c>
      <c r="D1340" t="str">
        <f>"278"</f>
        <v>278</v>
      </c>
    </row>
    <row r="1341" spans="1:4" x14ac:dyDescent="0.25">
      <c r="A1341" t="str">
        <f>"40513038  "</f>
        <v xml:space="preserve">40513038  </v>
      </c>
      <c r="B1341" t="s">
        <v>1323</v>
      </c>
      <c r="C1341">
        <v>45.1</v>
      </c>
      <c r="D1341" t="str">
        <f>"270"</f>
        <v>270</v>
      </c>
    </row>
    <row r="1342" spans="1:4" x14ac:dyDescent="0.25">
      <c r="A1342" t="str">
        <f>"40513039"</f>
        <v>40513039</v>
      </c>
      <c r="B1342" t="s">
        <v>1324</v>
      </c>
      <c r="C1342" s="1">
        <v>1650</v>
      </c>
      <c r="D1342" t="str">
        <f>"270"</f>
        <v>270</v>
      </c>
    </row>
    <row r="1343" spans="1:4" x14ac:dyDescent="0.25">
      <c r="A1343" t="str">
        <f>"40513040"</f>
        <v>40513040</v>
      </c>
      <c r="B1343" t="s">
        <v>1325</v>
      </c>
      <c r="C1343" s="1">
        <v>4125</v>
      </c>
      <c r="D1343" t="str">
        <f>"278"</f>
        <v>278</v>
      </c>
    </row>
    <row r="1344" spans="1:4" x14ac:dyDescent="0.25">
      <c r="A1344" t="str">
        <f>"40513041"</f>
        <v>40513041</v>
      </c>
      <c r="B1344" t="s">
        <v>1326</v>
      </c>
      <c r="C1344" s="1">
        <v>7672.5</v>
      </c>
      <c r="D1344" t="str">
        <f>"278"</f>
        <v>278</v>
      </c>
    </row>
    <row r="1345" spans="1:4" x14ac:dyDescent="0.25">
      <c r="A1345" t="str">
        <f>"40513042"</f>
        <v>40513042</v>
      </c>
      <c r="B1345" t="s">
        <v>1327</v>
      </c>
      <c r="C1345" s="1">
        <v>16170</v>
      </c>
      <c r="D1345" t="str">
        <f>"278"</f>
        <v>278</v>
      </c>
    </row>
    <row r="1346" spans="1:4" x14ac:dyDescent="0.25">
      <c r="A1346" t="str">
        <f>"40513043"</f>
        <v>40513043</v>
      </c>
      <c r="B1346" t="s">
        <v>1328</v>
      </c>
      <c r="C1346" s="1">
        <v>2970</v>
      </c>
      <c r="D1346" t="str">
        <f>"270"</f>
        <v>270</v>
      </c>
    </row>
    <row r="1347" spans="1:4" x14ac:dyDescent="0.25">
      <c r="A1347" t="str">
        <f>"40513044"</f>
        <v>40513044</v>
      </c>
      <c r="B1347" t="s">
        <v>1329</v>
      </c>
      <c r="C1347" s="1">
        <v>3613.5</v>
      </c>
      <c r="D1347" t="str">
        <f>"278"</f>
        <v>278</v>
      </c>
    </row>
    <row r="1348" spans="1:4" x14ac:dyDescent="0.25">
      <c r="A1348" t="str">
        <f>"40513045"</f>
        <v>40513045</v>
      </c>
      <c r="B1348" t="s">
        <v>1330</v>
      </c>
      <c r="C1348">
        <v>280.5</v>
      </c>
      <c r="D1348" t="str">
        <f>"278"</f>
        <v>278</v>
      </c>
    </row>
    <row r="1349" spans="1:4" x14ac:dyDescent="0.25">
      <c r="A1349" t="str">
        <f>"40513046  "</f>
        <v xml:space="preserve">40513046  </v>
      </c>
      <c r="B1349" t="s">
        <v>1331</v>
      </c>
      <c r="C1349">
        <v>212.3</v>
      </c>
      <c r="D1349" t="str">
        <f>"270"</f>
        <v>270</v>
      </c>
    </row>
    <row r="1350" spans="1:4" x14ac:dyDescent="0.25">
      <c r="A1350" t="str">
        <f>"40513047"</f>
        <v>40513047</v>
      </c>
      <c r="B1350" t="s">
        <v>1332</v>
      </c>
      <c r="C1350">
        <v>280.5</v>
      </c>
      <c r="D1350" t="str">
        <f t="shared" ref="D1350:D1355" si="54">"278"</f>
        <v>278</v>
      </c>
    </row>
    <row r="1351" spans="1:4" x14ac:dyDescent="0.25">
      <c r="A1351" t="str">
        <f>"40513048"</f>
        <v>40513048</v>
      </c>
      <c r="B1351" t="s">
        <v>1333</v>
      </c>
      <c r="C1351">
        <v>165</v>
      </c>
      <c r="D1351" t="str">
        <f t="shared" si="54"/>
        <v>278</v>
      </c>
    </row>
    <row r="1352" spans="1:4" x14ac:dyDescent="0.25">
      <c r="A1352" t="str">
        <f>"40513049"</f>
        <v>40513049</v>
      </c>
      <c r="B1352" t="s">
        <v>1334</v>
      </c>
      <c r="C1352">
        <v>198</v>
      </c>
      <c r="D1352" t="str">
        <f t="shared" si="54"/>
        <v>278</v>
      </c>
    </row>
    <row r="1353" spans="1:4" x14ac:dyDescent="0.25">
      <c r="A1353" t="str">
        <f>"40513050"</f>
        <v>40513050</v>
      </c>
      <c r="B1353" t="s">
        <v>1335</v>
      </c>
      <c r="C1353">
        <v>198</v>
      </c>
      <c r="D1353" t="str">
        <f t="shared" si="54"/>
        <v>278</v>
      </c>
    </row>
    <row r="1354" spans="1:4" x14ac:dyDescent="0.25">
      <c r="A1354" t="str">
        <f>"40513051"</f>
        <v>40513051</v>
      </c>
      <c r="B1354" t="s">
        <v>1336</v>
      </c>
      <c r="C1354">
        <v>495</v>
      </c>
      <c r="D1354" t="str">
        <f t="shared" si="54"/>
        <v>278</v>
      </c>
    </row>
    <row r="1355" spans="1:4" x14ac:dyDescent="0.25">
      <c r="A1355" t="str">
        <f>"40513052"</f>
        <v>40513052</v>
      </c>
      <c r="B1355" t="s">
        <v>1337</v>
      </c>
      <c r="C1355">
        <v>495</v>
      </c>
      <c r="D1355" t="str">
        <f t="shared" si="54"/>
        <v>278</v>
      </c>
    </row>
    <row r="1356" spans="1:4" x14ac:dyDescent="0.25">
      <c r="A1356" t="str">
        <f>"40513053  "</f>
        <v xml:space="preserve">40513053  </v>
      </c>
      <c r="B1356" t="s">
        <v>1338</v>
      </c>
      <c r="C1356">
        <v>29.7</v>
      </c>
      <c r="D1356" t="str">
        <f>"270"</f>
        <v>270</v>
      </c>
    </row>
    <row r="1357" spans="1:4" x14ac:dyDescent="0.25">
      <c r="A1357" t="str">
        <f>"40513054"</f>
        <v>40513054</v>
      </c>
      <c r="B1357" t="s">
        <v>1339</v>
      </c>
      <c r="C1357" s="1">
        <v>1485</v>
      </c>
      <c r="D1357" t="str">
        <f t="shared" ref="D1357:D1363" si="55">"278"</f>
        <v>278</v>
      </c>
    </row>
    <row r="1358" spans="1:4" x14ac:dyDescent="0.25">
      <c r="A1358" t="str">
        <f>"40513055"</f>
        <v>40513055</v>
      </c>
      <c r="B1358" t="s">
        <v>1340</v>
      </c>
      <c r="C1358" s="1">
        <v>8800</v>
      </c>
      <c r="D1358" t="str">
        <f t="shared" si="55"/>
        <v>278</v>
      </c>
    </row>
    <row r="1359" spans="1:4" x14ac:dyDescent="0.25">
      <c r="A1359" t="str">
        <f>"40513056"</f>
        <v>40513056</v>
      </c>
      <c r="B1359" t="s">
        <v>1341</v>
      </c>
      <c r="C1359" s="1">
        <v>8226.9</v>
      </c>
      <c r="D1359" t="str">
        <f t="shared" si="55"/>
        <v>278</v>
      </c>
    </row>
    <row r="1360" spans="1:4" x14ac:dyDescent="0.25">
      <c r="A1360" t="str">
        <f>"40513057"</f>
        <v>40513057</v>
      </c>
      <c r="B1360" t="s">
        <v>1342</v>
      </c>
      <c r="C1360" s="1">
        <v>2541</v>
      </c>
      <c r="D1360" t="str">
        <f t="shared" si="55"/>
        <v>278</v>
      </c>
    </row>
    <row r="1361" spans="1:4" x14ac:dyDescent="0.25">
      <c r="A1361" t="str">
        <f>"40513058"</f>
        <v>40513058</v>
      </c>
      <c r="B1361" t="s">
        <v>1343</v>
      </c>
      <c r="C1361" s="1">
        <v>7642.8</v>
      </c>
      <c r="D1361" t="str">
        <f t="shared" si="55"/>
        <v>278</v>
      </c>
    </row>
    <row r="1362" spans="1:4" x14ac:dyDescent="0.25">
      <c r="A1362" t="str">
        <f>"40513059"</f>
        <v>40513059</v>
      </c>
      <c r="B1362" t="s">
        <v>1344</v>
      </c>
      <c r="C1362" s="1">
        <v>3039.3</v>
      </c>
      <c r="D1362" t="str">
        <f t="shared" si="55"/>
        <v>278</v>
      </c>
    </row>
    <row r="1363" spans="1:4" x14ac:dyDescent="0.25">
      <c r="A1363" t="str">
        <f>"40513060"</f>
        <v>40513060</v>
      </c>
      <c r="B1363" t="s">
        <v>1345</v>
      </c>
      <c r="C1363" s="1">
        <v>2475</v>
      </c>
      <c r="D1363" t="str">
        <f t="shared" si="55"/>
        <v>278</v>
      </c>
    </row>
    <row r="1364" spans="1:4" x14ac:dyDescent="0.25">
      <c r="A1364" t="str">
        <f>"40513061  "</f>
        <v xml:space="preserve">40513061  </v>
      </c>
      <c r="B1364" t="s">
        <v>1346</v>
      </c>
      <c r="C1364">
        <v>866.8</v>
      </c>
      <c r="D1364" t="str">
        <f>"270"</f>
        <v>270</v>
      </c>
    </row>
    <row r="1365" spans="1:4" x14ac:dyDescent="0.25">
      <c r="A1365" t="str">
        <f>"40513062"</f>
        <v>40513062</v>
      </c>
      <c r="B1365" t="s">
        <v>1347</v>
      </c>
      <c r="C1365">
        <v>458.7</v>
      </c>
      <c r="D1365" t="str">
        <f t="shared" ref="D1365:D1381" si="56">"278"</f>
        <v>278</v>
      </c>
    </row>
    <row r="1366" spans="1:4" x14ac:dyDescent="0.25">
      <c r="A1366" t="str">
        <f>"40513063"</f>
        <v>40513063</v>
      </c>
      <c r="B1366" t="s">
        <v>1348</v>
      </c>
      <c r="C1366">
        <v>458.7</v>
      </c>
      <c r="D1366" t="str">
        <f t="shared" si="56"/>
        <v>278</v>
      </c>
    </row>
    <row r="1367" spans="1:4" x14ac:dyDescent="0.25">
      <c r="A1367" t="str">
        <f>"40513064"</f>
        <v>40513064</v>
      </c>
      <c r="B1367" t="s">
        <v>1349</v>
      </c>
      <c r="C1367">
        <v>458.7</v>
      </c>
      <c r="D1367" t="str">
        <f t="shared" si="56"/>
        <v>278</v>
      </c>
    </row>
    <row r="1368" spans="1:4" x14ac:dyDescent="0.25">
      <c r="A1368" t="str">
        <f>"40513065"</f>
        <v>40513065</v>
      </c>
      <c r="B1368" t="s">
        <v>1350</v>
      </c>
      <c r="C1368">
        <v>458.7</v>
      </c>
      <c r="D1368" t="str">
        <f t="shared" si="56"/>
        <v>278</v>
      </c>
    </row>
    <row r="1369" spans="1:4" x14ac:dyDescent="0.25">
      <c r="A1369" t="str">
        <f>"40513066"</f>
        <v>40513066</v>
      </c>
      <c r="B1369" t="s">
        <v>1351</v>
      </c>
      <c r="C1369">
        <v>158.4</v>
      </c>
      <c r="D1369" t="str">
        <f t="shared" si="56"/>
        <v>278</v>
      </c>
    </row>
    <row r="1370" spans="1:4" x14ac:dyDescent="0.25">
      <c r="A1370" t="str">
        <f>"40513067"</f>
        <v>40513067</v>
      </c>
      <c r="B1370" t="s">
        <v>1352</v>
      </c>
      <c r="C1370">
        <v>524.70000000000005</v>
      </c>
      <c r="D1370" t="str">
        <f t="shared" si="56"/>
        <v>278</v>
      </c>
    </row>
    <row r="1371" spans="1:4" x14ac:dyDescent="0.25">
      <c r="A1371" t="str">
        <f>"40513068"</f>
        <v>40513068</v>
      </c>
      <c r="B1371" t="s">
        <v>1353</v>
      </c>
      <c r="C1371">
        <v>227.7</v>
      </c>
      <c r="D1371" t="str">
        <f t="shared" si="56"/>
        <v>278</v>
      </c>
    </row>
    <row r="1372" spans="1:4" x14ac:dyDescent="0.25">
      <c r="A1372" t="str">
        <f>"40513069"</f>
        <v>40513069</v>
      </c>
      <c r="B1372" t="s">
        <v>1354</v>
      </c>
      <c r="C1372" s="1">
        <v>1171.5</v>
      </c>
      <c r="D1372" t="str">
        <f t="shared" si="56"/>
        <v>278</v>
      </c>
    </row>
    <row r="1373" spans="1:4" x14ac:dyDescent="0.25">
      <c r="A1373" t="str">
        <f>"40513070"</f>
        <v>40513070</v>
      </c>
      <c r="B1373" t="s">
        <v>1355</v>
      </c>
      <c r="C1373" s="1">
        <v>1171.5</v>
      </c>
      <c r="D1373" t="str">
        <f t="shared" si="56"/>
        <v>278</v>
      </c>
    </row>
    <row r="1374" spans="1:4" x14ac:dyDescent="0.25">
      <c r="A1374" t="str">
        <f>"40513071"</f>
        <v>40513071</v>
      </c>
      <c r="B1374" t="s">
        <v>1356</v>
      </c>
      <c r="C1374">
        <v>693</v>
      </c>
      <c r="D1374" t="str">
        <f t="shared" si="56"/>
        <v>278</v>
      </c>
    </row>
    <row r="1375" spans="1:4" x14ac:dyDescent="0.25">
      <c r="A1375" t="str">
        <f>"40513072"</f>
        <v>40513072</v>
      </c>
      <c r="B1375" t="s">
        <v>1357</v>
      </c>
      <c r="C1375" s="1">
        <v>1292.5</v>
      </c>
      <c r="D1375" t="str">
        <f t="shared" si="56"/>
        <v>278</v>
      </c>
    </row>
    <row r="1376" spans="1:4" x14ac:dyDescent="0.25">
      <c r="A1376" t="str">
        <f>"40513073"</f>
        <v>40513073</v>
      </c>
      <c r="B1376" t="s">
        <v>1358</v>
      </c>
      <c r="C1376" s="1">
        <v>7590</v>
      </c>
      <c r="D1376" t="str">
        <f t="shared" si="56"/>
        <v>278</v>
      </c>
    </row>
    <row r="1377" spans="1:5" x14ac:dyDescent="0.25">
      <c r="A1377" t="str">
        <f>"40513074"</f>
        <v>40513074</v>
      </c>
      <c r="B1377" t="s">
        <v>1359</v>
      </c>
      <c r="C1377" s="1">
        <v>4125</v>
      </c>
      <c r="D1377" t="str">
        <f t="shared" si="56"/>
        <v>278</v>
      </c>
    </row>
    <row r="1378" spans="1:5" x14ac:dyDescent="0.25">
      <c r="A1378" t="str">
        <f>"40513075"</f>
        <v>40513075</v>
      </c>
      <c r="B1378" t="s">
        <v>1360</v>
      </c>
      <c r="C1378" s="1">
        <v>3465</v>
      </c>
      <c r="D1378" t="str">
        <f t="shared" si="56"/>
        <v>278</v>
      </c>
    </row>
    <row r="1379" spans="1:5" x14ac:dyDescent="0.25">
      <c r="A1379" t="str">
        <f>"40513076"</f>
        <v>40513076</v>
      </c>
      <c r="B1379" t="s">
        <v>1361</v>
      </c>
      <c r="C1379" s="1">
        <v>1320</v>
      </c>
      <c r="D1379" t="str">
        <f t="shared" si="56"/>
        <v>278</v>
      </c>
    </row>
    <row r="1380" spans="1:5" x14ac:dyDescent="0.25">
      <c r="A1380" t="str">
        <f>"40513077"</f>
        <v>40513077</v>
      </c>
      <c r="B1380" t="s">
        <v>1362</v>
      </c>
      <c r="C1380">
        <v>566.5</v>
      </c>
      <c r="D1380" t="str">
        <f t="shared" si="56"/>
        <v>278</v>
      </c>
    </row>
    <row r="1381" spans="1:5" x14ac:dyDescent="0.25">
      <c r="A1381" t="str">
        <f>"40513078"</f>
        <v>40513078</v>
      </c>
      <c r="B1381" t="s">
        <v>1363</v>
      </c>
      <c r="C1381" s="1">
        <v>7590</v>
      </c>
      <c r="D1381" t="str">
        <f t="shared" si="56"/>
        <v>278</v>
      </c>
    </row>
    <row r="1382" spans="1:5" x14ac:dyDescent="0.25">
      <c r="A1382" t="str">
        <f>"40513079  "</f>
        <v xml:space="preserve">40513079  </v>
      </c>
      <c r="B1382" t="s">
        <v>1364</v>
      </c>
      <c r="C1382">
        <v>22</v>
      </c>
      <c r="D1382" t="str">
        <f>"272"</f>
        <v>272</v>
      </c>
      <c r="E1382" t="str">
        <f>"A4550"</f>
        <v>A4550</v>
      </c>
    </row>
    <row r="1383" spans="1:5" x14ac:dyDescent="0.25">
      <c r="A1383" t="str">
        <f>"40513080"</f>
        <v>40513080</v>
      </c>
      <c r="B1383" t="s">
        <v>1365</v>
      </c>
      <c r="C1383" s="1">
        <v>4125</v>
      </c>
      <c r="D1383" t="str">
        <f t="shared" ref="D1383:D1405" si="57">"278"</f>
        <v>278</v>
      </c>
    </row>
    <row r="1384" spans="1:5" x14ac:dyDescent="0.25">
      <c r="A1384" t="str">
        <f>"40513081"</f>
        <v>40513081</v>
      </c>
      <c r="B1384" t="s">
        <v>1366</v>
      </c>
      <c r="C1384" s="1">
        <v>3465</v>
      </c>
      <c r="D1384" t="str">
        <f t="shared" si="57"/>
        <v>278</v>
      </c>
    </row>
    <row r="1385" spans="1:5" x14ac:dyDescent="0.25">
      <c r="A1385" t="str">
        <f>"40513082"</f>
        <v>40513082</v>
      </c>
      <c r="B1385" t="s">
        <v>1367</v>
      </c>
      <c r="C1385" s="1">
        <v>1320</v>
      </c>
      <c r="D1385" t="str">
        <f t="shared" si="57"/>
        <v>278</v>
      </c>
    </row>
    <row r="1386" spans="1:5" x14ac:dyDescent="0.25">
      <c r="A1386" t="str">
        <f>"40513083"</f>
        <v>40513083</v>
      </c>
      <c r="B1386" t="s">
        <v>1368</v>
      </c>
      <c r="C1386" s="1">
        <v>5940</v>
      </c>
      <c r="D1386" t="str">
        <f t="shared" si="57"/>
        <v>278</v>
      </c>
    </row>
    <row r="1387" spans="1:5" x14ac:dyDescent="0.25">
      <c r="A1387" t="str">
        <f>"40513084"</f>
        <v>40513084</v>
      </c>
      <c r="B1387" t="s">
        <v>1369</v>
      </c>
      <c r="C1387" s="1">
        <v>3806</v>
      </c>
      <c r="D1387" t="str">
        <f t="shared" si="57"/>
        <v>278</v>
      </c>
    </row>
    <row r="1388" spans="1:5" x14ac:dyDescent="0.25">
      <c r="A1388" t="str">
        <f>"40513085"</f>
        <v>40513085</v>
      </c>
      <c r="B1388" t="s">
        <v>1370</v>
      </c>
      <c r="C1388" s="1">
        <v>4125</v>
      </c>
      <c r="D1388" t="str">
        <f t="shared" si="57"/>
        <v>278</v>
      </c>
    </row>
    <row r="1389" spans="1:5" x14ac:dyDescent="0.25">
      <c r="A1389" t="str">
        <f>"40513086"</f>
        <v>40513086</v>
      </c>
      <c r="B1389" t="s">
        <v>1371</v>
      </c>
      <c r="C1389" s="1">
        <v>2240.6999999999998</v>
      </c>
      <c r="D1389" t="str">
        <f t="shared" si="57"/>
        <v>278</v>
      </c>
    </row>
    <row r="1390" spans="1:5" x14ac:dyDescent="0.25">
      <c r="A1390" t="str">
        <f>"40513087  "</f>
        <v xml:space="preserve">40513087  </v>
      </c>
      <c r="B1390" t="s">
        <v>1372</v>
      </c>
      <c r="C1390" s="1">
        <v>1485</v>
      </c>
      <c r="D1390" t="str">
        <f t="shared" si="57"/>
        <v>278</v>
      </c>
    </row>
    <row r="1391" spans="1:5" x14ac:dyDescent="0.25">
      <c r="A1391" t="str">
        <f>"40513088"</f>
        <v>40513088</v>
      </c>
      <c r="B1391" t="s">
        <v>1373</v>
      </c>
      <c r="C1391">
        <v>220</v>
      </c>
      <c r="D1391" t="str">
        <f t="shared" si="57"/>
        <v>278</v>
      </c>
    </row>
    <row r="1392" spans="1:5" x14ac:dyDescent="0.25">
      <c r="A1392" t="str">
        <f>"40513089"</f>
        <v>40513089</v>
      </c>
      <c r="B1392" t="s">
        <v>1374</v>
      </c>
      <c r="C1392">
        <v>528</v>
      </c>
      <c r="D1392" t="str">
        <f t="shared" si="57"/>
        <v>278</v>
      </c>
    </row>
    <row r="1393" spans="1:4" x14ac:dyDescent="0.25">
      <c r="A1393" t="str">
        <f>"40513090"</f>
        <v>40513090</v>
      </c>
      <c r="B1393" t="s">
        <v>1375</v>
      </c>
      <c r="C1393" s="1">
        <v>9900</v>
      </c>
      <c r="D1393" t="str">
        <f t="shared" si="57"/>
        <v>278</v>
      </c>
    </row>
    <row r="1394" spans="1:4" x14ac:dyDescent="0.25">
      <c r="A1394" t="str">
        <f>"40513091"</f>
        <v>40513091</v>
      </c>
      <c r="B1394" t="s">
        <v>1376</v>
      </c>
      <c r="C1394" s="1">
        <v>5940</v>
      </c>
      <c r="D1394" t="str">
        <f t="shared" si="57"/>
        <v>278</v>
      </c>
    </row>
    <row r="1395" spans="1:4" x14ac:dyDescent="0.25">
      <c r="A1395" t="str">
        <f>"40513092"</f>
        <v>40513092</v>
      </c>
      <c r="B1395" t="s">
        <v>1377</v>
      </c>
      <c r="C1395" s="1">
        <v>2970</v>
      </c>
      <c r="D1395" t="str">
        <f t="shared" si="57"/>
        <v>278</v>
      </c>
    </row>
    <row r="1396" spans="1:4" x14ac:dyDescent="0.25">
      <c r="A1396" t="str">
        <f>"40513093"</f>
        <v>40513093</v>
      </c>
      <c r="B1396" t="s">
        <v>1378</v>
      </c>
      <c r="C1396">
        <v>165</v>
      </c>
      <c r="D1396" t="str">
        <f t="shared" si="57"/>
        <v>278</v>
      </c>
    </row>
    <row r="1397" spans="1:4" x14ac:dyDescent="0.25">
      <c r="A1397" t="str">
        <f>"40513094"</f>
        <v>40513094</v>
      </c>
      <c r="B1397" t="s">
        <v>1379</v>
      </c>
      <c r="C1397">
        <v>165</v>
      </c>
      <c r="D1397" t="str">
        <f t="shared" si="57"/>
        <v>278</v>
      </c>
    </row>
    <row r="1398" spans="1:4" x14ac:dyDescent="0.25">
      <c r="A1398" t="str">
        <f>"40513095  "</f>
        <v xml:space="preserve">40513095  </v>
      </c>
      <c r="B1398" t="s">
        <v>1380</v>
      </c>
      <c r="C1398">
        <v>502.7</v>
      </c>
      <c r="D1398" t="str">
        <f t="shared" si="57"/>
        <v>278</v>
      </c>
    </row>
    <row r="1399" spans="1:4" x14ac:dyDescent="0.25">
      <c r="A1399" t="str">
        <f>"40513096"</f>
        <v>40513096</v>
      </c>
      <c r="B1399" t="s">
        <v>1381</v>
      </c>
      <c r="C1399" s="1">
        <v>1980</v>
      </c>
      <c r="D1399" t="str">
        <f t="shared" si="57"/>
        <v>278</v>
      </c>
    </row>
    <row r="1400" spans="1:4" x14ac:dyDescent="0.25">
      <c r="A1400" t="str">
        <f>"40513097"</f>
        <v>40513097</v>
      </c>
      <c r="B1400" t="s">
        <v>1382</v>
      </c>
      <c r="C1400" s="1">
        <v>7590</v>
      </c>
      <c r="D1400" t="str">
        <f t="shared" si="57"/>
        <v>278</v>
      </c>
    </row>
    <row r="1401" spans="1:4" x14ac:dyDescent="0.25">
      <c r="A1401" t="str">
        <f>"40513098"</f>
        <v>40513098</v>
      </c>
      <c r="B1401" t="s">
        <v>1383</v>
      </c>
      <c r="C1401" s="1">
        <v>3465</v>
      </c>
      <c r="D1401" t="str">
        <f t="shared" si="57"/>
        <v>278</v>
      </c>
    </row>
    <row r="1402" spans="1:4" x14ac:dyDescent="0.25">
      <c r="A1402" t="str">
        <f>"40513099"</f>
        <v>40513099</v>
      </c>
      <c r="B1402" t="s">
        <v>1384</v>
      </c>
      <c r="C1402" s="1">
        <v>1320</v>
      </c>
      <c r="D1402" t="str">
        <f t="shared" si="57"/>
        <v>278</v>
      </c>
    </row>
    <row r="1403" spans="1:4" x14ac:dyDescent="0.25">
      <c r="A1403" t="str">
        <f>"40513100"</f>
        <v>40513100</v>
      </c>
      <c r="B1403" t="s">
        <v>1385</v>
      </c>
      <c r="C1403" s="1">
        <v>1392.6</v>
      </c>
      <c r="D1403" t="str">
        <f t="shared" si="57"/>
        <v>278</v>
      </c>
    </row>
    <row r="1404" spans="1:4" x14ac:dyDescent="0.25">
      <c r="A1404" t="str">
        <f>"40513101"</f>
        <v>40513101</v>
      </c>
      <c r="B1404" t="s">
        <v>1386</v>
      </c>
      <c r="C1404" s="1">
        <v>1666.5</v>
      </c>
      <c r="D1404" t="str">
        <f t="shared" si="57"/>
        <v>278</v>
      </c>
    </row>
    <row r="1405" spans="1:4" x14ac:dyDescent="0.25">
      <c r="A1405" t="str">
        <f>"40513102"</f>
        <v>40513102</v>
      </c>
      <c r="B1405" t="s">
        <v>1387</v>
      </c>
      <c r="C1405" s="1">
        <v>3850</v>
      </c>
      <c r="D1405" t="str">
        <f t="shared" si="57"/>
        <v>278</v>
      </c>
    </row>
    <row r="1406" spans="1:4" x14ac:dyDescent="0.25">
      <c r="A1406" t="str">
        <f>"40513103  "</f>
        <v xml:space="preserve">40513103  </v>
      </c>
      <c r="B1406" t="s">
        <v>1388</v>
      </c>
      <c r="C1406">
        <v>577.5</v>
      </c>
      <c r="D1406" t="str">
        <f>"270"</f>
        <v>270</v>
      </c>
    </row>
    <row r="1407" spans="1:4" x14ac:dyDescent="0.25">
      <c r="A1407" t="str">
        <f>"40513104"</f>
        <v>40513104</v>
      </c>
      <c r="B1407" t="s">
        <v>1389</v>
      </c>
      <c r="C1407" s="1">
        <v>1815</v>
      </c>
      <c r="D1407" t="str">
        <f t="shared" ref="D1407:D1412" si="58">"278"</f>
        <v>278</v>
      </c>
    </row>
    <row r="1408" spans="1:4" x14ac:dyDescent="0.25">
      <c r="A1408" t="str">
        <f>"40513105"</f>
        <v>40513105</v>
      </c>
      <c r="B1408" t="s">
        <v>1390</v>
      </c>
      <c r="C1408">
        <v>605</v>
      </c>
      <c r="D1408" t="str">
        <f t="shared" si="58"/>
        <v>278</v>
      </c>
    </row>
    <row r="1409" spans="1:4" x14ac:dyDescent="0.25">
      <c r="A1409" t="str">
        <f>"40513106"</f>
        <v>40513106</v>
      </c>
      <c r="B1409" t="s">
        <v>1391</v>
      </c>
      <c r="C1409" s="1">
        <v>3300</v>
      </c>
      <c r="D1409" t="str">
        <f t="shared" si="58"/>
        <v>278</v>
      </c>
    </row>
    <row r="1410" spans="1:4" x14ac:dyDescent="0.25">
      <c r="A1410" t="str">
        <f>"40513107"</f>
        <v>40513107</v>
      </c>
      <c r="B1410" t="s">
        <v>1392</v>
      </c>
      <c r="C1410" s="1">
        <v>6770.5</v>
      </c>
      <c r="D1410" t="str">
        <f t="shared" si="58"/>
        <v>278</v>
      </c>
    </row>
    <row r="1411" spans="1:4" x14ac:dyDescent="0.25">
      <c r="A1411" t="str">
        <f>"40513108"</f>
        <v>40513108</v>
      </c>
      <c r="B1411" t="s">
        <v>1393</v>
      </c>
      <c r="C1411" s="1">
        <v>1320</v>
      </c>
      <c r="D1411" t="str">
        <f t="shared" si="58"/>
        <v>278</v>
      </c>
    </row>
    <row r="1412" spans="1:4" x14ac:dyDescent="0.25">
      <c r="A1412" t="str">
        <f>"40513109"</f>
        <v>40513109</v>
      </c>
      <c r="B1412" t="s">
        <v>1394</v>
      </c>
      <c r="C1412" s="1">
        <v>8800</v>
      </c>
      <c r="D1412" t="str">
        <f t="shared" si="58"/>
        <v>278</v>
      </c>
    </row>
    <row r="1413" spans="1:4" x14ac:dyDescent="0.25">
      <c r="A1413" t="str">
        <f>"40513110"</f>
        <v>40513110</v>
      </c>
      <c r="B1413" t="s">
        <v>1395</v>
      </c>
      <c r="C1413" s="1">
        <v>2805</v>
      </c>
      <c r="D1413" t="str">
        <f>"270       "</f>
        <v xml:space="preserve">270       </v>
      </c>
    </row>
    <row r="1414" spans="1:4" x14ac:dyDescent="0.25">
      <c r="A1414" t="str">
        <f>"40513111"</f>
        <v>40513111</v>
      </c>
      <c r="B1414" t="s">
        <v>1396</v>
      </c>
      <c r="C1414" s="1">
        <v>5940</v>
      </c>
      <c r="D1414" t="str">
        <f t="shared" ref="D1414:D1419" si="59">"278"</f>
        <v>278</v>
      </c>
    </row>
    <row r="1415" spans="1:4" x14ac:dyDescent="0.25">
      <c r="A1415" t="str">
        <f>"40513112"</f>
        <v>40513112</v>
      </c>
      <c r="B1415" t="s">
        <v>1397</v>
      </c>
      <c r="C1415" s="1">
        <v>4125</v>
      </c>
      <c r="D1415" t="str">
        <f t="shared" si="59"/>
        <v>278</v>
      </c>
    </row>
    <row r="1416" spans="1:4" x14ac:dyDescent="0.25">
      <c r="A1416" t="str">
        <f>"40513113"</f>
        <v>40513113</v>
      </c>
      <c r="B1416" t="s">
        <v>1398</v>
      </c>
      <c r="C1416" s="1">
        <v>3806</v>
      </c>
      <c r="D1416" t="str">
        <f t="shared" si="59"/>
        <v>278</v>
      </c>
    </row>
    <row r="1417" spans="1:4" x14ac:dyDescent="0.25">
      <c r="A1417" t="str">
        <f>"40513114"</f>
        <v>40513114</v>
      </c>
      <c r="B1417" t="s">
        <v>1399</v>
      </c>
      <c r="C1417" s="1">
        <v>2244</v>
      </c>
      <c r="D1417" t="str">
        <f t="shared" si="59"/>
        <v>278</v>
      </c>
    </row>
    <row r="1418" spans="1:4" x14ac:dyDescent="0.25">
      <c r="A1418" t="str">
        <f>"40513115"</f>
        <v>40513115</v>
      </c>
      <c r="B1418" t="s">
        <v>1400</v>
      </c>
      <c r="C1418">
        <v>71.5</v>
      </c>
      <c r="D1418" t="str">
        <f t="shared" si="59"/>
        <v>278</v>
      </c>
    </row>
    <row r="1419" spans="1:4" x14ac:dyDescent="0.25">
      <c r="A1419" t="str">
        <f>"40513116"</f>
        <v>40513116</v>
      </c>
      <c r="B1419" t="s">
        <v>1354</v>
      </c>
      <c r="C1419" s="1">
        <v>1171.5</v>
      </c>
      <c r="D1419" t="str">
        <f t="shared" si="59"/>
        <v>278</v>
      </c>
    </row>
    <row r="1420" spans="1:4" x14ac:dyDescent="0.25">
      <c r="A1420" t="str">
        <f>"40513117"</f>
        <v>40513117</v>
      </c>
      <c r="B1420" t="s">
        <v>1401</v>
      </c>
      <c r="C1420">
        <v>880</v>
      </c>
      <c r="D1420" t="str">
        <f>"270"</f>
        <v>270</v>
      </c>
    </row>
    <row r="1421" spans="1:4" x14ac:dyDescent="0.25">
      <c r="A1421" t="str">
        <f>"40513118"</f>
        <v>40513118</v>
      </c>
      <c r="B1421" t="s">
        <v>1402</v>
      </c>
      <c r="C1421" s="1">
        <v>8800</v>
      </c>
      <c r="D1421" t="str">
        <f>"278"</f>
        <v>278</v>
      </c>
    </row>
    <row r="1422" spans="1:4" x14ac:dyDescent="0.25">
      <c r="A1422" t="str">
        <f>"40513119"</f>
        <v>40513119</v>
      </c>
      <c r="B1422" t="s">
        <v>1403</v>
      </c>
      <c r="C1422" s="1">
        <v>6270</v>
      </c>
      <c r="D1422" t="str">
        <f>"278"</f>
        <v>278</v>
      </c>
    </row>
    <row r="1423" spans="1:4" x14ac:dyDescent="0.25">
      <c r="A1423" t="str">
        <f>"40513120"</f>
        <v>40513120</v>
      </c>
      <c r="B1423" t="s">
        <v>1404</v>
      </c>
      <c r="C1423" s="1">
        <v>1980</v>
      </c>
      <c r="D1423" t="str">
        <f>"278"</f>
        <v>278</v>
      </c>
    </row>
    <row r="1424" spans="1:4" x14ac:dyDescent="0.25">
      <c r="A1424" t="str">
        <f>"40513121"</f>
        <v>40513121</v>
      </c>
      <c r="B1424" t="s">
        <v>1405</v>
      </c>
      <c r="C1424" s="1">
        <v>3135</v>
      </c>
      <c r="D1424" t="str">
        <f>"278"</f>
        <v>278</v>
      </c>
    </row>
    <row r="1425" spans="1:4" x14ac:dyDescent="0.25">
      <c r="A1425" t="str">
        <f>"40513129  "</f>
        <v xml:space="preserve">40513129  </v>
      </c>
      <c r="B1425" t="s">
        <v>1406</v>
      </c>
      <c r="C1425">
        <v>68.2</v>
      </c>
      <c r="D1425" t="str">
        <f>"270"</f>
        <v>270</v>
      </c>
    </row>
    <row r="1426" spans="1:4" x14ac:dyDescent="0.25">
      <c r="A1426" t="str">
        <f>"40513130"</f>
        <v>40513130</v>
      </c>
      <c r="B1426" t="s">
        <v>1407</v>
      </c>
      <c r="C1426">
        <v>264</v>
      </c>
      <c r="D1426" t="str">
        <f>"278"</f>
        <v>278</v>
      </c>
    </row>
    <row r="1427" spans="1:4" x14ac:dyDescent="0.25">
      <c r="A1427" t="str">
        <f>"40513131"</f>
        <v>40513131</v>
      </c>
      <c r="B1427" t="s">
        <v>1333</v>
      </c>
      <c r="C1427">
        <v>165</v>
      </c>
      <c r="D1427" t="str">
        <f>"270"</f>
        <v>270</v>
      </c>
    </row>
    <row r="1428" spans="1:4" x14ac:dyDescent="0.25">
      <c r="A1428" t="str">
        <f>"40513132"</f>
        <v>40513132</v>
      </c>
      <c r="B1428" t="s">
        <v>1408</v>
      </c>
      <c r="C1428">
        <v>363</v>
      </c>
      <c r="D1428" t="str">
        <f>"278"</f>
        <v>278</v>
      </c>
    </row>
    <row r="1429" spans="1:4" x14ac:dyDescent="0.25">
      <c r="A1429" t="str">
        <f>"40513133"</f>
        <v>40513133</v>
      </c>
      <c r="B1429" t="s">
        <v>1409</v>
      </c>
      <c r="C1429">
        <v>363</v>
      </c>
      <c r="D1429" t="str">
        <f>"278"</f>
        <v>278</v>
      </c>
    </row>
    <row r="1430" spans="1:4" x14ac:dyDescent="0.25">
      <c r="A1430" t="str">
        <f>"40513134"</f>
        <v>40513134</v>
      </c>
      <c r="B1430" t="s">
        <v>1410</v>
      </c>
      <c r="C1430">
        <v>462</v>
      </c>
      <c r="D1430" t="str">
        <f>"278"</f>
        <v>278</v>
      </c>
    </row>
    <row r="1431" spans="1:4" x14ac:dyDescent="0.25">
      <c r="A1431" t="str">
        <f>"40513135"</f>
        <v>40513135</v>
      </c>
      <c r="B1431" t="s">
        <v>1411</v>
      </c>
      <c r="C1431">
        <v>462</v>
      </c>
      <c r="D1431" t="str">
        <f>"278"</f>
        <v>278</v>
      </c>
    </row>
    <row r="1432" spans="1:4" x14ac:dyDescent="0.25">
      <c r="A1432" t="str">
        <f>"40513136"</f>
        <v>40513136</v>
      </c>
      <c r="B1432" t="s">
        <v>1412</v>
      </c>
      <c r="C1432">
        <v>264</v>
      </c>
      <c r="D1432" t="str">
        <f>"270"</f>
        <v>270</v>
      </c>
    </row>
    <row r="1433" spans="1:4" x14ac:dyDescent="0.25">
      <c r="A1433" t="str">
        <f>"40513137  "</f>
        <v xml:space="preserve">40513137  </v>
      </c>
      <c r="B1433" t="s">
        <v>1413</v>
      </c>
      <c r="C1433">
        <v>190.3</v>
      </c>
      <c r="D1433" t="str">
        <f>"270"</f>
        <v>270</v>
      </c>
    </row>
    <row r="1434" spans="1:4" x14ac:dyDescent="0.25">
      <c r="A1434" t="str">
        <f>"40513138"</f>
        <v>40513138</v>
      </c>
      <c r="B1434" t="s">
        <v>1414</v>
      </c>
      <c r="C1434" s="1">
        <v>2293.5</v>
      </c>
      <c r="D1434" t="str">
        <f>"278"</f>
        <v>278</v>
      </c>
    </row>
    <row r="1435" spans="1:4" x14ac:dyDescent="0.25">
      <c r="A1435" t="str">
        <f>"40513139"</f>
        <v>40513139</v>
      </c>
      <c r="B1435" t="s">
        <v>1415</v>
      </c>
      <c r="C1435" s="1">
        <v>2145</v>
      </c>
      <c r="D1435" t="str">
        <f>"278"</f>
        <v>278</v>
      </c>
    </row>
    <row r="1436" spans="1:4" x14ac:dyDescent="0.25">
      <c r="A1436" t="str">
        <f>"40513140"</f>
        <v>40513140</v>
      </c>
      <c r="B1436" t="s">
        <v>1416</v>
      </c>
      <c r="C1436">
        <v>198</v>
      </c>
      <c r="D1436" t="str">
        <f>"278"</f>
        <v>278</v>
      </c>
    </row>
    <row r="1437" spans="1:4" x14ac:dyDescent="0.25">
      <c r="A1437" t="str">
        <f>"40513141"</f>
        <v>40513141</v>
      </c>
      <c r="B1437" t="s">
        <v>1417</v>
      </c>
      <c r="C1437">
        <v>330</v>
      </c>
      <c r="D1437" t="str">
        <f>"270"</f>
        <v>270</v>
      </c>
    </row>
    <row r="1438" spans="1:4" x14ac:dyDescent="0.25">
      <c r="A1438" t="str">
        <f>"40513142"</f>
        <v>40513142</v>
      </c>
      <c r="B1438" t="s">
        <v>1332</v>
      </c>
      <c r="C1438">
        <v>319</v>
      </c>
      <c r="D1438" t="str">
        <f>"270"</f>
        <v>270</v>
      </c>
    </row>
    <row r="1439" spans="1:4" x14ac:dyDescent="0.25">
      <c r="A1439" t="str">
        <f>"40513143"</f>
        <v>40513143</v>
      </c>
      <c r="B1439" t="s">
        <v>1418</v>
      </c>
      <c r="C1439">
        <v>577.5</v>
      </c>
      <c r="D1439" t="str">
        <f>"270"</f>
        <v>270</v>
      </c>
    </row>
    <row r="1440" spans="1:4" x14ac:dyDescent="0.25">
      <c r="A1440" t="str">
        <f>"40513144"</f>
        <v>40513144</v>
      </c>
      <c r="B1440" t="s">
        <v>1419</v>
      </c>
      <c r="C1440">
        <v>385</v>
      </c>
      <c r="D1440" t="str">
        <f>"278"</f>
        <v>278</v>
      </c>
    </row>
    <row r="1441" spans="1:4" x14ac:dyDescent="0.25">
      <c r="A1441" t="str">
        <f>"40513145  "</f>
        <v xml:space="preserve">40513145  </v>
      </c>
      <c r="B1441" t="s">
        <v>1420</v>
      </c>
      <c r="C1441">
        <v>99</v>
      </c>
      <c r="D1441" t="str">
        <f>"270"</f>
        <v>270</v>
      </c>
    </row>
    <row r="1442" spans="1:4" x14ac:dyDescent="0.25">
      <c r="A1442" t="str">
        <f>"40513146"</f>
        <v>40513146</v>
      </c>
      <c r="B1442" t="s">
        <v>1421</v>
      </c>
      <c r="C1442">
        <v>385</v>
      </c>
      <c r="D1442" t="str">
        <f t="shared" ref="D1442:D1454" si="60">"278"</f>
        <v>278</v>
      </c>
    </row>
    <row r="1443" spans="1:4" x14ac:dyDescent="0.25">
      <c r="A1443" t="str">
        <f>"40513147"</f>
        <v>40513147</v>
      </c>
      <c r="B1443" t="s">
        <v>1422</v>
      </c>
      <c r="C1443">
        <v>385</v>
      </c>
      <c r="D1443" t="str">
        <f t="shared" si="60"/>
        <v>278</v>
      </c>
    </row>
    <row r="1444" spans="1:4" x14ac:dyDescent="0.25">
      <c r="A1444" t="str">
        <f>"40513148"</f>
        <v>40513148</v>
      </c>
      <c r="B1444" t="s">
        <v>1423</v>
      </c>
      <c r="C1444">
        <v>385</v>
      </c>
      <c r="D1444" t="str">
        <f t="shared" si="60"/>
        <v>278</v>
      </c>
    </row>
    <row r="1445" spans="1:4" x14ac:dyDescent="0.25">
      <c r="A1445" t="str">
        <f>"40513149"</f>
        <v>40513149</v>
      </c>
      <c r="B1445" t="s">
        <v>1424</v>
      </c>
      <c r="C1445">
        <v>165</v>
      </c>
      <c r="D1445" t="str">
        <f t="shared" si="60"/>
        <v>278</v>
      </c>
    </row>
    <row r="1446" spans="1:4" x14ac:dyDescent="0.25">
      <c r="A1446" t="str">
        <f>"40513150"</f>
        <v>40513150</v>
      </c>
      <c r="B1446" t="s">
        <v>1425</v>
      </c>
      <c r="C1446">
        <v>132</v>
      </c>
      <c r="D1446" t="str">
        <f t="shared" si="60"/>
        <v>278</v>
      </c>
    </row>
    <row r="1447" spans="1:4" x14ac:dyDescent="0.25">
      <c r="A1447" t="str">
        <f>"40513151"</f>
        <v>40513151</v>
      </c>
      <c r="B1447" t="s">
        <v>1426</v>
      </c>
      <c r="C1447">
        <v>550</v>
      </c>
      <c r="D1447" t="str">
        <f t="shared" si="60"/>
        <v>278</v>
      </c>
    </row>
    <row r="1448" spans="1:4" x14ac:dyDescent="0.25">
      <c r="A1448" t="str">
        <f>"40513152  "</f>
        <v xml:space="preserve">40513152  </v>
      </c>
      <c r="B1448" t="s">
        <v>1427</v>
      </c>
      <c r="C1448" s="1">
        <v>15527.6</v>
      </c>
      <c r="D1448" t="str">
        <f t="shared" si="60"/>
        <v>278</v>
      </c>
    </row>
    <row r="1449" spans="1:4" x14ac:dyDescent="0.25">
      <c r="A1449" t="str">
        <f>"40513153"</f>
        <v>40513153</v>
      </c>
      <c r="B1449" t="s">
        <v>1428</v>
      </c>
      <c r="C1449" s="1">
        <v>4257</v>
      </c>
      <c r="D1449" t="str">
        <f t="shared" si="60"/>
        <v>278</v>
      </c>
    </row>
    <row r="1450" spans="1:4" x14ac:dyDescent="0.25">
      <c r="A1450" t="str">
        <f>"40513154"</f>
        <v>40513154</v>
      </c>
      <c r="B1450" t="s">
        <v>1429</v>
      </c>
      <c r="C1450" s="1">
        <v>2227.5</v>
      </c>
      <c r="D1450" t="str">
        <f t="shared" si="60"/>
        <v>278</v>
      </c>
    </row>
    <row r="1451" spans="1:4" x14ac:dyDescent="0.25">
      <c r="A1451" t="str">
        <f>"40513155"</f>
        <v>40513155</v>
      </c>
      <c r="B1451" t="s">
        <v>1430</v>
      </c>
      <c r="C1451">
        <v>792</v>
      </c>
      <c r="D1451" t="str">
        <f t="shared" si="60"/>
        <v>278</v>
      </c>
    </row>
    <row r="1452" spans="1:4" x14ac:dyDescent="0.25">
      <c r="A1452" t="str">
        <f>"40513156"</f>
        <v>40513156</v>
      </c>
      <c r="B1452" t="s">
        <v>1431</v>
      </c>
      <c r="C1452">
        <v>792</v>
      </c>
      <c r="D1452" t="str">
        <f t="shared" si="60"/>
        <v>278</v>
      </c>
    </row>
    <row r="1453" spans="1:4" x14ac:dyDescent="0.25">
      <c r="A1453" t="str">
        <f>"40513158"</f>
        <v>40513158</v>
      </c>
      <c r="B1453" t="s">
        <v>1432</v>
      </c>
      <c r="C1453">
        <v>792</v>
      </c>
      <c r="D1453" t="str">
        <f t="shared" si="60"/>
        <v>278</v>
      </c>
    </row>
    <row r="1454" spans="1:4" x14ac:dyDescent="0.25">
      <c r="A1454" t="str">
        <f>"40513159"</f>
        <v>40513159</v>
      </c>
      <c r="B1454" t="s">
        <v>1433</v>
      </c>
      <c r="C1454">
        <v>825</v>
      </c>
      <c r="D1454" t="str">
        <f t="shared" si="60"/>
        <v>278</v>
      </c>
    </row>
    <row r="1455" spans="1:4" x14ac:dyDescent="0.25">
      <c r="A1455" t="str">
        <f>"40513160  "</f>
        <v xml:space="preserve">40513160  </v>
      </c>
      <c r="B1455" t="s">
        <v>1434</v>
      </c>
      <c r="C1455">
        <v>128.69999999999999</v>
      </c>
      <c r="D1455" t="str">
        <f>"270"</f>
        <v>270</v>
      </c>
    </row>
    <row r="1456" spans="1:4" x14ac:dyDescent="0.25">
      <c r="A1456" t="str">
        <f>"40513161"</f>
        <v>40513161</v>
      </c>
      <c r="B1456" t="s">
        <v>1435</v>
      </c>
      <c r="C1456">
        <v>825</v>
      </c>
      <c r="D1456" t="str">
        <f t="shared" ref="D1456:D1463" si="61">"278"</f>
        <v>278</v>
      </c>
    </row>
    <row r="1457" spans="1:4" x14ac:dyDescent="0.25">
      <c r="A1457" t="str">
        <f>"40513162"</f>
        <v>40513162</v>
      </c>
      <c r="B1457" t="s">
        <v>1436</v>
      </c>
      <c r="C1457">
        <v>825</v>
      </c>
      <c r="D1457" t="str">
        <f t="shared" si="61"/>
        <v>278</v>
      </c>
    </row>
    <row r="1458" spans="1:4" x14ac:dyDescent="0.25">
      <c r="A1458" t="str">
        <f>"40513163"</f>
        <v>40513163</v>
      </c>
      <c r="B1458" t="s">
        <v>1436</v>
      </c>
      <c r="C1458">
        <v>792</v>
      </c>
      <c r="D1458" t="str">
        <f t="shared" si="61"/>
        <v>278</v>
      </c>
    </row>
    <row r="1459" spans="1:4" x14ac:dyDescent="0.25">
      <c r="A1459" t="str">
        <f>"40513164"</f>
        <v>40513164</v>
      </c>
      <c r="B1459" t="s">
        <v>1436</v>
      </c>
      <c r="C1459">
        <v>825</v>
      </c>
      <c r="D1459" t="str">
        <f t="shared" si="61"/>
        <v>278</v>
      </c>
    </row>
    <row r="1460" spans="1:4" x14ac:dyDescent="0.25">
      <c r="A1460" t="str">
        <f>"40513165"</f>
        <v>40513165</v>
      </c>
      <c r="B1460" t="s">
        <v>1436</v>
      </c>
      <c r="C1460">
        <v>825</v>
      </c>
      <c r="D1460" t="str">
        <f t="shared" si="61"/>
        <v>278</v>
      </c>
    </row>
    <row r="1461" spans="1:4" x14ac:dyDescent="0.25">
      <c r="A1461" t="str">
        <f>"40513168"</f>
        <v>40513168</v>
      </c>
      <c r="B1461" t="s">
        <v>1437</v>
      </c>
      <c r="C1461" s="1">
        <v>4933.5</v>
      </c>
      <c r="D1461" t="str">
        <f t="shared" si="61"/>
        <v>278</v>
      </c>
    </row>
    <row r="1462" spans="1:4" x14ac:dyDescent="0.25">
      <c r="A1462" t="str">
        <f>"40513169"</f>
        <v>40513169</v>
      </c>
      <c r="B1462" t="s">
        <v>1438</v>
      </c>
      <c r="C1462" s="1">
        <v>1155</v>
      </c>
      <c r="D1462" t="str">
        <f t="shared" si="61"/>
        <v>278</v>
      </c>
    </row>
    <row r="1463" spans="1:4" x14ac:dyDescent="0.25">
      <c r="A1463" t="str">
        <f>"40513170"</f>
        <v>40513170</v>
      </c>
      <c r="B1463" t="s">
        <v>1439</v>
      </c>
      <c r="C1463" s="1">
        <v>1155</v>
      </c>
      <c r="D1463" t="str">
        <f t="shared" si="61"/>
        <v>278</v>
      </c>
    </row>
    <row r="1464" spans="1:4" x14ac:dyDescent="0.25">
      <c r="A1464" t="str">
        <f>"40513171"</f>
        <v>40513171</v>
      </c>
      <c r="B1464" t="s">
        <v>1440</v>
      </c>
      <c r="C1464">
        <v>643.5</v>
      </c>
      <c r="D1464" t="str">
        <f>"270"</f>
        <v>270</v>
      </c>
    </row>
    <row r="1465" spans="1:4" x14ac:dyDescent="0.25">
      <c r="A1465" t="str">
        <f>"40513172"</f>
        <v>40513172</v>
      </c>
      <c r="B1465" t="s">
        <v>1441</v>
      </c>
      <c r="C1465">
        <v>110</v>
      </c>
      <c r="D1465" t="str">
        <f t="shared" ref="D1465:D1470" si="62">"278"</f>
        <v>278</v>
      </c>
    </row>
    <row r="1466" spans="1:4" x14ac:dyDescent="0.25">
      <c r="A1466" t="str">
        <f>"40513173"</f>
        <v>40513173</v>
      </c>
      <c r="B1466" t="s">
        <v>1442</v>
      </c>
      <c r="C1466">
        <v>935</v>
      </c>
      <c r="D1466" t="str">
        <f t="shared" si="62"/>
        <v>278</v>
      </c>
    </row>
    <row r="1467" spans="1:4" x14ac:dyDescent="0.25">
      <c r="A1467" t="str">
        <f>"40513174"</f>
        <v>40513174</v>
      </c>
      <c r="B1467" t="s">
        <v>1443</v>
      </c>
      <c r="C1467" s="1">
        <v>4895</v>
      </c>
      <c r="D1467" t="str">
        <f t="shared" si="62"/>
        <v>278</v>
      </c>
    </row>
    <row r="1468" spans="1:4" x14ac:dyDescent="0.25">
      <c r="A1468" t="str">
        <f>"40513175"</f>
        <v>40513175</v>
      </c>
      <c r="B1468" t="s">
        <v>1444</v>
      </c>
      <c r="C1468" s="1">
        <v>4257</v>
      </c>
      <c r="D1468" t="str">
        <f t="shared" si="62"/>
        <v>278</v>
      </c>
    </row>
    <row r="1469" spans="1:4" x14ac:dyDescent="0.25">
      <c r="A1469" t="str">
        <f>"40513176"</f>
        <v>40513176</v>
      </c>
      <c r="B1469" t="s">
        <v>1445</v>
      </c>
      <c r="C1469">
        <v>607.20000000000005</v>
      </c>
      <c r="D1469" t="str">
        <f t="shared" si="62"/>
        <v>278</v>
      </c>
    </row>
    <row r="1470" spans="1:4" x14ac:dyDescent="0.25">
      <c r="A1470" t="str">
        <f>"40513177"</f>
        <v>40513177</v>
      </c>
      <c r="B1470" t="s">
        <v>1446</v>
      </c>
      <c r="C1470">
        <v>607.20000000000005</v>
      </c>
      <c r="D1470" t="str">
        <f t="shared" si="62"/>
        <v>278</v>
      </c>
    </row>
    <row r="1471" spans="1:4" x14ac:dyDescent="0.25">
      <c r="A1471" t="str">
        <f>"40513178  "</f>
        <v xml:space="preserve">40513178  </v>
      </c>
      <c r="B1471" t="s">
        <v>1447</v>
      </c>
      <c r="C1471">
        <v>217.8</v>
      </c>
      <c r="D1471" t="str">
        <f>"270"</f>
        <v>270</v>
      </c>
    </row>
    <row r="1472" spans="1:4" x14ac:dyDescent="0.25">
      <c r="A1472" t="str">
        <f>"40513179"</f>
        <v>40513179</v>
      </c>
      <c r="B1472" t="s">
        <v>1448</v>
      </c>
      <c r="C1472">
        <v>607.20000000000005</v>
      </c>
      <c r="D1472" t="str">
        <f>"278"</f>
        <v>278</v>
      </c>
    </row>
    <row r="1473" spans="1:4" x14ac:dyDescent="0.25">
      <c r="A1473" t="str">
        <f>"40513180"</f>
        <v>40513180</v>
      </c>
      <c r="B1473" t="s">
        <v>1449</v>
      </c>
      <c r="C1473">
        <v>220</v>
      </c>
      <c r="D1473" t="str">
        <f>"278"</f>
        <v>278</v>
      </c>
    </row>
    <row r="1474" spans="1:4" x14ac:dyDescent="0.25">
      <c r="A1474" t="str">
        <f>"40513181"</f>
        <v>40513181</v>
      </c>
      <c r="B1474" t="s">
        <v>1450</v>
      </c>
      <c r="C1474">
        <v>220</v>
      </c>
      <c r="D1474" t="str">
        <f>"278"</f>
        <v>278</v>
      </c>
    </row>
    <row r="1475" spans="1:4" x14ac:dyDescent="0.25">
      <c r="A1475" t="str">
        <f>"40513182"</f>
        <v>40513182</v>
      </c>
      <c r="B1475" t="s">
        <v>1451</v>
      </c>
      <c r="C1475">
        <v>220</v>
      </c>
      <c r="D1475" t="str">
        <f>"270"</f>
        <v>270</v>
      </c>
    </row>
    <row r="1476" spans="1:4" x14ac:dyDescent="0.25">
      <c r="A1476" t="str">
        <f>"40513183"</f>
        <v>40513183</v>
      </c>
      <c r="B1476" t="s">
        <v>1452</v>
      </c>
      <c r="C1476">
        <v>66</v>
      </c>
      <c r="D1476" t="str">
        <f>"278"</f>
        <v>278</v>
      </c>
    </row>
    <row r="1477" spans="1:4" x14ac:dyDescent="0.25">
      <c r="A1477" t="str">
        <f>"40513184"</f>
        <v>40513184</v>
      </c>
      <c r="B1477" t="s">
        <v>1453</v>
      </c>
      <c r="C1477">
        <v>627</v>
      </c>
      <c r="D1477" t="str">
        <f>"278"</f>
        <v>278</v>
      </c>
    </row>
    <row r="1478" spans="1:4" x14ac:dyDescent="0.25">
      <c r="A1478" t="str">
        <f>"40513185"</f>
        <v>40513185</v>
      </c>
      <c r="B1478" t="s">
        <v>1454</v>
      </c>
      <c r="C1478" s="1">
        <v>7370</v>
      </c>
      <c r="D1478" t="str">
        <f>"278"</f>
        <v>278</v>
      </c>
    </row>
    <row r="1479" spans="1:4" x14ac:dyDescent="0.25">
      <c r="A1479" t="str">
        <f>"40513186  "</f>
        <v xml:space="preserve">40513186  </v>
      </c>
      <c r="B1479" t="s">
        <v>1455</v>
      </c>
      <c r="C1479">
        <v>333.3</v>
      </c>
      <c r="D1479" t="str">
        <f>"270"</f>
        <v>270</v>
      </c>
    </row>
    <row r="1480" spans="1:4" x14ac:dyDescent="0.25">
      <c r="A1480" t="str">
        <f>"40513187"</f>
        <v>40513187</v>
      </c>
      <c r="B1480" t="s">
        <v>1456</v>
      </c>
      <c r="C1480" s="1">
        <v>1650</v>
      </c>
      <c r="D1480" t="str">
        <f t="shared" ref="D1480:D1485" si="63">"278"</f>
        <v>278</v>
      </c>
    </row>
    <row r="1481" spans="1:4" x14ac:dyDescent="0.25">
      <c r="A1481" t="str">
        <f>"40513188"</f>
        <v>40513188</v>
      </c>
      <c r="B1481" t="s">
        <v>1457</v>
      </c>
      <c r="C1481">
        <v>110</v>
      </c>
      <c r="D1481" t="str">
        <f t="shared" si="63"/>
        <v>278</v>
      </c>
    </row>
    <row r="1482" spans="1:4" x14ac:dyDescent="0.25">
      <c r="A1482" t="str">
        <f>"40513189"</f>
        <v>40513189</v>
      </c>
      <c r="B1482" t="s">
        <v>1458</v>
      </c>
      <c r="C1482">
        <v>110</v>
      </c>
      <c r="D1482" t="str">
        <f t="shared" si="63"/>
        <v>278</v>
      </c>
    </row>
    <row r="1483" spans="1:4" x14ac:dyDescent="0.25">
      <c r="A1483" t="str">
        <f>"40513190"</f>
        <v>40513190</v>
      </c>
      <c r="B1483" t="s">
        <v>1459</v>
      </c>
      <c r="C1483" s="1">
        <v>10180.5</v>
      </c>
      <c r="D1483" t="str">
        <f t="shared" si="63"/>
        <v>278</v>
      </c>
    </row>
    <row r="1484" spans="1:4" x14ac:dyDescent="0.25">
      <c r="A1484" t="str">
        <f>"40513191"</f>
        <v>40513191</v>
      </c>
      <c r="B1484" t="s">
        <v>1460</v>
      </c>
      <c r="C1484" s="1">
        <v>7425</v>
      </c>
      <c r="D1484" t="str">
        <f t="shared" si="63"/>
        <v>278</v>
      </c>
    </row>
    <row r="1485" spans="1:4" x14ac:dyDescent="0.25">
      <c r="A1485" t="str">
        <f>"40513192"</f>
        <v>40513192</v>
      </c>
      <c r="B1485" t="s">
        <v>1461</v>
      </c>
      <c r="C1485" s="1">
        <v>4400</v>
      </c>
      <c r="D1485" t="str">
        <f t="shared" si="63"/>
        <v>278</v>
      </c>
    </row>
    <row r="1486" spans="1:4" x14ac:dyDescent="0.25">
      <c r="A1486" t="str">
        <f>"40513194  "</f>
        <v xml:space="preserve">40513194  </v>
      </c>
      <c r="B1486" t="s">
        <v>1462</v>
      </c>
      <c r="C1486">
        <v>280.5</v>
      </c>
      <c r="D1486" t="str">
        <f>"270"</f>
        <v>270</v>
      </c>
    </row>
    <row r="1487" spans="1:4" x14ac:dyDescent="0.25">
      <c r="A1487" t="str">
        <f>"40513195"</f>
        <v>40513195</v>
      </c>
      <c r="B1487" t="s">
        <v>1463</v>
      </c>
      <c r="C1487" s="1">
        <v>1265</v>
      </c>
      <c r="D1487" t="str">
        <f t="shared" ref="D1487:D1493" si="64">"278"</f>
        <v>278</v>
      </c>
    </row>
    <row r="1488" spans="1:4" x14ac:dyDescent="0.25">
      <c r="A1488" t="str">
        <f>"40513196"</f>
        <v>40513196</v>
      </c>
      <c r="B1488" t="s">
        <v>1464</v>
      </c>
      <c r="C1488" s="1">
        <v>2970</v>
      </c>
      <c r="D1488" t="str">
        <f t="shared" si="64"/>
        <v>278</v>
      </c>
    </row>
    <row r="1489" spans="1:4" x14ac:dyDescent="0.25">
      <c r="A1489" t="str">
        <f>"40513197"</f>
        <v>40513197</v>
      </c>
      <c r="B1489" t="s">
        <v>1355</v>
      </c>
      <c r="C1489" s="1">
        <v>1265</v>
      </c>
      <c r="D1489" t="str">
        <f t="shared" si="64"/>
        <v>278</v>
      </c>
    </row>
    <row r="1490" spans="1:4" x14ac:dyDescent="0.25">
      <c r="A1490" t="str">
        <f>"40513198"</f>
        <v>40513198</v>
      </c>
      <c r="B1490" t="s">
        <v>1465</v>
      </c>
      <c r="C1490" s="1">
        <v>8910</v>
      </c>
      <c r="D1490" t="str">
        <f t="shared" si="64"/>
        <v>278</v>
      </c>
    </row>
    <row r="1491" spans="1:4" x14ac:dyDescent="0.25">
      <c r="A1491" t="str">
        <f>"40513199"</f>
        <v>40513199</v>
      </c>
      <c r="B1491" t="s">
        <v>1466</v>
      </c>
      <c r="C1491" s="1">
        <v>1732.5</v>
      </c>
      <c r="D1491" t="str">
        <f t="shared" si="64"/>
        <v>278</v>
      </c>
    </row>
    <row r="1492" spans="1:4" x14ac:dyDescent="0.25">
      <c r="A1492" t="str">
        <f>"40513200"</f>
        <v>40513200</v>
      </c>
      <c r="B1492" t="s">
        <v>1467</v>
      </c>
      <c r="C1492" s="1">
        <v>1210</v>
      </c>
      <c r="D1492" t="str">
        <f t="shared" si="64"/>
        <v>278</v>
      </c>
    </row>
    <row r="1493" spans="1:4" x14ac:dyDescent="0.25">
      <c r="A1493" t="str">
        <f>"40513201"</f>
        <v>40513201</v>
      </c>
      <c r="B1493" t="s">
        <v>1468</v>
      </c>
      <c r="C1493" s="1">
        <v>1430</v>
      </c>
      <c r="D1493" t="str">
        <f t="shared" si="64"/>
        <v>278</v>
      </c>
    </row>
    <row r="1494" spans="1:4" x14ac:dyDescent="0.25">
      <c r="A1494" t="str">
        <f>"40513202  "</f>
        <v xml:space="preserve">40513202  </v>
      </c>
      <c r="B1494" t="s">
        <v>1469</v>
      </c>
      <c r="C1494">
        <v>600.6</v>
      </c>
      <c r="D1494" t="str">
        <f>"270"</f>
        <v>270</v>
      </c>
    </row>
    <row r="1495" spans="1:4" x14ac:dyDescent="0.25">
      <c r="A1495" t="str">
        <f>"40513203"</f>
        <v>40513203</v>
      </c>
      <c r="B1495" t="s">
        <v>1470</v>
      </c>
      <c r="C1495">
        <v>660</v>
      </c>
      <c r="D1495" t="str">
        <f t="shared" ref="D1495:D1501" si="65">"278"</f>
        <v>278</v>
      </c>
    </row>
    <row r="1496" spans="1:4" x14ac:dyDescent="0.25">
      <c r="A1496" t="str">
        <f>"40513204"</f>
        <v>40513204</v>
      </c>
      <c r="B1496" t="s">
        <v>1471</v>
      </c>
      <c r="C1496">
        <v>88</v>
      </c>
      <c r="D1496" t="str">
        <f t="shared" si="65"/>
        <v>278</v>
      </c>
    </row>
    <row r="1497" spans="1:4" x14ac:dyDescent="0.25">
      <c r="A1497" t="str">
        <f>"40513205"</f>
        <v>40513205</v>
      </c>
      <c r="B1497" t="s">
        <v>1472</v>
      </c>
      <c r="C1497">
        <v>550</v>
      </c>
      <c r="D1497" t="str">
        <f t="shared" si="65"/>
        <v>278</v>
      </c>
    </row>
    <row r="1498" spans="1:4" x14ac:dyDescent="0.25">
      <c r="A1498" t="str">
        <f>"40513206"</f>
        <v>40513206</v>
      </c>
      <c r="B1498" t="s">
        <v>1473</v>
      </c>
      <c r="C1498">
        <v>132</v>
      </c>
      <c r="D1498" t="str">
        <f t="shared" si="65"/>
        <v>278</v>
      </c>
    </row>
    <row r="1499" spans="1:4" x14ac:dyDescent="0.25">
      <c r="A1499" t="str">
        <f>"40513207"</f>
        <v>40513207</v>
      </c>
      <c r="B1499" t="s">
        <v>1474</v>
      </c>
      <c r="C1499">
        <v>990</v>
      </c>
      <c r="D1499" t="str">
        <f t="shared" si="65"/>
        <v>278</v>
      </c>
    </row>
    <row r="1500" spans="1:4" x14ac:dyDescent="0.25">
      <c r="A1500" t="str">
        <f>"40513208"</f>
        <v>40513208</v>
      </c>
      <c r="B1500" t="s">
        <v>1475</v>
      </c>
      <c r="C1500">
        <v>990</v>
      </c>
      <c r="D1500" t="str">
        <f t="shared" si="65"/>
        <v>278</v>
      </c>
    </row>
    <row r="1501" spans="1:4" x14ac:dyDescent="0.25">
      <c r="A1501" t="str">
        <f>"40513209"</f>
        <v>40513209</v>
      </c>
      <c r="B1501" t="s">
        <v>1476</v>
      </c>
      <c r="C1501" s="1">
        <v>1980</v>
      </c>
      <c r="D1501" t="str">
        <f t="shared" si="65"/>
        <v>278</v>
      </c>
    </row>
    <row r="1502" spans="1:4" x14ac:dyDescent="0.25">
      <c r="A1502" t="str">
        <f>"40513210  "</f>
        <v xml:space="preserve">40513210  </v>
      </c>
      <c r="B1502" t="s">
        <v>1477</v>
      </c>
      <c r="C1502">
        <v>73.7</v>
      </c>
      <c r="D1502" t="str">
        <f>"270"</f>
        <v>270</v>
      </c>
    </row>
    <row r="1503" spans="1:4" x14ac:dyDescent="0.25">
      <c r="A1503" t="str">
        <f>"40513211"</f>
        <v>40513211</v>
      </c>
      <c r="B1503" t="s">
        <v>1478</v>
      </c>
      <c r="C1503" s="1">
        <v>3300</v>
      </c>
      <c r="D1503" t="str">
        <f t="shared" ref="D1503:D1517" si="66">"278"</f>
        <v>278</v>
      </c>
    </row>
    <row r="1504" spans="1:4" x14ac:dyDescent="0.25">
      <c r="A1504" t="str">
        <f>"40513212"</f>
        <v>40513212</v>
      </c>
      <c r="B1504" t="s">
        <v>1479</v>
      </c>
      <c r="C1504">
        <v>396</v>
      </c>
      <c r="D1504" t="str">
        <f t="shared" si="66"/>
        <v>278</v>
      </c>
    </row>
    <row r="1505" spans="1:4" x14ac:dyDescent="0.25">
      <c r="A1505" t="str">
        <f>"40513213"</f>
        <v>40513213</v>
      </c>
      <c r="B1505" t="s">
        <v>1480</v>
      </c>
      <c r="C1505">
        <v>396</v>
      </c>
      <c r="D1505" t="str">
        <f t="shared" si="66"/>
        <v>278</v>
      </c>
    </row>
    <row r="1506" spans="1:4" x14ac:dyDescent="0.25">
      <c r="A1506" t="str">
        <f>"40513214"</f>
        <v>40513214</v>
      </c>
      <c r="B1506" t="s">
        <v>1481</v>
      </c>
      <c r="C1506">
        <v>440</v>
      </c>
      <c r="D1506" t="str">
        <f t="shared" si="66"/>
        <v>278</v>
      </c>
    </row>
    <row r="1507" spans="1:4" x14ac:dyDescent="0.25">
      <c r="A1507" t="str">
        <f>"40513215"</f>
        <v>40513215</v>
      </c>
      <c r="B1507" t="s">
        <v>1482</v>
      </c>
      <c r="C1507">
        <v>440</v>
      </c>
      <c r="D1507" t="str">
        <f t="shared" si="66"/>
        <v>278</v>
      </c>
    </row>
    <row r="1508" spans="1:4" x14ac:dyDescent="0.25">
      <c r="A1508" t="str">
        <f>"40513216"</f>
        <v>40513216</v>
      </c>
      <c r="B1508" t="s">
        <v>1483</v>
      </c>
      <c r="C1508" s="1">
        <v>10780</v>
      </c>
      <c r="D1508" t="str">
        <f t="shared" si="66"/>
        <v>278</v>
      </c>
    </row>
    <row r="1509" spans="1:4" x14ac:dyDescent="0.25">
      <c r="A1509" t="str">
        <f>"40513217"</f>
        <v>40513217</v>
      </c>
      <c r="B1509" t="s">
        <v>1322</v>
      </c>
      <c r="C1509">
        <v>990</v>
      </c>
      <c r="D1509" t="str">
        <f t="shared" si="66"/>
        <v>278</v>
      </c>
    </row>
    <row r="1510" spans="1:4" x14ac:dyDescent="0.25">
      <c r="A1510" t="str">
        <f>"40513218"</f>
        <v>40513218</v>
      </c>
      <c r="B1510" t="s">
        <v>1484</v>
      </c>
      <c r="C1510" s="1">
        <v>1430</v>
      </c>
      <c r="D1510" t="str">
        <f t="shared" si="66"/>
        <v>278</v>
      </c>
    </row>
    <row r="1511" spans="1:4" x14ac:dyDescent="0.25">
      <c r="A1511" t="str">
        <f>"40513219"</f>
        <v>40513219</v>
      </c>
      <c r="B1511" t="s">
        <v>1485</v>
      </c>
      <c r="C1511">
        <v>550</v>
      </c>
      <c r="D1511" t="str">
        <f t="shared" si="66"/>
        <v>278</v>
      </c>
    </row>
    <row r="1512" spans="1:4" x14ac:dyDescent="0.25">
      <c r="A1512" t="str">
        <f>"40513220"</f>
        <v>40513220</v>
      </c>
      <c r="B1512" t="s">
        <v>1486</v>
      </c>
      <c r="C1512">
        <v>385</v>
      </c>
      <c r="D1512" t="str">
        <f t="shared" si="66"/>
        <v>278</v>
      </c>
    </row>
    <row r="1513" spans="1:4" x14ac:dyDescent="0.25">
      <c r="A1513" t="str">
        <f>"40513221"</f>
        <v>40513221</v>
      </c>
      <c r="B1513" t="s">
        <v>1487</v>
      </c>
      <c r="C1513">
        <v>385</v>
      </c>
      <c r="D1513" t="str">
        <f t="shared" si="66"/>
        <v>278</v>
      </c>
    </row>
    <row r="1514" spans="1:4" x14ac:dyDescent="0.25">
      <c r="A1514" t="str">
        <f>"40513222"</f>
        <v>40513222</v>
      </c>
      <c r="B1514" t="s">
        <v>1488</v>
      </c>
      <c r="C1514">
        <v>385</v>
      </c>
      <c r="D1514" t="str">
        <f t="shared" si="66"/>
        <v>278</v>
      </c>
    </row>
    <row r="1515" spans="1:4" x14ac:dyDescent="0.25">
      <c r="A1515" t="str">
        <f>"40513223"</f>
        <v>40513223</v>
      </c>
      <c r="B1515" t="s">
        <v>1489</v>
      </c>
      <c r="C1515">
        <v>385</v>
      </c>
      <c r="D1515" t="str">
        <f t="shared" si="66"/>
        <v>278</v>
      </c>
    </row>
    <row r="1516" spans="1:4" x14ac:dyDescent="0.25">
      <c r="A1516" t="str">
        <f>"40513224"</f>
        <v>40513224</v>
      </c>
      <c r="B1516" t="s">
        <v>1490</v>
      </c>
      <c r="C1516" s="1">
        <v>2750</v>
      </c>
      <c r="D1516" t="str">
        <f t="shared" si="66"/>
        <v>278</v>
      </c>
    </row>
    <row r="1517" spans="1:4" x14ac:dyDescent="0.25">
      <c r="A1517" t="str">
        <f>"40513225"</f>
        <v>40513225</v>
      </c>
      <c r="B1517" t="s">
        <v>1491</v>
      </c>
      <c r="C1517">
        <v>550</v>
      </c>
      <c r="D1517" t="str">
        <f t="shared" si="66"/>
        <v>278</v>
      </c>
    </row>
    <row r="1518" spans="1:4" x14ac:dyDescent="0.25">
      <c r="A1518" t="str">
        <f>"40513228  "</f>
        <v xml:space="preserve">40513228  </v>
      </c>
      <c r="B1518" t="s">
        <v>1492</v>
      </c>
      <c r="C1518" s="1">
        <v>1752.3</v>
      </c>
      <c r="D1518" t="str">
        <f>"270"</f>
        <v>270</v>
      </c>
    </row>
    <row r="1519" spans="1:4" x14ac:dyDescent="0.25">
      <c r="A1519" t="str">
        <f>"40513229"</f>
        <v>40513229</v>
      </c>
      <c r="B1519" t="s">
        <v>1493</v>
      </c>
      <c r="C1519" s="1">
        <v>2860</v>
      </c>
      <c r="D1519" t="str">
        <f>"278"</f>
        <v>278</v>
      </c>
    </row>
    <row r="1520" spans="1:4" x14ac:dyDescent="0.25">
      <c r="A1520" t="str">
        <f>"40513230"</f>
        <v>40513230</v>
      </c>
      <c r="B1520" t="s">
        <v>1494</v>
      </c>
      <c r="C1520">
        <v>550</v>
      </c>
      <c r="D1520" t="str">
        <f>"270"</f>
        <v>270</v>
      </c>
    </row>
    <row r="1521" spans="1:4" x14ac:dyDescent="0.25">
      <c r="A1521" t="str">
        <f>"40513231"</f>
        <v>40513231</v>
      </c>
      <c r="B1521" t="s">
        <v>1486</v>
      </c>
      <c r="C1521">
        <v>385</v>
      </c>
      <c r="D1521" t="str">
        <f>"278"</f>
        <v>278</v>
      </c>
    </row>
    <row r="1522" spans="1:4" x14ac:dyDescent="0.25">
      <c r="A1522" t="str">
        <f>"40513232"</f>
        <v>40513232</v>
      </c>
      <c r="B1522" t="s">
        <v>1495</v>
      </c>
      <c r="C1522">
        <v>385</v>
      </c>
      <c r="D1522" t="str">
        <f>"278"</f>
        <v>278</v>
      </c>
    </row>
    <row r="1523" spans="1:4" x14ac:dyDescent="0.25">
      <c r="A1523" t="str">
        <f>"40513233"</f>
        <v>40513233</v>
      </c>
      <c r="B1523" t="s">
        <v>1496</v>
      </c>
      <c r="C1523" s="1">
        <v>2640</v>
      </c>
      <c r="D1523" t="str">
        <f>"278"</f>
        <v>278</v>
      </c>
    </row>
    <row r="1524" spans="1:4" x14ac:dyDescent="0.25">
      <c r="A1524" t="str">
        <f>"40513234"</f>
        <v>40513234</v>
      </c>
      <c r="B1524" t="s">
        <v>1497</v>
      </c>
      <c r="C1524">
        <v>495</v>
      </c>
      <c r="D1524" t="str">
        <f>"278"</f>
        <v>278</v>
      </c>
    </row>
    <row r="1525" spans="1:4" x14ac:dyDescent="0.25">
      <c r="A1525" t="str">
        <f>"40513235"</f>
        <v>40513235</v>
      </c>
      <c r="B1525" t="s">
        <v>1498</v>
      </c>
      <c r="C1525">
        <v>495</v>
      </c>
      <c r="D1525" t="str">
        <f>"278"</f>
        <v>278</v>
      </c>
    </row>
    <row r="1526" spans="1:4" x14ac:dyDescent="0.25">
      <c r="A1526" t="str">
        <f>"40513236  "</f>
        <v xml:space="preserve">40513236  </v>
      </c>
      <c r="B1526" t="s">
        <v>1499</v>
      </c>
      <c r="C1526">
        <v>253</v>
      </c>
      <c r="D1526" t="str">
        <f>"270"</f>
        <v>270</v>
      </c>
    </row>
    <row r="1527" spans="1:4" x14ac:dyDescent="0.25">
      <c r="A1527" t="str">
        <f>"40513237"</f>
        <v>40513237</v>
      </c>
      <c r="B1527" t="s">
        <v>1500</v>
      </c>
      <c r="C1527">
        <v>495</v>
      </c>
      <c r="D1527" t="str">
        <f t="shared" ref="D1527:D1533" si="67">"278"</f>
        <v>278</v>
      </c>
    </row>
    <row r="1528" spans="1:4" x14ac:dyDescent="0.25">
      <c r="A1528" t="str">
        <f>"40513238"</f>
        <v>40513238</v>
      </c>
      <c r="B1528" t="s">
        <v>1501</v>
      </c>
      <c r="C1528">
        <v>495</v>
      </c>
      <c r="D1528" t="str">
        <f t="shared" si="67"/>
        <v>278</v>
      </c>
    </row>
    <row r="1529" spans="1:4" x14ac:dyDescent="0.25">
      <c r="A1529" t="str">
        <f>"40513239"</f>
        <v>40513239</v>
      </c>
      <c r="B1529" t="s">
        <v>1502</v>
      </c>
      <c r="C1529" s="1">
        <v>4290</v>
      </c>
      <c r="D1529" t="str">
        <f t="shared" si="67"/>
        <v>278</v>
      </c>
    </row>
    <row r="1530" spans="1:4" x14ac:dyDescent="0.25">
      <c r="A1530" t="str">
        <f>"40513240"</f>
        <v>40513240</v>
      </c>
      <c r="B1530" t="s">
        <v>1503</v>
      </c>
      <c r="C1530">
        <v>660</v>
      </c>
      <c r="D1530" t="str">
        <f t="shared" si="67"/>
        <v>278</v>
      </c>
    </row>
    <row r="1531" spans="1:4" x14ac:dyDescent="0.25">
      <c r="A1531" t="str">
        <f>"40513241"</f>
        <v>40513241</v>
      </c>
      <c r="B1531" t="s">
        <v>1504</v>
      </c>
      <c r="C1531">
        <v>660</v>
      </c>
      <c r="D1531" t="str">
        <f t="shared" si="67"/>
        <v>278</v>
      </c>
    </row>
    <row r="1532" spans="1:4" x14ac:dyDescent="0.25">
      <c r="A1532" t="str">
        <f>"40513242"</f>
        <v>40513242</v>
      </c>
      <c r="B1532" t="s">
        <v>1505</v>
      </c>
      <c r="C1532">
        <v>220</v>
      </c>
      <c r="D1532" t="str">
        <f t="shared" si="67"/>
        <v>278</v>
      </c>
    </row>
    <row r="1533" spans="1:4" x14ac:dyDescent="0.25">
      <c r="A1533" t="str">
        <f>"40513243"</f>
        <v>40513243</v>
      </c>
      <c r="B1533" t="s">
        <v>1506</v>
      </c>
      <c r="C1533">
        <v>220</v>
      </c>
      <c r="D1533" t="str">
        <f t="shared" si="67"/>
        <v>278</v>
      </c>
    </row>
    <row r="1534" spans="1:4" x14ac:dyDescent="0.25">
      <c r="A1534" t="str">
        <f>"40513244  "</f>
        <v xml:space="preserve">40513244  </v>
      </c>
      <c r="B1534" t="s">
        <v>1507</v>
      </c>
      <c r="C1534" s="1">
        <v>1881</v>
      </c>
      <c r="D1534" t="str">
        <f>"270"</f>
        <v>270</v>
      </c>
    </row>
    <row r="1535" spans="1:4" x14ac:dyDescent="0.25">
      <c r="A1535" t="str">
        <f>"40513245"</f>
        <v>40513245</v>
      </c>
      <c r="B1535" t="s">
        <v>1508</v>
      </c>
      <c r="C1535">
        <v>660</v>
      </c>
      <c r="D1535" t="str">
        <f>"278"</f>
        <v>278</v>
      </c>
    </row>
    <row r="1536" spans="1:4" x14ac:dyDescent="0.25">
      <c r="A1536" t="str">
        <f>"40513246"</f>
        <v>40513246</v>
      </c>
      <c r="B1536" t="s">
        <v>1452</v>
      </c>
      <c r="C1536">
        <v>77</v>
      </c>
      <c r="D1536" t="str">
        <f>"278"</f>
        <v>278</v>
      </c>
    </row>
    <row r="1537" spans="1:4" x14ac:dyDescent="0.25">
      <c r="A1537" t="str">
        <f>"40513247"</f>
        <v>40513247</v>
      </c>
      <c r="B1537" t="s">
        <v>1509</v>
      </c>
      <c r="C1537" s="1">
        <v>5500</v>
      </c>
      <c r="D1537" t="str">
        <f>"278"</f>
        <v>278</v>
      </c>
    </row>
    <row r="1538" spans="1:4" x14ac:dyDescent="0.25">
      <c r="A1538" t="str">
        <f>"40513248"</f>
        <v>40513248</v>
      </c>
      <c r="B1538" t="s">
        <v>1510</v>
      </c>
      <c r="C1538" s="1">
        <v>8800</v>
      </c>
      <c r="D1538" t="str">
        <f>"278"</f>
        <v>278</v>
      </c>
    </row>
    <row r="1539" spans="1:4" x14ac:dyDescent="0.25">
      <c r="A1539" t="str">
        <f>"40513249"</f>
        <v>40513249</v>
      </c>
      <c r="B1539" t="s">
        <v>1511</v>
      </c>
      <c r="C1539" s="1">
        <v>1980</v>
      </c>
      <c r="D1539" t="str">
        <f>"278"</f>
        <v>278</v>
      </c>
    </row>
    <row r="1540" spans="1:4" x14ac:dyDescent="0.25">
      <c r="A1540" t="str">
        <f>"40513250"</f>
        <v>40513250</v>
      </c>
      <c r="B1540" t="s">
        <v>1512</v>
      </c>
      <c r="C1540">
        <v>825</v>
      </c>
      <c r="D1540" t="str">
        <f>"270"</f>
        <v>270</v>
      </c>
    </row>
    <row r="1541" spans="1:4" x14ac:dyDescent="0.25">
      <c r="A1541" t="str">
        <f>"40513251  "</f>
        <v xml:space="preserve">40513251  </v>
      </c>
      <c r="B1541" t="s">
        <v>1513</v>
      </c>
      <c r="C1541">
        <v>14.3</v>
      </c>
      <c r="D1541" t="str">
        <f>"270"</f>
        <v>270</v>
      </c>
    </row>
    <row r="1542" spans="1:4" x14ac:dyDescent="0.25">
      <c r="A1542" t="str">
        <f>"40513252"</f>
        <v>40513252</v>
      </c>
      <c r="B1542" t="s">
        <v>1514</v>
      </c>
      <c r="C1542">
        <v>990</v>
      </c>
      <c r="D1542" t="str">
        <f>"278"</f>
        <v>278</v>
      </c>
    </row>
    <row r="1543" spans="1:4" x14ac:dyDescent="0.25">
      <c r="A1543" t="str">
        <f>"40513253"</f>
        <v>40513253</v>
      </c>
      <c r="B1543" t="s">
        <v>1515</v>
      </c>
      <c r="C1543" s="1">
        <v>1375</v>
      </c>
      <c r="D1543" t="str">
        <f>"278"</f>
        <v>278</v>
      </c>
    </row>
    <row r="1544" spans="1:4" x14ac:dyDescent="0.25">
      <c r="A1544" t="str">
        <f>"40513254"</f>
        <v>40513254</v>
      </c>
      <c r="B1544" t="s">
        <v>1516</v>
      </c>
      <c r="C1544">
        <v>385</v>
      </c>
      <c r="D1544" t="str">
        <f t="shared" ref="D1544:D1550" si="68">"270"</f>
        <v>270</v>
      </c>
    </row>
    <row r="1545" spans="1:4" x14ac:dyDescent="0.25">
      <c r="A1545" t="str">
        <f>"40513255"</f>
        <v>40513255</v>
      </c>
      <c r="B1545" t="s">
        <v>1517</v>
      </c>
      <c r="C1545">
        <v>264</v>
      </c>
      <c r="D1545" t="str">
        <f t="shared" si="68"/>
        <v>270</v>
      </c>
    </row>
    <row r="1546" spans="1:4" x14ac:dyDescent="0.25">
      <c r="A1546" t="str">
        <f>"40513256"</f>
        <v>40513256</v>
      </c>
      <c r="B1546" t="s">
        <v>1518</v>
      </c>
      <c r="C1546" s="1">
        <v>1650</v>
      </c>
      <c r="D1546" t="str">
        <f t="shared" si="68"/>
        <v>270</v>
      </c>
    </row>
    <row r="1547" spans="1:4" x14ac:dyDescent="0.25">
      <c r="A1547" t="str">
        <f>"40513257"</f>
        <v>40513257</v>
      </c>
      <c r="B1547" t="s">
        <v>1519</v>
      </c>
      <c r="C1547">
        <v>715</v>
      </c>
      <c r="D1547" t="str">
        <f t="shared" si="68"/>
        <v>270</v>
      </c>
    </row>
    <row r="1548" spans="1:4" x14ac:dyDescent="0.25">
      <c r="A1548" t="str">
        <f>"40513258"</f>
        <v>40513258</v>
      </c>
      <c r="B1548" t="s">
        <v>1520</v>
      </c>
      <c r="C1548" s="1">
        <v>1320</v>
      </c>
      <c r="D1548" t="str">
        <f t="shared" si="68"/>
        <v>270</v>
      </c>
    </row>
    <row r="1549" spans="1:4" x14ac:dyDescent="0.25">
      <c r="A1549" t="str">
        <f>"40513259"</f>
        <v>40513259</v>
      </c>
      <c r="B1549" t="s">
        <v>1521</v>
      </c>
      <c r="C1549">
        <v>110</v>
      </c>
      <c r="D1549" t="str">
        <f t="shared" si="68"/>
        <v>270</v>
      </c>
    </row>
    <row r="1550" spans="1:4" x14ac:dyDescent="0.25">
      <c r="A1550" t="str">
        <f>"40513260"</f>
        <v>40513260</v>
      </c>
      <c r="B1550" t="s">
        <v>1522</v>
      </c>
      <c r="C1550">
        <v>253</v>
      </c>
      <c r="D1550" t="str">
        <f t="shared" si="68"/>
        <v>270</v>
      </c>
    </row>
    <row r="1551" spans="1:4" x14ac:dyDescent="0.25">
      <c r="A1551" t="str">
        <f>"40513261"</f>
        <v>40513261</v>
      </c>
      <c r="B1551" t="s">
        <v>1523</v>
      </c>
      <c r="C1551" s="1">
        <v>6600</v>
      </c>
      <c r="D1551" t="str">
        <f>"278"</f>
        <v>278</v>
      </c>
    </row>
    <row r="1552" spans="1:4" x14ac:dyDescent="0.25">
      <c r="A1552" t="str">
        <f>"40513262"</f>
        <v>40513262</v>
      </c>
      <c r="B1552" t="s">
        <v>1524</v>
      </c>
      <c r="C1552">
        <v>990</v>
      </c>
      <c r="D1552" t="str">
        <f>"270"</f>
        <v>270</v>
      </c>
    </row>
    <row r="1553" spans="1:4" x14ac:dyDescent="0.25">
      <c r="A1553" t="str">
        <f>"40513263"</f>
        <v>40513263</v>
      </c>
      <c r="B1553" t="s">
        <v>1525</v>
      </c>
      <c r="C1553" s="1">
        <v>1100</v>
      </c>
      <c r="D1553" t="str">
        <f>"270"</f>
        <v>270</v>
      </c>
    </row>
    <row r="1554" spans="1:4" x14ac:dyDescent="0.25">
      <c r="A1554" t="str">
        <f>"40513264"</f>
        <v>40513264</v>
      </c>
      <c r="B1554" t="s">
        <v>1526</v>
      </c>
      <c r="C1554">
        <v>660</v>
      </c>
      <c r="D1554" t="str">
        <f>"270"</f>
        <v>270</v>
      </c>
    </row>
    <row r="1555" spans="1:4" x14ac:dyDescent="0.25">
      <c r="A1555" t="str">
        <f>"40513265"</f>
        <v>40513265</v>
      </c>
      <c r="B1555" t="s">
        <v>1527</v>
      </c>
      <c r="C1555" s="1">
        <v>1045</v>
      </c>
      <c r="D1555" t="str">
        <f>"278"</f>
        <v>278</v>
      </c>
    </row>
    <row r="1556" spans="1:4" x14ac:dyDescent="0.25">
      <c r="A1556" t="str">
        <f>"40513266"</f>
        <v>40513266</v>
      </c>
      <c r="B1556" t="s">
        <v>1528</v>
      </c>
      <c r="C1556" s="1">
        <v>2310</v>
      </c>
      <c r="D1556" t="str">
        <f>"278"</f>
        <v>278</v>
      </c>
    </row>
    <row r="1557" spans="1:4" x14ac:dyDescent="0.25">
      <c r="A1557" t="str">
        <f>"40513267"</f>
        <v>40513267</v>
      </c>
      <c r="B1557" t="s">
        <v>1529</v>
      </c>
      <c r="C1557" s="1">
        <v>1045</v>
      </c>
      <c r="D1557" t="str">
        <f>"278"</f>
        <v>278</v>
      </c>
    </row>
    <row r="1558" spans="1:4" x14ac:dyDescent="0.25">
      <c r="A1558" t="str">
        <f>"40513269  "</f>
        <v xml:space="preserve">40513269  </v>
      </c>
      <c r="B1558" t="s">
        <v>1530</v>
      </c>
      <c r="C1558">
        <v>15.4</v>
      </c>
      <c r="D1558" t="str">
        <f>"270"</f>
        <v>270</v>
      </c>
    </row>
    <row r="1559" spans="1:4" x14ac:dyDescent="0.25">
      <c r="A1559" t="str">
        <f>"40513270"</f>
        <v>40513270</v>
      </c>
      <c r="B1559" t="s">
        <v>1531</v>
      </c>
      <c r="C1559" s="1">
        <v>9284</v>
      </c>
      <c r="D1559" t="str">
        <f t="shared" ref="D1559:D1564" si="69">"278"</f>
        <v>278</v>
      </c>
    </row>
    <row r="1560" spans="1:4" x14ac:dyDescent="0.25">
      <c r="A1560" t="str">
        <f>"40513271"</f>
        <v>40513271</v>
      </c>
      <c r="B1560" t="s">
        <v>1532</v>
      </c>
      <c r="C1560" s="1">
        <v>17490</v>
      </c>
      <c r="D1560" t="str">
        <f t="shared" si="69"/>
        <v>278</v>
      </c>
    </row>
    <row r="1561" spans="1:4" x14ac:dyDescent="0.25">
      <c r="A1561" t="str">
        <f>"40513272"</f>
        <v>40513272</v>
      </c>
      <c r="B1561" t="s">
        <v>1533</v>
      </c>
      <c r="C1561" s="1">
        <v>3630</v>
      </c>
      <c r="D1561" t="str">
        <f t="shared" si="69"/>
        <v>278</v>
      </c>
    </row>
    <row r="1562" spans="1:4" x14ac:dyDescent="0.25">
      <c r="A1562" t="str">
        <f>"40513273"</f>
        <v>40513273</v>
      </c>
      <c r="B1562" t="s">
        <v>1534</v>
      </c>
      <c r="C1562" s="1">
        <v>2200</v>
      </c>
      <c r="D1562" t="str">
        <f t="shared" si="69"/>
        <v>278</v>
      </c>
    </row>
    <row r="1563" spans="1:4" x14ac:dyDescent="0.25">
      <c r="A1563" t="str">
        <f>"40513274"</f>
        <v>40513274</v>
      </c>
      <c r="B1563" t="s">
        <v>1535</v>
      </c>
      <c r="C1563" s="1">
        <v>4400</v>
      </c>
      <c r="D1563" t="str">
        <f t="shared" si="69"/>
        <v>278</v>
      </c>
    </row>
    <row r="1564" spans="1:4" x14ac:dyDescent="0.25">
      <c r="A1564" t="str">
        <f>"40513275"</f>
        <v>40513275</v>
      </c>
      <c r="B1564" t="s">
        <v>1536</v>
      </c>
      <c r="C1564" s="1">
        <v>6600</v>
      </c>
      <c r="D1564" t="str">
        <f t="shared" si="69"/>
        <v>278</v>
      </c>
    </row>
    <row r="1565" spans="1:4" x14ac:dyDescent="0.25">
      <c r="A1565" t="str">
        <f>"40513277  "</f>
        <v xml:space="preserve">40513277  </v>
      </c>
      <c r="B1565" t="s">
        <v>1537</v>
      </c>
      <c r="C1565">
        <v>704</v>
      </c>
      <c r="D1565" t="str">
        <f>"270"</f>
        <v>270</v>
      </c>
    </row>
    <row r="1566" spans="1:4" x14ac:dyDescent="0.25">
      <c r="A1566" t="str">
        <f>"40513278"</f>
        <v>40513278</v>
      </c>
      <c r="B1566" t="s">
        <v>1538</v>
      </c>
      <c r="C1566">
        <v>990</v>
      </c>
      <c r="D1566" t="str">
        <f>"278"</f>
        <v>278</v>
      </c>
    </row>
    <row r="1567" spans="1:4" x14ac:dyDescent="0.25">
      <c r="A1567" t="str">
        <f>"40513279"</f>
        <v>40513279</v>
      </c>
      <c r="B1567" t="s">
        <v>1539</v>
      </c>
      <c r="C1567">
        <v>990</v>
      </c>
      <c r="D1567" t="str">
        <f>"278"</f>
        <v>278</v>
      </c>
    </row>
    <row r="1568" spans="1:4" x14ac:dyDescent="0.25">
      <c r="A1568" t="str">
        <f>"40513280"</f>
        <v>40513280</v>
      </c>
      <c r="B1568" t="s">
        <v>1540</v>
      </c>
      <c r="C1568">
        <v>990</v>
      </c>
      <c r="D1568" t="str">
        <f>"278"</f>
        <v>278</v>
      </c>
    </row>
    <row r="1569" spans="1:4" x14ac:dyDescent="0.25">
      <c r="A1569" t="str">
        <f>"40513281"</f>
        <v>40513281</v>
      </c>
      <c r="B1569" t="s">
        <v>1541</v>
      </c>
      <c r="C1569">
        <v>770</v>
      </c>
      <c r="D1569" t="str">
        <f>"270"</f>
        <v>270</v>
      </c>
    </row>
    <row r="1570" spans="1:4" x14ac:dyDescent="0.25">
      <c r="A1570" t="str">
        <f>"40513282"</f>
        <v>40513282</v>
      </c>
      <c r="B1570" t="s">
        <v>1542</v>
      </c>
      <c r="C1570">
        <v>110</v>
      </c>
      <c r="D1570" t="str">
        <f>"270"</f>
        <v>270</v>
      </c>
    </row>
    <row r="1571" spans="1:4" x14ac:dyDescent="0.25">
      <c r="A1571" t="str">
        <f>"40513285  "</f>
        <v xml:space="preserve">40513285  </v>
      </c>
      <c r="B1571" t="s">
        <v>1543</v>
      </c>
      <c r="C1571">
        <v>559.9</v>
      </c>
      <c r="D1571" t="str">
        <f>"270"</f>
        <v>270</v>
      </c>
    </row>
    <row r="1572" spans="1:4" x14ac:dyDescent="0.25">
      <c r="A1572" t="str">
        <f>"40513290"</f>
        <v>40513290</v>
      </c>
      <c r="B1572" t="s">
        <v>1544</v>
      </c>
      <c r="C1572" s="1">
        <v>1650</v>
      </c>
      <c r="D1572" t="str">
        <f>"278"</f>
        <v>278</v>
      </c>
    </row>
    <row r="1573" spans="1:4" x14ac:dyDescent="0.25">
      <c r="A1573" t="str">
        <f>"40513291"</f>
        <v>40513291</v>
      </c>
      <c r="B1573" t="s">
        <v>1545</v>
      </c>
      <c r="C1573" s="1">
        <v>10450</v>
      </c>
      <c r="D1573" t="str">
        <f>"278"</f>
        <v>278</v>
      </c>
    </row>
    <row r="1574" spans="1:4" x14ac:dyDescent="0.25">
      <c r="A1574" t="str">
        <f>"40513292"</f>
        <v>40513292</v>
      </c>
      <c r="B1574" t="s">
        <v>1546</v>
      </c>
      <c r="C1574" s="1">
        <v>4950</v>
      </c>
      <c r="D1574" t="str">
        <f>"278"</f>
        <v>278</v>
      </c>
    </row>
    <row r="1575" spans="1:4" x14ac:dyDescent="0.25">
      <c r="A1575" t="str">
        <f>"40513293  "</f>
        <v xml:space="preserve">40513293  </v>
      </c>
      <c r="B1575" t="s">
        <v>1547</v>
      </c>
      <c r="C1575">
        <v>418</v>
      </c>
      <c r="D1575" t="str">
        <f>"270"</f>
        <v>270</v>
      </c>
    </row>
    <row r="1576" spans="1:4" x14ac:dyDescent="0.25">
      <c r="A1576" t="str">
        <f>"40513294"</f>
        <v>40513294</v>
      </c>
      <c r="B1576" t="s">
        <v>1548</v>
      </c>
      <c r="C1576" s="1">
        <v>4400</v>
      </c>
      <c r="D1576" t="str">
        <f t="shared" ref="D1576:D1606" si="70">"278"</f>
        <v>278</v>
      </c>
    </row>
    <row r="1577" spans="1:4" x14ac:dyDescent="0.25">
      <c r="A1577" t="str">
        <f>"40513295"</f>
        <v>40513295</v>
      </c>
      <c r="B1577" t="s">
        <v>1549</v>
      </c>
      <c r="C1577" s="1">
        <v>9900</v>
      </c>
      <c r="D1577" t="str">
        <f t="shared" si="70"/>
        <v>278</v>
      </c>
    </row>
    <row r="1578" spans="1:4" x14ac:dyDescent="0.25">
      <c r="A1578" t="str">
        <f>"40513296"</f>
        <v>40513296</v>
      </c>
      <c r="B1578" t="s">
        <v>1550</v>
      </c>
      <c r="C1578" s="1">
        <v>7700</v>
      </c>
      <c r="D1578" t="str">
        <f t="shared" si="70"/>
        <v>278</v>
      </c>
    </row>
    <row r="1579" spans="1:4" x14ac:dyDescent="0.25">
      <c r="A1579" t="str">
        <f>"40513297"</f>
        <v>40513297</v>
      </c>
      <c r="B1579" t="s">
        <v>1551</v>
      </c>
      <c r="C1579" s="1">
        <v>1760</v>
      </c>
      <c r="D1579" t="str">
        <f t="shared" si="70"/>
        <v>278</v>
      </c>
    </row>
    <row r="1580" spans="1:4" x14ac:dyDescent="0.25">
      <c r="A1580" t="str">
        <f>"40513298"</f>
        <v>40513298</v>
      </c>
      <c r="B1580" t="s">
        <v>1552</v>
      </c>
      <c r="C1580">
        <v>220</v>
      </c>
      <c r="D1580" t="str">
        <f t="shared" si="70"/>
        <v>278</v>
      </c>
    </row>
    <row r="1581" spans="1:4" x14ac:dyDescent="0.25">
      <c r="A1581" t="str">
        <f>"40513299"</f>
        <v>40513299</v>
      </c>
      <c r="B1581" t="s">
        <v>1553</v>
      </c>
      <c r="C1581">
        <v>220</v>
      </c>
      <c r="D1581" t="str">
        <f t="shared" si="70"/>
        <v>278</v>
      </c>
    </row>
    <row r="1582" spans="1:4" x14ac:dyDescent="0.25">
      <c r="A1582" t="str">
        <f>"40513300"</f>
        <v>40513300</v>
      </c>
      <c r="B1582" t="s">
        <v>1554</v>
      </c>
      <c r="C1582">
        <v>220</v>
      </c>
      <c r="D1582" t="str">
        <f t="shared" si="70"/>
        <v>278</v>
      </c>
    </row>
    <row r="1583" spans="1:4" x14ac:dyDescent="0.25">
      <c r="A1583" t="str">
        <f>"40513301  "</f>
        <v xml:space="preserve">40513301  </v>
      </c>
      <c r="B1583" t="s">
        <v>1555</v>
      </c>
      <c r="C1583">
        <v>37.4</v>
      </c>
      <c r="D1583" t="str">
        <f t="shared" si="70"/>
        <v>278</v>
      </c>
    </row>
    <row r="1584" spans="1:4" x14ac:dyDescent="0.25">
      <c r="A1584" t="str">
        <f>"40513302"</f>
        <v>40513302</v>
      </c>
      <c r="B1584" t="s">
        <v>1556</v>
      </c>
      <c r="C1584">
        <v>220</v>
      </c>
      <c r="D1584" t="str">
        <f t="shared" si="70"/>
        <v>278</v>
      </c>
    </row>
    <row r="1585" spans="1:4" x14ac:dyDescent="0.25">
      <c r="A1585" t="str">
        <f>"40513303"</f>
        <v>40513303</v>
      </c>
      <c r="B1585" t="s">
        <v>1557</v>
      </c>
      <c r="C1585">
        <v>495</v>
      </c>
      <c r="D1585" t="str">
        <f t="shared" si="70"/>
        <v>278</v>
      </c>
    </row>
    <row r="1586" spans="1:4" x14ac:dyDescent="0.25">
      <c r="A1586" t="str">
        <f>"40513304"</f>
        <v>40513304</v>
      </c>
      <c r="B1586" t="s">
        <v>1558</v>
      </c>
      <c r="C1586">
        <v>495</v>
      </c>
      <c r="D1586" t="str">
        <f t="shared" si="70"/>
        <v>278</v>
      </c>
    </row>
    <row r="1587" spans="1:4" x14ac:dyDescent="0.25">
      <c r="A1587" t="str">
        <f>"40513305"</f>
        <v>40513305</v>
      </c>
      <c r="B1587" t="s">
        <v>1559</v>
      </c>
      <c r="C1587">
        <v>495</v>
      </c>
      <c r="D1587" t="str">
        <f t="shared" si="70"/>
        <v>278</v>
      </c>
    </row>
    <row r="1588" spans="1:4" x14ac:dyDescent="0.25">
      <c r="A1588" t="str">
        <f>"40513306"</f>
        <v>40513306</v>
      </c>
      <c r="B1588" t="s">
        <v>1560</v>
      </c>
      <c r="C1588">
        <v>495</v>
      </c>
      <c r="D1588" t="str">
        <f t="shared" si="70"/>
        <v>278</v>
      </c>
    </row>
    <row r="1589" spans="1:4" x14ac:dyDescent="0.25">
      <c r="A1589" t="str">
        <f>"40513307"</f>
        <v>40513307</v>
      </c>
      <c r="B1589" t="s">
        <v>1561</v>
      </c>
      <c r="C1589" s="1">
        <v>2200</v>
      </c>
      <c r="D1589" t="str">
        <f t="shared" si="70"/>
        <v>278</v>
      </c>
    </row>
    <row r="1590" spans="1:4" x14ac:dyDescent="0.25">
      <c r="A1590" t="str">
        <f>"40513308"</f>
        <v>40513308</v>
      </c>
      <c r="B1590" t="s">
        <v>1562</v>
      </c>
      <c r="C1590" s="1">
        <v>2420</v>
      </c>
      <c r="D1590" t="str">
        <f t="shared" si="70"/>
        <v>278</v>
      </c>
    </row>
    <row r="1591" spans="1:4" x14ac:dyDescent="0.25">
      <c r="A1591" t="str">
        <f>"40513309"</f>
        <v>40513309</v>
      </c>
      <c r="B1591" t="s">
        <v>1563</v>
      </c>
      <c r="C1591" s="1">
        <v>2695</v>
      </c>
      <c r="D1591" t="str">
        <f t="shared" si="70"/>
        <v>278</v>
      </c>
    </row>
    <row r="1592" spans="1:4" x14ac:dyDescent="0.25">
      <c r="A1592" t="str">
        <f>"40513310"</f>
        <v>40513310</v>
      </c>
      <c r="B1592" t="s">
        <v>1564</v>
      </c>
      <c r="C1592" s="1">
        <v>2420</v>
      </c>
      <c r="D1592" t="str">
        <f t="shared" si="70"/>
        <v>278</v>
      </c>
    </row>
    <row r="1593" spans="1:4" x14ac:dyDescent="0.25">
      <c r="A1593" t="str">
        <f>"40513311"</f>
        <v>40513311</v>
      </c>
      <c r="B1593" t="s">
        <v>1564</v>
      </c>
      <c r="C1593" s="1">
        <v>2695</v>
      </c>
      <c r="D1593" t="str">
        <f t="shared" si="70"/>
        <v>278</v>
      </c>
    </row>
    <row r="1594" spans="1:4" x14ac:dyDescent="0.25">
      <c r="A1594" t="str">
        <f>"40513312"</f>
        <v>40513312</v>
      </c>
      <c r="B1594" t="s">
        <v>1565</v>
      </c>
      <c r="C1594" s="1">
        <v>3080</v>
      </c>
      <c r="D1594" t="str">
        <f t="shared" si="70"/>
        <v>278</v>
      </c>
    </row>
    <row r="1595" spans="1:4" x14ac:dyDescent="0.25">
      <c r="A1595" t="str">
        <f>"40513313"</f>
        <v>40513313</v>
      </c>
      <c r="B1595" t="s">
        <v>1566</v>
      </c>
      <c r="C1595">
        <v>165</v>
      </c>
      <c r="D1595" t="str">
        <f t="shared" si="70"/>
        <v>278</v>
      </c>
    </row>
    <row r="1596" spans="1:4" x14ac:dyDescent="0.25">
      <c r="A1596" t="str">
        <f>"40513314"</f>
        <v>40513314</v>
      </c>
      <c r="B1596" t="s">
        <v>1567</v>
      </c>
      <c r="C1596">
        <v>660</v>
      </c>
      <c r="D1596" t="str">
        <f t="shared" si="70"/>
        <v>278</v>
      </c>
    </row>
    <row r="1597" spans="1:4" x14ac:dyDescent="0.25">
      <c r="A1597" t="str">
        <f>"40513315"</f>
        <v>40513315</v>
      </c>
      <c r="B1597" t="s">
        <v>1568</v>
      </c>
      <c r="C1597">
        <v>110</v>
      </c>
      <c r="D1597" t="str">
        <f t="shared" si="70"/>
        <v>278</v>
      </c>
    </row>
    <row r="1598" spans="1:4" x14ac:dyDescent="0.25">
      <c r="A1598" t="str">
        <f>"40513316"</f>
        <v>40513316</v>
      </c>
      <c r="B1598" t="s">
        <v>1569</v>
      </c>
      <c r="C1598">
        <v>220</v>
      </c>
      <c r="D1598" t="str">
        <f t="shared" si="70"/>
        <v>278</v>
      </c>
    </row>
    <row r="1599" spans="1:4" x14ac:dyDescent="0.25">
      <c r="A1599" t="str">
        <f>"40513317"</f>
        <v>40513317</v>
      </c>
      <c r="B1599" t="s">
        <v>1570</v>
      </c>
      <c r="C1599">
        <v>660</v>
      </c>
      <c r="D1599" t="str">
        <f t="shared" si="70"/>
        <v>278</v>
      </c>
    </row>
    <row r="1600" spans="1:4" x14ac:dyDescent="0.25">
      <c r="A1600" t="str">
        <f>"40513318"</f>
        <v>40513318</v>
      </c>
      <c r="B1600" t="s">
        <v>1571</v>
      </c>
      <c r="C1600" s="1">
        <v>3300</v>
      </c>
      <c r="D1600" t="str">
        <f t="shared" si="70"/>
        <v>278</v>
      </c>
    </row>
    <row r="1601" spans="1:4" x14ac:dyDescent="0.25">
      <c r="A1601" t="str">
        <f>"40513319  "</f>
        <v xml:space="preserve">40513319  </v>
      </c>
      <c r="B1601" t="s">
        <v>1572</v>
      </c>
      <c r="C1601">
        <v>231</v>
      </c>
      <c r="D1601" t="str">
        <f t="shared" si="70"/>
        <v>278</v>
      </c>
    </row>
    <row r="1602" spans="1:4" x14ac:dyDescent="0.25">
      <c r="A1602" t="str">
        <f>"40513320"</f>
        <v>40513320</v>
      </c>
      <c r="B1602" t="s">
        <v>1573</v>
      </c>
      <c r="C1602" s="1">
        <v>6820</v>
      </c>
      <c r="D1602" t="str">
        <f t="shared" si="70"/>
        <v>278</v>
      </c>
    </row>
    <row r="1603" spans="1:4" x14ac:dyDescent="0.25">
      <c r="A1603" t="str">
        <f>"40513321"</f>
        <v>40513321</v>
      </c>
      <c r="B1603" t="s">
        <v>1574</v>
      </c>
      <c r="C1603" s="1">
        <v>6820</v>
      </c>
      <c r="D1603" t="str">
        <f t="shared" si="70"/>
        <v>278</v>
      </c>
    </row>
    <row r="1604" spans="1:4" x14ac:dyDescent="0.25">
      <c r="A1604" t="str">
        <f>"40513327  "</f>
        <v xml:space="preserve">40513327  </v>
      </c>
      <c r="B1604" t="s">
        <v>1575</v>
      </c>
      <c r="C1604">
        <v>104.5</v>
      </c>
      <c r="D1604" t="str">
        <f t="shared" si="70"/>
        <v>278</v>
      </c>
    </row>
    <row r="1605" spans="1:4" x14ac:dyDescent="0.25">
      <c r="A1605" t="str">
        <f>"40513333"</f>
        <v>40513333</v>
      </c>
      <c r="B1605" t="s">
        <v>1576</v>
      </c>
      <c r="C1605">
        <v>385</v>
      </c>
      <c r="D1605" t="str">
        <f t="shared" si="70"/>
        <v>278</v>
      </c>
    </row>
    <row r="1606" spans="1:4" x14ac:dyDescent="0.25">
      <c r="A1606" t="str">
        <f>"40513334"</f>
        <v>40513334</v>
      </c>
      <c r="B1606" t="s">
        <v>1577</v>
      </c>
      <c r="C1606">
        <v>385</v>
      </c>
      <c r="D1606" t="str">
        <f t="shared" si="70"/>
        <v>278</v>
      </c>
    </row>
    <row r="1607" spans="1:4" x14ac:dyDescent="0.25">
      <c r="A1607" t="str">
        <f>"40513335  "</f>
        <v xml:space="preserve">40513335  </v>
      </c>
      <c r="B1607" t="s">
        <v>1578</v>
      </c>
      <c r="C1607">
        <v>303.60000000000002</v>
      </c>
      <c r="D1607" t="str">
        <f>"270"</f>
        <v>270</v>
      </c>
    </row>
    <row r="1608" spans="1:4" x14ac:dyDescent="0.25">
      <c r="A1608" t="str">
        <f>"40513336"</f>
        <v>40513336</v>
      </c>
      <c r="B1608" t="s">
        <v>1579</v>
      </c>
      <c r="C1608" s="1">
        <v>8800</v>
      </c>
      <c r="D1608" t="str">
        <f>"278"</f>
        <v>278</v>
      </c>
    </row>
    <row r="1609" spans="1:4" x14ac:dyDescent="0.25">
      <c r="A1609" t="str">
        <f>"40513337"</f>
        <v>40513337</v>
      </c>
      <c r="B1609" t="s">
        <v>1580</v>
      </c>
      <c r="C1609" s="1">
        <v>4400</v>
      </c>
      <c r="D1609" t="str">
        <f>"278"</f>
        <v>278</v>
      </c>
    </row>
    <row r="1610" spans="1:4" x14ac:dyDescent="0.25">
      <c r="A1610" t="str">
        <f>"40513338"</f>
        <v>40513338</v>
      </c>
      <c r="B1610" t="s">
        <v>1581</v>
      </c>
      <c r="C1610" s="1">
        <v>4400</v>
      </c>
      <c r="D1610" t="str">
        <f>"278"</f>
        <v>278</v>
      </c>
    </row>
    <row r="1611" spans="1:4" x14ac:dyDescent="0.25">
      <c r="A1611" t="str">
        <f>"40513339"</f>
        <v>40513339</v>
      </c>
      <c r="B1611" t="s">
        <v>1582</v>
      </c>
      <c r="C1611" s="1">
        <v>4400</v>
      </c>
      <c r="D1611" t="str">
        <f>"278"</f>
        <v>278</v>
      </c>
    </row>
    <row r="1612" spans="1:4" x14ac:dyDescent="0.25">
      <c r="A1612" t="str">
        <f>"40513340"</f>
        <v>40513340</v>
      </c>
      <c r="B1612" t="s">
        <v>1583</v>
      </c>
      <c r="C1612" s="1">
        <v>4400</v>
      </c>
      <c r="D1612" t="str">
        <f>"278"</f>
        <v>278</v>
      </c>
    </row>
    <row r="1613" spans="1:4" x14ac:dyDescent="0.25">
      <c r="A1613" t="str">
        <f>"40513342"</f>
        <v>40513342</v>
      </c>
      <c r="B1613" t="s">
        <v>419</v>
      </c>
      <c r="C1613" s="1">
        <v>2420</v>
      </c>
      <c r="D1613" t="str">
        <f>"270"</f>
        <v>270</v>
      </c>
    </row>
    <row r="1614" spans="1:4" x14ac:dyDescent="0.25">
      <c r="A1614" t="str">
        <f>"40513343  "</f>
        <v xml:space="preserve">40513343  </v>
      </c>
      <c r="B1614" t="s">
        <v>1584</v>
      </c>
      <c r="C1614">
        <v>85.8</v>
      </c>
      <c r="D1614" t="str">
        <f>"270"</f>
        <v>270</v>
      </c>
    </row>
    <row r="1615" spans="1:4" x14ac:dyDescent="0.25">
      <c r="A1615" t="str">
        <f>"40513350  "</f>
        <v xml:space="preserve">40513350  </v>
      </c>
      <c r="B1615" t="s">
        <v>1585</v>
      </c>
      <c r="C1615">
        <v>78.099999999999994</v>
      </c>
      <c r="D1615" t="str">
        <f>"270"</f>
        <v>270</v>
      </c>
    </row>
    <row r="1616" spans="1:4" x14ac:dyDescent="0.25">
      <c r="A1616" t="str">
        <f>"40513359"</f>
        <v>40513359</v>
      </c>
      <c r="B1616" t="s">
        <v>1586</v>
      </c>
      <c r="C1616" s="1">
        <v>7700</v>
      </c>
      <c r="D1616" t="str">
        <f>"278"</f>
        <v>278</v>
      </c>
    </row>
    <row r="1617" spans="1:4" x14ac:dyDescent="0.25">
      <c r="A1617" t="str">
        <f>"40513360"</f>
        <v>40513360</v>
      </c>
      <c r="B1617" t="s">
        <v>1320</v>
      </c>
      <c r="C1617" s="1">
        <v>1100</v>
      </c>
      <c r="D1617" t="str">
        <f>"278"</f>
        <v>278</v>
      </c>
    </row>
    <row r="1618" spans="1:4" x14ac:dyDescent="0.25">
      <c r="A1618" t="str">
        <f>"40513368  "</f>
        <v xml:space="preserve">40513368  </v>
      </c>
      <c r="B1618" t="s">
        <v>1587</v>
      </c>
      <c r="C1618" s="1">
        <v>7425</v>
      </c>
      <c r="D1618" t="str">
        <f>"278"</f>
        <v>278</v>
      </c>
    </row>
    <row r="1619" spans="1:4" x14ac:dyDescent="0.25">
      <c r="A1619" t="str">
        <f>"40513376  "</f>
        <v xml:space="preserve">40513376  </v>
      </c>
      <c r="B1619" t="s">
        <v>1588</v>
      </c>
      <c r="C1619">
        <v>46.2</v>
      </c>
      <c r="D1619" t="str">
        <f>"270"</f>
        <v>270</v>
      </c>
    </row>
    <row r="1620" spans="1:4" x14ac:dyDescent="0.25">
      <c r="A1620" t="str">
        <f>"40513384  "</f>
        <v xml:space="preserve">40513384  </v>
      </c>
      <c r="B1620" t="s">
        <v>1589</v>
      </c>
      <c r="C1620">
        <v>259.60000000000002</v>
      </c>
      <c r="D1620" t="str">
        <f t="shared" ref="D1620:D1651" si="71">"278"</f>
        <v>278</v>
      </c>
    </row>
    <row r="1621" spans="1:4" x14ac:dyDescent="0.25">
      <c r="A1621" t="str">
        <f>"40513392  "</f>
        <v xml:space="preserve">40513392  </v>
      </c>
      <c r="B1621" t="s">
        <v>1590</v>
      </c>
      <c r="C1621">
        <v>693</v>
      </c>
      <c r="D1621" t="str">
        <f t="shared" si="71"/>
        <v>278</v>
      </c>
    </row>
    <row r="1622" spans="1:4" x14ac:dyDescent="0.25">
      <c r="A1622" t="str">
        <f>"40513400  "</f>
        <v xml:space="preserve">40513400  </v>
      </c>
      <c r="B1622" t="s">
        <v>1591</v>
      </c>
      <c r="C1622">
        <v>158.4</v>
      </c>
      <c r="D1622" t="str">
        <f t="shared" si="71"/>
        <v>278</v>
      </c>
    </row>
    <row r="1623" spans="1:4" x14ac:dyDescent="0.25">
      <c r="A1623" t="str">
        <f>"40513401"</f>
        <v>40513401</v>
      </c>
      <c r="B1623" t="s">
        <v>1592</v>
      </c>
      <c r="C1623">
        <v>330</v>
      </c>
      <c r="D1623" t="str">
        <f t="shared" si="71"/>
        <v>278</v>
      </c>
    </row>
    <row r="1624" spans="1:4" x14ac:dyDescent="0.25">
      <c r="A1624" t="str">
        <f>"40513402"</f>
        <v>40513402</v>
      </c>
      <c r="B1624" t="s">
        <v>1577</v>
      </c>
      <c r="C1624">
        <v>330</v>
      </c>
      <c r="D1624" t="str">
        <f t="shared" si="71"/>
        <v>278</v>
      </c>
    </row>
    <row r="1625" spans="1:4" x14ac:dyDescent="0.25">
      <c r="A1625" t="str">
        <f>"40513403"</f>
        <v>40513403</v>
      </c>
      <c r="B1625" t="s">
        <v>1593</v>
      </c>
      <c r="C1625">
        <v>715</v>
      </c>
      <c r="D1625" t="str">
        <f t="shared" si="71"/>
        <v>278</v>
      </c>
    </row>
    <row r="1626" spans="1:4" x14ac:dyDescent="0.25">
      <c r="A1626" t="str">
        <f>"40513404"</f>
        <v>40513404</v>
      </c>
      <c r="B1626" t="s">
        <v>1594</v>
      </c>
      <c r="C1626" s="1">
        <v>1760</v>
      </c>
      <c r="D1626" t="str">
        <f t="shared" si="71"/>
        <v>278</v>
      </c>
    </row>
    <row r="1627" spans="1:4" x14ac:dyDescent="0.25">
      <c r="A1627" t="str">
        <f>"40513405"</f>
        <v>40513405</v>
      </c>
      <c r="B1627" t="s">
        <v>547</v>
      </c>
      <c r="C1627" s="1">
        <v>3300</v>
      </c>
      <c r="D1627" t="str">
        <f t="shared" si="71"/>
        <v>278</v>
      </c>
    </row>
    <row r="1628" spans="1:4" x14ac:dyDescent="0.25">
      <c r="A1628" t="str">
        <f>"40513406"</f>
        <v>40513406</v>
      </c>
      <c r="B1628" t="s">
        <v>1595</v>
      </c>
      <c r="C1628" s="1">
        <v>7150</v>
      </c>
      <c r="D1628" t="str">
        <f t="shared" si="71"/>
        <v>278</v>
      </c>
    </row>
    <row r="1629" spans="1:4" x14ac:dyDescent="0.25">
      <c r="A1629" t="str">
        <f>"40513407"</f>
        <v>40513407</v>
      </c>
      <c r="B1629" t="s">
        <v>1596</v>
      </c>
      <c r="C1629" s="1">
        <v>1100</v>
      </c>
      <c r="D1629" t="str">
        <f t="shared" si="71"/>
        <v>278</v>
      </c>
    </row>
    <row r="1630" spans="1:4" x14ac:dyDescent="0.25">
      <c r="A1630" t="str">
        <f>"40513408"</f>
        <v>40513408</v>
      </c>
      <c r="B1630" t="s">
        <v>1597</v>
      </c>
      <c r="C1630" s="1">
        <v>16500</v>
      </c>
      <c r="D1630" t="str">
        <f t="shared" si="71"/>
        <v>278</v>
      </c>
    </row>
    <row r="1631" spans="1:4" x14ac:dyDescent="0.25">
      <c r="A1631" t="str">
        <f>"40513409"</f>
        <v>40513409</v>
      </c>
      <c r="B1631" t="s">
        <v>1598</v>
      </c>
      <c r="C1631" s="1">
        <v>16500</v>
      </c>
      <c r="D1631" t="str">
        <f t="shared" si="71"/>
        <v>278</v>
      </c>
    </row>
    <row r="1632" spans="1:4" x14ac:dyDescent="0.25">
      <c r="A1632" t="str">
        <f>"40513410"</f>
        <v>40513410</v>
      </c>
      <c r="B1632" t="s">
        <v>1599</v>
      </c>
      <c r="C1632" s="1">
        <v>7150</v>
      </c>
      <c r="D1632" t="str">
        <f t="shared" si="71"/>
        <v>278</v>
      </c>
    </row>
    <row r="1633" spans="1:4" x14ac:dyDescent="0.25">
      <c r="A1633" t="str">
        <f>"40513411"</f>
        <v>40513411</v>
      </c>
      <c r="B1633" t="s">
        <v>1600</v>
      </c>
      <c r="C1633">
        <v>770</v>
      </c>
      <c r="D1633" t="str">
        <f t="shared" si="71"/>
        <v>278</v>
      </c>
    </row>
    <row r="1634" spans="1:4" x14ac:dyDescent="0.25">
      <c r="A1634" t="str">
        <f>"40513412"</f>
        <v>40513412</v>
      </c>
      <c r="B1634" t="s">
        <v>1601</v>
      </c>
      <c r="C1634">
        <v>660</v>
      </c>
      <c r="D1634" t="str">
        <f t="shared" si="71"/>
        <v>278</v>
      </c>
    </row>
    <row r="1635" spans="1:4" x14ac:dyDescent="0.25">
      <c r="A1635" t="str">
        <f>"40513413"</f>
        <v>40513413</v>
      </c>
      <c r="B1635" t="s">
        <v>1602</v>
      </c>
      <c r="C1635">
        <v>660</v>
      </c>
      <c r="D1635" t="str">
        <f t="shared" si="71"/>
        <v>278</v>
      </c>
    </row>
    <row r="1636" spans="1:4" x14ac:dyDescent="0.25">
      <c r="A1636" t="str">
        <f>"40513414"</f>
        <v>40513414</v>
      </c>
      <c r="B1636" t="s">
        <v>1603</v>
      </c>
      <c r="C1636">
        <v>660</v>
      </c>
      <c r="D1636" t="str">
        <f t="shared" si="71"/>
        <v>278</v>
      </c>
    </row>
    <row r="1637" spans="1:4" x14ac:dyDescent="0.25">
      <c r="A1637" t="str">
        <f>"40513415"</f>
        <v>40513415</v>
      </c>
      <c r="B1637" t="s">
        <v>1604</v>
      </c>
      <c r="C1637">
        <v>330</v>
      </c>
      <c r="D1637" t="str">
        <f t="shared" si="71"/>
        <v>278</v>
      </c>
    </row>
    <row r="1638" spans="1:4" x14ac:dyDescent="0.25">
      <c r="A1638" t="str">
        <f>"40513416"</f>
        <v>40513416</v>
      </c>
      <c r="B1638" t="s">
        <v>1604</v>
      </c>
      <c r="C1638">
        <v>330</v>
      </c>
      <c r="D1638" t="str">
        <f t="shared" si="71"/>
        <v>278</v>
      </c>
    </row>
    <row r="1639" spans="1:4" x14ac:dyDescent="0.25">
      <c r="A1639" t="str">
        <f>"40513417"</f>
        <v>40513417</v>
      </c>
      <c r="B1639" t="s">
        <v>1605</v>
      </c>
      <c r="C1639">
        <v>330</v>
      </c>
      <c r="D1639" t="str">
        <f t="shared" si="71"/>
        <v>278</v>
      </c>
    </row>
    <row r="1640" spans="1:4" x14ac:dyDescent="0.25">
      <c r="A1640" t="str">
        <f>"40513418  "</f>
        <v xml:space="preserve">40513418  </v>
      </c>
      <c r="B1640" t="s">
        <v>1606</v>
      </c>
      <c r="C1640">
        <v>774.4</v>
      </c>
      <c r="D1640" t="str">
        <f t="shared" si="71"/>
        <v>278</v>
      </c>
    </row>
    <row r="1641" spans="1:4" x14ac:dyDescent="0.25">
      <c r="A1641" t="str">
        <f>"40513419"</f>
        <v>40513419</v>
      </c>
      <c r="B1641" t="s">
        <v>1607</v>
      </c>
      <c r="C1641">
        <v>352</v>
      </c>
      <c r="D1641" t="str">
        <f t="shared" si="71"/>
        <v>278</v>
      </c>
    </row>
    <row r="1642" spans="1:4" x14ac:dyDescent="0.25">
      <c r="A1642" t="str">
        <f>"40513420"</f>
        <v>40513420</v>
      </c>
      <c r="B1642" t="s">
        <v>1608</v>
      </c>
      <c r="C1642" s="1">
        <v>4950</v>
      </c>
      <c r="D1642" t="str">
        <f t="shared" si="71"/>
        <v>278</v>
      </c>
    </row>
    <row r="1643" spans="1:4" x14ac:dyDescent="0.25">
      <c r="A1643" t="str">
        <f>"40513421"</f>
        <v>40513421</v>
      </c>
      <c r="B1643" t="s">
        <v>1609</v>
      </c>
      <c r="C1643" s="1">
        <v>7700</v>
      </c>
      <c r="D1643" t="str">
        <f t="shared" si="71"/>
        <v>278</v>
      </c>
    </row>
    <row r="1644" spans="1:4" x14ac:dyDescent="0.25">
      <c r="A1644" t="str">
        <f>"40513422"</f>
        <v>40513422</v>
      </c>
      <c r="B1644" t="s">
        <v>1610</v>
      </c>
      <c r="C1644" s="1">
        <v>7150</v>
      </c>
      <c r="D1644" t="str">
        <f t="shared" si="71"/>
        <v>278</v>
      </c>
    </row>
    <row r="1645" spans="1:4" x14ac:dyDescent="0.25">
      <c r="A1645" t="str">
        <f>"40513423"</f>
        <v>40513423</v>
      </c>
      <c r="B1645" t="s">
        <v>1611</v>
      </c>
      <c r="C1645" s="1">
        <v>4950</v>
      </c>
      <c r="D1645" t="str">
        <f t="shared" si="71"/>
        <v>278</v>
      </c>
    </row>
    <row r="1646" spans="1:4" x14ac:dyDescent="0.25">
      <c r="A1646" t="str">
        <f>"40513424"</f>
        <v>40513424</v>
      </c>
      <c r="B1646" t="s">
        <v>1612</v>
      </c>
      <c r="C1646">
        <v>715</v>
      </c>
      <c r="D1646" t="str">
        <f t="shared" si="71"/>
        <v>278</v>
      </c>
    </row>
    <row r="1647" spans="1:4" x14ac:dyDescent="0.25">
      <c r="A1647" t="str">
        <f>"40513425"</f>
        <v>40513425</v>
      </c>
      <c r="B1647" t="s">
        <v>1613</v>
      </c>
      <c r="C1647">
        <v>770</v>
      </c>
      <c r="D1647" t="str">
        <f t="shared" si="71"/>
        <v>278</v>
      </c>
    </row>
    <row r="1648" spans="1:4" x14ac:dyDescent="0.25">
      <c r="A1648" t="str">
        <f>"40513426  "</f>
        <v xml:space="preserve">40513426  </v>
      </c>
      <c r="B1648" t="s">
        <v>1614</v>
      </c>
      <c r="C1648" s="1">
        <v>1692.9</v>
      </c>
      <c r="D1648" t="str">
        <f t="shared" si="71"/>
        <v>278</v>
      </c>
    </row>
    <row r="1649" spans="1:4" x14ac:dyDescent="0.25">
      <c r="A1649" t="str">
        <f>"40513427"</f>
        <v>40513427</v>
      </c>
      <c r="B1649" t="s">
        <v>1615</v>
      </c>
      <c r="C1649" s="1">
        <v>1760</v>
      </c>
      <c r="D1649" t="str">
        <f t="shared" si="71"/>
        <v>278</v>
      </c>
    </row>
    <row r="1650" spans="1:4" x14ac:dyDescent="0.25">
      <c r="A1650" t="str">
        <f>"40513428"</f>
        <v>40513428</v>
      </c>
      <c r="B1650" t="s">
        <v>1616</v>
      </c>
      <c r="C1650" s="1">
        <v>1485</v>
      </c>
      <c r="D1650" t="str">
        <f t="shared" si="71"/>
        <v>278</v>
      </c>
    </row>
    <row r="1651" spans="1:4" x14ac:dyDescent="0.25">
      <c r="A1651" t="str">
        <f>"40513429"</f>
        <v>40513429</v>
      </c>
      <c r="B1651" t="s">
        <v>1617</v>
      </c>
      <c r="C1651">
        <v>137.5</v>
      </c>
      <c r="D1651" t="str">
        <f t="shared" si="71"/>
        <v>278</v>
      </c>
    </row>
    <row r="1652" spans="1:4" x14ac:dyDescent="0.25">
      <c r="A1652" t="str">
        <f>"40513430"</f>
        <v>40513430</v>
      </c>
      <c r="B1652" t="s">
        <v>1618</v>
      </c>
      <c r="C1652" s="1">
        <v>6050</v>
      </c>
      <c r="D1652" t="str">
        <f t="shared" ref="D1652:D1682" si="72">"278"</f>
        <v>278</v>
      </c>
    </row>
    <row r="1653" spans="1:4" x14ac:dyDescent="0.25">
      <c r="A1653" t="str">
        <f>"40513431"</f>
        <v>40513431</v>
      </c>
      <c r="B1653" t="s">
        <v>1619</v>
      </c>
      <c r="C1653" s="1">
        <v>8030</v>
      </c>
      <c r="D1653" t="str">
        <f t="shared" si="72"/>
        <v>278</v>
      </c>
    </row>
    <row r="1654" spans="1:4" x14ac:dyDescent="0.25">
      <c r="A1654" t="str">
        <f>"40513432"</f>
        <v>40513432</v>
      </c>
      <c r="B1654" t="s">
        <v>1620</v>
      </c>
      <c r="C1654">
        <v>770</v>
      </c>
      <c r="D1654" t="str">
        <f t="shared" si="72"/>
        <v>278</v>
      </c>
    </row>
    <row r="1655" spans="1:4" x14ac:dyDescent="0.25">
      <c r="A1655" t="str">
        <f>"40513433"</f>
        <v>40513433</v>
      </c>
      <c r="B1655" t="s">
        <v>1621</v>
      </c>
      <c r="C1655" s="1">
        <v>7700</v>
      </c>
      <c r="D1655" t="str">
        <f t="shared" si="72"/>
        <v>278</v>
      </c>
    </row>
    <row r="1656" spans="1:4" x14ac:dyDescent="0.25">
      <c r="A1656" t="str">
        <f>"40513434  "</f>
        <v xml:space="preserve">40513434  </v>
      </c>
      <c r="B1656" t="s">
        <v>1622</v>
      </c>
      <c r="C1656">
        <v>815.1</v>
      </c>
      <c r="D1656" t="str">
        <f t="shared" si="72"/>
        <v>278</v>
      </c>
    </row>
    <row r="1657" spans="1:4" x14ac:dyDescent="0.25">
      <c r="A1657" t="str">
        <f>"40513435"</f>
        <v>40513435</v>
      </c>
      <c r="B1657" t="s">
        <v>1623</v>
      </c>
      <c r="C1657" s="1">
        <v>7700</v>
      </c>
      <c r="D1657" t="str">
        <f t="shared" si="72"/>
        <v>278</v>
      </c>
    </row>
    <row r="1658" spans="1:4" x14ac:dyDescent="0.25">
      <c r="A1658" t="str">
        <f>"40513436"</f>
        <v>40513436</v>
      </c>
      <c r="B1658" t="s">
        <v>1624</v>
      </c>
      <c r="C1658" s="1">
        <v>4400</v>
      </c>
      <c r="D1658" t="str">
        <f t="shared" si="72"/>
        <v>278</v>
      </c>
    </row>
    <row r="1659" spans="1:4" x14ac:dyDescent="0.25">
      <c r="A1659" t="str">
        <f>"40513437"</f>
        <v>40513437</v>
      </c>
      <c r="B1659" t="s">
        <v>1625</v>
      </c>
      <c r="C1659" s="1">
        <v>4400</v>
      </c>
      <c r="D1659" t="str">
        <f t="shared" si="72"/>
        <v>278</v>
      </c>
    </row>
    <row r="1660" spans="1:4" x14ac:dyDescent="0.25">
      <c r="A1660" t="str">
        <f>"40513438"</f>
        <v>40513438</v>
      </c>
      <c r="B1660" t="s">
        <v>1626</v>
      </c>
      <c r="C1660" s="1">
        <v>10450</v>
      </c>
      <c r="D1660" t="str">
        <f t="shared" si="72"/>
        <v>278</v>
      </c>
    </row>
    <row r="1661" spans="1:4" x14ac:dyDescent="0.25">
      <c r="A1661" t="str">
        <f>"40513439"</f>
        <v>40513439</v>
      </c>
      <c r="B1661" t="s">
        <v>1627</v>
      </c>
      <c r="C1661">
        <v>137.5</v>
      </c>
      <c r="D1661" t="str">
        <f t="shared" si="72"/>
        <v>278</v>
      </c>
    </row>
    <row r="1662" spans="1:4" x14ac:dyDescent="0.25">
      <c r="A1662" t="str">
        <f>"40513440"</f>
        <v>40513440</v>
      </c>
      <c r="B1662" t="s">
        <v>1628</v>
      </c>
      <c r="C1662" s="1">
        <v>3850</v>
      </c>
      <c r="D1662" t="str">
        <f t="shared" si="72"/>
        <v>278</v>
      </c>
    </row>
    <row r="1663" spans="1:4" x14ac:dyDescent="0.25">
      <c r="A1663" t="str">
        <f>"40513441"</f>
        <v>40513441</v>
      </c>
      <c r="B1663" t="s">
        <v>1629</v>
      </c>
      <c r="C1663" s="1">
        <v>9900</v>
      </c>
      <c r="D1663" t="str">
        <f t="shared" si="72"/>
        <v>278</v>
      </c>
    </row>
    <row r="1664" spans="1:4" x14ac:dyDescent="0.25">
      <c r="A1664" t="str">
        <f>"40513442  "</f>
        <v xml:space="preserve">40513442  </v>
      </c>
      <c r="B1664" t="s">
        <v>1630</v>
      </c>
      <c r="C1664">
        <v>506</v>
      </c>
      <c r="D1664" t="str">
        <f t="shared" si="72"/>
        <v>278</v>
      </c>
    </row>
    <row r="1665" spans="1:4" x14ac:dyDescent="0.25">
      <c r="A1665" t="str">
        <f>"40513443"</f>
        <v>40513443</v>
      </c>
      <c r="B1665" t="s">
        <v>1631</v>
      </c>
      <c r="C1665" s="1">
        <v>7700</v>
      </c>
      <c r="D1665" t="str">
        <f t="shared" si="72"/>
        <v>278</v>
      </c>
    </row>
    <row r="1666" spans="1:4" x14ac:dyDescent="0.25">
      <c r="A1666" t="str">
        <f>"40513444"</f>
        <v>40513444</v>
      </c>
      <c r="B1666" t="s">
        <v>1632</v>
      </c>
      <c r="C1666">
        <v>880</v>
      </c>
      <c r="D1666" t="str">
        <f t="shared" si="72"/>
        <v>278</v>
      </c>
    </row>
    <row r="1667" spans="1:4" x14ac:dyDescent="0.25">
      <c r="A1667" t="str">
        <f>"40513445"</f>
        <v>40513445</v>
      </c>
      <c r="B1667" t="s">
        <v>1633</v>
      </c>
      <c r="C1667" s="1">
        <v>1650</v>
      </c>
      <c r="D1667" t="str">
        <f t="shared" si="72"/>
        <v>278</v>
      </c>
    </row>
    <row r="1668" spans="1:4" x14ac:dyDescent="0.25">
      <c r="A1668" t="str">
        <f>"40513446"</f>
        <v>40513446</v>
      </c>
      <c r="B1668" t="s">
        <v>1633</v>
      </c>
      <c r="C1668" s="1">
        <v>1650</v>
      </c>
      <c r="D1668" t="str">
        <f t="shared" si="72"/>
        <v>278</v>
      </c>
    </row>
    <row r="1669" spans="1:4" x14ac:dyDescent="0.25">
      <c r="A1669" t="str">
        <f>"40513450"</f>
        <v>40513450</v>
      </c>
      <c r="B1669" t="s">
        <v>1634</v>
      </c>
      <c r="C1669" s="1">
        <v>5500</v>
      </c>
      <c r="D1669" t="str">
        <f t="shared" si="72"/>
        <v>278</v>
      </c>
    </row>
    <row r="1670" spans="1:4" x14ac:dyDescent="0.25">
      <c r="A1670" t="str">
        <f>"40513451"</f>
        <v>40513451</v>
      </c>
      <c r="B1670" t="s">
        <v>1635</v>
      </c>
      <c r="C1670">
        <v>330</v>
      </c>
      <c r="D1670" t="str">
        <f t="shared" si="72"/>
        <v>278</v>
      </c>
    </row>
    <row r="1671" spans="1:4" x14ac:dyDescent="0.25">
      <c r="A1671" t="str">
        <f>"40513452"</f>
        <v>40513452</v>
      </c>
      <c r="B1671" t="s">
        <v>1635</v>
      </c>
      <c r="C1671">
        <v>385</v>
      </c>
      <c r="D1671" t="str">
        <f t="shared" si="72"/>
        <v>278</v>
      </c>
    </row>
    <row r="1672" spans="1:4" x14ac:dyDescent="0.25">
      <c r="A1672" t="str">
        <f>"40513453"</f>
        <v>40513453</v>
      </c>
      <c r="B1672" t="s">
        <v>1636</v>
      </c>
      <c r="C1672">
        <v>418</v>
      </c>
      <c r="D1672" t="str">
        <f t="shared" si="72"/>
        <v>278</v>
      </c>
    </row>
    <row r="1673" spans="1:4" x14ac:dyDescent="0.25">
      <c r="A1673" t="str">
        <f>"40513454"</f>
        <v>40513454</v>
      </c>
      <c r="B1673" t="s">
        <v>1637</v>
      </c>
      <c r="C1673">
        <v>385</v>
      </c>
      <c r="D1673" t="str">
        <f t="shared" si="72"/>
        <v>278</v>
      </c>
    </row>
    <row r="1674" spans="1:4" x14ac:dyDescent="0.25">
      <c r="A1674" t="str">
        <f>"40513455"</f>
        <v>40513455</v>
      </c>
      <c r="B1674" t="s">
        <v>1638</v>
      </c>
      <c r="C1674" s="1">
        <v>7700</v>
      </c>
      <c r="D1674" t="str">
        <f t="shared" si="72"/>
        <v>278</v>
      </c>
    </row>
    <row r="1675" spans="1:4" x14ac:dyDescent="0.25">
      <c r="A1675" t="str">
        <f>"40513456"</f>
        <v>40513456</v>
      </c>
      <c r="B1675" t="s">
        <v>1639</v>
      </c>
      <c r="C1675" s="1">
        <v>3850</v>
      </c>
      <c r="D1675" t="str">
        <f t="shared" si="72"/>
        <v>278</v>
      </c>
    </row>
    <row r="1676" spans="1:4" x14ac:dyDescent="0.25">
      <c r="A1676" t="str">
        <f>"40513457"</f>
        <v>40513457</v>
      </c>
      <c r="B1676" t="s">
        <v>1640</v>
      </c>
      <c r="C1676" s="1">
        <v>4400</v>
      </c>
      <c r="D1676" t="str">
        <f t="shared" si="72"/>
        <v>278</v>
      </c>
    </row>
    <row r="1677" spans="1:4" x14ac:dyDescent="0.25">
      <c r="A1677" t="str">
        <f>"40513459  "</f>
        <v xml:space="preserve">40513459  </v>
      </c>
      <c r="B1677" t="s">
        <v>1641</v>
      </c>
      <c r="C1677">
        <v>539</v>
      </c>
      <c r="D1677" t="str">
        <f t="shared" si="72"/>
        <v>278</v>
      </c>
    </row>
    <row r="1678" spans="1:4" x14ac:dyDescent="0.25">
      <c r="A1678" t="str">
        <f>"40513467  "</f>
        <v xml:space="preserve">40513467  </v>
      </c>
      <c r="B1678" t="s">
        <v>1642</v>
      </c>
      <c r="C1678">
        <v>479.6</v>
      </c>
      <c r="D1678" t="str">
        <f t="shared" si="72"/>
        <v>278</v>
      </c>
    </row>
    <row r="1679" spans="1:4" x14ac:dyDescent="0.25">
      <c r="A1679" t="str">
        <f>"40513475  "</f>
        <v xml:space="preserve">40513475  </v>
      </c>
      <c r="B1679" t="s">
        <v>1643</v>
      </c>
      <c r="C1679">
        <v>73.7</v>
      </c>
      <c r="D1679" t="str">
        <f t="shared" si="72"/>
        <v>278</v>
      </c>
    </row>
    <row r="1680" spans="1:4" x14ac:dyDescent="0.25">
      <c r="A1680" t="str">
        <f>"40513480"</f>
        <v>40513480</v>
      </c>
      <c r="B1680" t="s">
        <v>1644</v>
      </c>
      <c r="C1680" s="1">
        <v>1650</v>
      </c>
      <c r="D1680" t="str">
        <f t="shared" si="72"/>
        <v>278</v>
      </c>
    </row>
    <row r="1681" spans="1:4" x14ac:dyDescent="0.25">
      <c r="A1681" t="str">
        <f>"40513481"</f>
        <v>40513481</v>
      </c>
      <c r="B1681" t="s">
        <v>1645</v>
      </c>
      <c r="C1681" s="1">
        <v>1650</v>
      </c>
      <c r="D1681" t="str">
        <f t="shared" si="72"/>
        <v>278</v>
      </c>
    </row>
    <row r="1682" spans="1:4" x14ac:dyDescent="0.25">
      <c r="A1682" t="str">
        <f>"40513482"</f>
        <v>40513482</v>
      </c>
      <c r="B1682" t="s">
        <v>1646</v>
      </c>
      <c r="C1682" s="1">
        <v>1650</v>
      </c>
      <c r="D1682" t="str">
        <f t="shared" si="72"/>
        <v>278</v>
      </c>
    </row>
    <row r="1683" spans="1:4" x14ac:dyDescent="0.25">
      <c r="A1683" t="str">
        <f>"40513483  "</f>
        <v xml:space="preserve">40513483  </v>
      </c>
      <c r="B1683" t="s">
        <v>1647</v>
      </c>
      <c r="C1683">
        <v>272.8</v>
      </c>
      <c r="D1683" t="str">
        <f>"270"</f>
        <v>270</v>
      </c>
    </row>
    <row r="1684" spans="1:4" x14ac:dyDescent="0.25">
      <c r="A1684" t="str">
        <f>"40513484"</f>
        <v>40513484</v>
      </c>
      <c r="B1684" t="s">
        <v>1648</v>
      </c>
      <c r="C1684" s="1">
        <v>1650</v>
      </c>
      <c r="D1684" t="str">
        <f t="shared" ref="D1684:D1689" si="73">"278"</f>
        <v>278</v>
      </c>
    </row>
    <row r="1685" spans="1:4" x14ac:dyDescent="0.25">
      <c r="A1685" t="str">
        <f>"40513485"</f>
        <v>40513485</v>
      </c>
      <c r="B1685" t="s">
        <v>1649</v>
      </c>
      <c r="C1685" s="1">
        <v>3300</v>
      </c>
      <c r="D1685" t="str">
        <f t="shared" si="73"/>
        <v>278</v>
      </c>
    </row>
    <row r="1686" spans="1:4" x14ac:dyDescent="0.25">
      <c r="A1686" t="str">
        <f>"40513488"</f>
        <v>40513488</v>
      </c>
      <c r="B1686" t="s">
        <v>1650</v>
      </c>
      <c r="C1686" s="1">
        <v>1430</v>
      </c>
      <c r="D1686" t="str">
        <f t="shared" si="73"/>
        <v>278</v>
      </c>
    </row>
    <row r="1687" spans="1:4" x14ac:dyDescent="0.25">
      <c r="A1687" t="str">
        <f>"40513489"</f>
        <v>40513489</v>
      </c>
      <c r="B1687" t="s">
        <v>1651</v>
      </c>
      <c r="C1687">
        <v>220</v>
      </c>
      <c r="D1687" t="str">
        <f t="shared" si="73"/>
        <v>278</v>
      </c>
    </row>
    <row r="1688" spans="1:4" x14ac:dyDescent="0.25">
      <c r="A1688" t="str">
        <f>"40513490"</f>
        <v>40513490</v>
      </c>
      <c r="B1688" t="s">
        <v>1652</v>
      </c>
      <c r="C1688">
        <v>220</v>
      </c>
      <c r="D1688" t="str">
        <f t="shared" si="73"/>
        <v>278</v>
      </c>
    </row>
    <row r="1689" spans="1:4" x14ac:dyDescent="0.25">
      <c r="A1689" t="str">
        <f>"40513491"</f>
        <v>40513491</v>
      </c>
      <c r="B1689" t="s">
        <v>1653</v>
      </c>
      <c r="C1689">
        <v>990</v>
      </c>
      <c r="D1689" t="str">
        <f t="shared" si="73"/>
        <v>278</v>
      </c>
    </row>
    <row r="1690" spans="1:4" x14ac:dyDescent="0.25">
      <c r="A1690" t="str">
        <f>"40513492"</f>
        <v>40513492</v>
      </c>
      <c r="B1690" t="s">
        <v>1654</v>
      </c>
      <c r="C1690">
        <v>990</v>
      </c>
      <c r="D1690" t="str">
        <f>"270"</f>
        <v>270</v>
      </c>
    </row>
    <row r="1691" spans="1:4" x14ac:dyDescent="0.25">
      <c r="A1691" t="str">
        <f>"40513493"</f>
        <v>40513493</v>
      </c>
      <c r="B1691" t="s">
        <v>1655</v>
      </c>
      <c r="C1691">
        <v>550</v>
      </c>
      <c r="D1691" t="str">
        <f t="shared" ref="D1691:D1730" si="74">"278"</f>
        <v>278</v>
      </c>
    </row>
    <row r="1692" spans="1:4" x14ac:dyDescent="0.25">
      <c r="A1692" t="str">
        <f>"40513494"</f>
        <v>40513494</v>
      </c>
      <c r="B1692" t="s">
        <v>1656</v>
      </c>
      <c r="C1692">
        <v>715</v>
      </c>
      <c r="D1692" t="str">
        <f t="shared" si="74"/>
        <v>278</v>
      </c>
    </row>
    <row r="1693" spans="1:4" x14ac:dyDescent="0.25">
      <c r="A1693" t="str">
        <f>"40513495"</f>
        <v>40513495</v>
      </c>
      <c r="B1693" t="s">
        <v>1657</v>
      </c>
      <c r="C1693" s="1">
        <v>3850</v>
      </c>
      <c r="D1693" t="str">
        <f t="shared" si="74"/>
        <v>278</v>
      </c>
    </row>
    <row r="1694" spans="1:4" x14ac:dyDescent="0.25">
      <c r="A1694" t="str">
        <f>"40513496"</f>
        <v>40513496</v>
      </c>
      <c r="B1694" t="s">
        <v>1658</v>
      </c>
      <c r="C1694" s="1">
        <v>2750</v>
      </c>
      <c r="D1694" t="str">
        <f t="shared" si="74"/>
        <v>278</v>
      </c>
    </row>
    <row r="1695" spans="1:4" x14ac:dyDescent="0.25">
      <c r="A1695" t="str">
        <f>"40513497"</f>
        <v>40513497</v>
      </c>
      <c r="B1695" t="s">
        <v>1659</v>
      </c>
      <c r="C1695" s="1">
        <v>7700</v>
      </c>
      <c r="D1695" t="str">
        <f t="shared" si="74"/>
        <v>278</v>
      </c>
    </row>
    <row r="1696" spans="1:4" x14ac:dyDescent="0.25">
      <c r="A1696" t="str">
        <f>"40513498"</f>
        <v>40513498</v>
      </c>
      <c r="B1696" t="s">
        <v>1660</v>
      </c>
      <c r="C1696" s="1">
        <v>7700</v>
      </c>
      <c r="D1696" t="str">
        <f t="shared" si="74"/>
        <v>278</v>
      </c>
    </row>
    <row r="1697" spans="1:4" x14ac:dyDescent="0.25">
      <c r="A1697" t="str">
        <f>"40513500"</f>
        <v>40513500</v>
      </c>
      <c r="B1697" t="s">
        <v>1661</v>
      </c>
      <c r="C1697" s="1">
        <v>2750</v>
      </c>
      <c r="D1697" t="str">
        <f t="shared" si="74"/>
        <v>278</v>
      </c>
    </row>
    <row r="1698" spans="1:4" x14ac:dyDescent="0.25">
      <c r="A1698" t="str">
        <f>"40513501"</f>
        <v>40513501</v>
      </c>
      <c r="B1698" t="s">
        <v>1662</v>
      </c>
      <c r="C1698" s="1">
        <v>7150</v>
      </c>
      <c r="D1698" t="str">
        <f t="shared" si="74"/>
        <v>278</v>
      </c>
    </row>
    <row r="1699" spans="1:4" x14ac:dyDescent="0.25">
      <c r="A1699" t="str">
        <f>"40513502"</f>
        <v>40513502</v>
      </c>
      <c r="B1699" t="s">
        <v>1663</v>
      </c>
      <c r="C1699" s="1">
        <v>7700</v>
      </c>
      <c r="D1699" t="str">
        <f t="shared" si="74"/>
        <v>278</v>
      </c>
    </row>
    <row r="1700" spans="1:4" x14ac:dyDescent="0.25">
      <c r="A1700" t="str">
        <f>"40513503"</f>
        <v>40513503</v>
      </c>
      <c r="B1700" t="s">
        <v>1664</v>
      </c>
      <c r="C1700" s="1">
        <v>1100</v>
      </c>
      <c r="D1700" t="str">
        <f t="shared" si="74"/>
        <v>278</v>
      </c>
    </row>
    <row r="1701" spans="1:4" x14ac:dyDescent="0.25">
      <c r="A1701" t="str">
        <f>"40513504"</f>
        <v>40513504</v>
      </c>
      <c r="B1701" t="s">
        <v>1665</v>
      </c>
      <c r="C1701">
        <v>715</v>
      </c>
      <c r="D1701" t="str">
        <f t="shared" si="74"/>
        <v>278</v>
      </c>
    </row>
    <row r="1702" spans="1:4" x14ac:dyDescent="0.25">
      <c r="A1702" t="str">
        <f>"40513505"</f>
        <v>40513505</v>
      </c>
      <c r="B1702" t="s">
        <v>1666</v>
      </c>
      <c r="C1702" s="1">
        <v>1045</v>
      </c>
      <c r="D1702" t="str">
        <f t="shared" si="74"/>
        <v>278</v>
      </c>
    </row>
    <row r="1703" spans="1:4" x14ac:dyDescent="0.25">
      <c r="A1703" t="str">
        <f>"40513506"</f>
        <v>40513506</v>
      </c>
      <c r="B1703" t="s">
        <v>1667</v>
      </c>
      <c r="C1703" s="1">
        <v>5280</v>
      </c>
      <c r="D1703" t="str">
        <f t="shared" si="74"/>
        <v>278</v>
      </c>
    </row>
    <row r="1704" spans="1:4" x14ac:dyDescent="0.25">
      <c r="A1704" t="str">
        <f>"40513507"</f>
        <v>40513507</v>
      </c>
      <c r="B1704" t="s">
        <v>1668</v>
      </c>
      <c r="C1704" s="1">
        <v>2530</v>
      </c>
      <c r="D1704" t="str">
        <f t="shared" si="74"/>
        <v>278</v>
      </c>
    </row>
    <row r="1705" spans="1:4" x14ac:dyDescent="0.25">
      <c r="A1705" t="str">
        <f>"40513508"</f>
        <v>40513508</v>
      </c>
      <c r="B1705" t="s">
        <v>1669</v>
      </c>
      <c r="C1705">
        <v>660</v>
      </c>
      <c r="D1705" t="str">
        <f t="shared" si="74"/>
        <v>278</v>
      </c>
    </row>
    <row r="1706" spans="1:4" x14ac:dyDescent="0.25">
      <c r="A1706" t="str">
        <f>"40513509"</f>
        <v>40513509</v>
      </c>
      <c r="B1706" t="s">
        <v>1670</v>
      </c>
      <c r="C1706">
        <v>660</v>
      </c>
      <c r="D1706" t="str">
        <f t="shared" si="74"/>
        <v>278</v>
      </c>
    </row>
    <row r="1707" spans="1:4" x14ac:dyDescent="0.25">
      <c r="A1707" t="str">
        <f>"40513510"</f>
        <v>40513510</v>
      </c>
      <c r="B1707" t="s">
        <v>1671</v>
      </c>
      <c r="C1707">
        <v>616</v>
      </c>
      <c r="D1707" t="str">
        <f t="shared" si="74"/>
        <v>278</v>
      </c>
    </row>
    <row r="1708" spans="1:4" x14ac:dyDescent="0.25">
      <c r="A1708" t="str">
        <f>"40513511"</f>
        <v>40513511</v>
      </c>
      <c r="B1708" t="s">
        <v>1672</v>
      </c>
      <c r="C1708" s="1">
        <v>5500</v>
      </c>
      <c r="D1708" t="str">
        <f t="shared" si="74"/>
        <v>278</v>
      </c>
    </row>
    <row r="1709" spans="1:4" x14ac:dyDescent="0.25">
      <c r="A1709" t="str">
        <f>"40513512"</f>
        <v>40513512</v>
      </c>
      <c r="B1709" t="s">
        <v>1673</v>
      </c>
      <c r="C1709" s="1">
        <v>3300</v>
      </c>
      <c r="D1709" t="str">
        <f t="shared" si="74"/>
        <v>278</v>
      </c>
    </row>
    <row r="1710" spans="1:4" x14ac:dyDescent="0.25">
      <c r="A1710" t="str">
        <f>"40513513"</f>
        <v>40513513</v>
      </c>
      <c r="B1710" t="s">
        <v>1674</v>
      </c>
      <c r="C1710" s="1">
        <v>3850</v>
      </c>
      <c r="D1710" t="str">
        <f t="shared" si="74"/>
        <v>278</v>
      </c>
    </row>
    <row r="1711" spans="1:4" x14ac:dyDescent="0.25">
      <c r="A1711" t="str">
        <f>"40513514"</f>
        <v>40513514</v>
      </c>
      <c r="B1711" t="s">
        <v>1675</v>
      </c>
      <c r="C1711" s="1">
        <v>1980</v>
      </c>
      <c r="D1711" t="str">
        <f t="shared" si="74"/>
        <v>278</v>
      </c>
    </row>
    <row r="1712" spans="1:4" x14ac:dyDescent="0.25">
      <c r="A1712" t="str">
        <f>"40513515"</f>
        <v>40513515</v>
      </c>
      <c r="B1712" t="s">
        <v>1676</v>
      </c>
      <c r="C1712" s="1">
        <v>5500</v>
      </c>
      <c r="D1712" t="str">
        <f t="shared" si="74"/>
        <v>278</v>
      </c>
    </row>
    <row r="1713" spans="1:4" x14ac:dyDescent="0.25">
      <c r="A1713" t="str">
        <f>"40513516"</f>
        <v>40513516</v>
      </c>
      <c r="B1713" t="s">
        <v>1677</v>
      </c>
      <c r="C1713" s="1">
        <v>3300</v>
      </c>
      <c r="D1713" t="str">
        <f t="shared" si="74"/>
        <v>278</v>
      </c>
    </row>
    <row r="1714" spans="1:4" x14ac:dyDescent="0.25">
      <c r="A1714" t="str">
        <f>"40513517  "</f>
        <v xml:space="preserve">40513517  </v>
      </c>
      <c r="B1714" t="s">
        <v>1678</v>
      </c>
      <c r="C1714">
        <v>290.39999999999998</v>
      </c>
      <c r="D1714" t="str">
        <f t="shared" si="74"/>
        <v>278</v>
      </c>
    </row>
    <row r="1715" spans="1:4" x14ac:dyDescent="0.25">
      <c r="A1715" t="str">
        <f>"40513520"</f>
        <v>40513520</v>
      </c>
      <c r="B1715" t="s">
        <v>1679</v>
      </c>
      <c r="C1715" s="1">
        <v>6270</v>
      </c>
      <c r="D1715" t="str">
        <f t="shared" si="74"/>
        <v>278</v>
      </c>
    </row>
    <row r="1716" spans="1:4" x14ac:dyDescent="0.25">
      <c r="A1716" t="str">
        <f>"40513525"</f>
        <v>40513525</v>
      </c>
      <c r="B1716" t="s">
        <v>1680</v>
      </c>
      <c r="C1716">
        <v>550</v>
      </c>
      <c r="D1716" t="str">
        <f t="shared" si="74"/>
        <v>278</v>
      </c>
    </row>
    <row r="1717" spans="1:4" x14ac:dyDescent="0.25">
      <c r="A1717" t="str">
        <f>"40513526"</f>
        <v>40513526</v>
      </c>
      <c r="B1717" t="s">
        <v>1681</v>
      </c>
      <c r="C1717" s="1">
        <v>5500</v>
      </c>
      <c r="D1717" t="str">
        <f t="shared" si="74"/>
        <v>278</v>
      </c>
    </row>
    <row r="1718" spans="1:4" x14ac:dyDescent="0.25">
      <c r="A1718" t="str">
        <f>"40513527"</f>
        <v>40513527</v>
      </c>
      <c r="B1718" t="s">
        <v>1682</v>
      </c>
      <c r="C1718">
        <v>605</v>
      </c>
      <c r="D1718" t="str">
        <f t="shared" si="74"/>
        <v>278</v>
      </c>
    </row>
    <row r="1719" spans="1:4" x14ac:dyDescent="0.25">
      <c r="A1719" t="str">
        <f>"40513528"</f>
        <v>40513528</v>
      </c>
      <c r="B1719" t="s">
        <v>1683</v>
      </c>
      <c r="C1719">
        <v>605</v>
      </c>
      <c r="D1719" t="str">
        <f t="shared" si="74"/>
        <v>278</v>
      </c>
    </row>
    <row r="1720" spans="1:4" x14ac:dyDescent="0.25">
      <c r="A1720" t="str">
        <f>"40513529"</f>
        <v>40513529</v>
      </c>
      <c r="B1720" t="s">
        <v>1684</v>
      </c>
      <c r="C1720">
        <v>605</v>
      </c>
      <c r="D1720" t="str">
        <f t="shared" si="74"/>
        <v>278</v>
      </c>
    </row>
    <row r="1721" spans="1:4" x14ac:dyDescent="0.25">
      <c r="A1721" t="str">
        <f>"40513530"</f>
        <v>40513530</v>
      </c>
      <c r="B1721" t="s">
        <v>1685</v>
      </c>
      <c r="C1721" s="1">
        <v>8800</v>
      </c>
      <c r="D1721" t="str">
        <f t="shared" si="74"/>
        <v>278</v>
      </c>
    </row>
    <row r="1722" spans="1:4" x14ac:dyDescent="0.25">
      <c r="A1722" t="str">
        <f>"40513531"</f>
        <v>40513531</v>
      </c>
      <c r="B1722" t="s">
        <v>1686</v>
      </c>
      <c r="C1722" s="1">
        <v>5500</v>
      </c>
      <c r="D1722" t="str">
        <f t="shared" si="74"/>
        <v>278</v>
      </c>
    </row>
    <row r="1723" spans="1:4" x14ac:dyDescent="0.25">
      <c r="A1723" t="str">
        <f>"40513532"</f>
        <v>40513532</v>
      </c>
      <c r="B1723" t="s">
        <v>1687</v>
      </c>
      <c r="C1723">
        <v>605</v>
      </c>
      <c r="D1723" t="str">
        <f t="shared" si="74"/>
        <v>278</v>
      </c>
    </row>
    <row r="1724" spans="1:4" x14ac:dyDescent="0.25">
      <c r="A1724" t="str">
        <f>"40513533  "</f>
        <v xml:space="preserve">40513533  </v>
      </c>
      <c r="B1724" t="s">
        <v>1688</v>
      </c>
      <c r="C1724">
        <v>645.70000000000005</v>
      </c>
      <c r="D1724" t="str">
        <f t="shared" si="74"/>
        <v>278</v>
      </c>
    </row>
    <row r="1725" spans="1:4" x14ac:dyDescent="0.25">
      <c r="A1725" t="str">
        <f>"40513535"</f>
        <v>40513535</v>
      </c>
      <c r="B1725" t="s">
        <v>1689</v>
      </c>
      <c r="C1725" s="1">
        <v>8800</v>
      </c>
      <c r="D1725" t="str">
        <f t="shared" si="74"/>
        <v>278</v>
      </c>
    </row>
    <row r="1726" spans="1:4" x14ac:dyDescent="0.25">
      <c r="A1726" t="str">
        <f>"40513536"</f>
        <v>40513536</v>
      </c>
      <c r="B1726" t="s">
        <v>1690</v>
      </c>
      <c r="C1726" s="1">
        <v>1650</v>
      </c>
      <c r="D1726" t="str">
        <f t="shared" si="74"/>
        <v>278</v>
      </c>
    </row>
    <row r="1727" spans="1:4" x14ac:dyDescent="0.25">
      <c r="A1727" t="str">
        <f>"40513537"</f>
        <v>40513537</v>
      </c>
      <c r="B1727" t="s">
        <v>1691</v>
      </c>
      <c r="C1727" s="1">
        <v>7700</v>
      </c>
      <c r="D1727" t="str">
        <f t="shared" si="74"/>
        <v>278</v>
      </c>
    </row>
    <row r="1728" spans="1:4" x14ac:dyDescent="0.25">
      <c r="A1728" t="str">
        <f>"40513538"</f>
        <v>40513538</v>
      </c>
      <c r="B1728" t="s">
        <v>1692</v>
      </c>
      <c r="C1728" s="1">
        <v>3300</v>
      </c>
      <c r="D1728" t="str">
        <f t="shared" si="74"/>
        <v>278</v>
      </c>
    </row>
    <row r="1729" spans="1:4" x14ac:dyDescent="0.25">
      <c r="A1729" t="str">
        <f>"40513541  "</f>
        <v xml:space="preserve">40513541  </v>
      </c>
      <c r="B1729" t="s">
        <v>1693</v>
      </c>
      <c r="C1729">
        <v>658.9</v>
      </c>
      <c r="D1729" t="str">
        <f t="shared" si="74"/>
        <v>278</v>
      </c>
    </row>
    <row r="1730" spans="1:4" x14ac:dyDescent="0.25">
      <c r="A1730" t="str">
        <f>"40513566  "</f>
        <v xml:space="preserve">40513566  </v>
      </c>
      <c r="B1730" t="s">
        <v>1694</v>
      </c>
      <c r="C1730">
        <v>52.8</v>
      </c>
      <c r="D1730" t="str">
        <f t="shared" si="74"/>
        <v>278</v>
      </c>
    </row>
    <row r="1731" spans="1:4" x14ac:dyDescent="0.25">
      <c r="A1731" t="str">
        <f>"40513574  "</f>
        <v xml:space="preserve">40513574  </v>
      </c>
      <c r="B1731" t="s">
        <v>1338</v>
      </c>
      <c r="C1731">
        <v>82.5</v>
      </c>
      <c r="D1731" t="str">
        <f>"270"</f>
        <v>270</v>
      </c>
    </row>
    <row r="1732" spans="1:4" x14ac:dyDescent="0.25">
      <c r="A1732" t="str">
        <f>"40513582  "</f>
        <v xml:space="preserve">40513582  </v>
      </c>
      <c r="B1732" t="s">
        <v>1695</v>
      </c>
      <c r="C1732">
        <v>165</v>
      </c>
      <c r="D1732" t="str">
        <f>"270"</f>
        <v>270</v>
      </c>
    </row>
    <row r="1733" spans="1:4" x14ac:dyDescent="0.25">
      <c r="A1733" t="str">
        <f>"40513590  "</f>
        <v xml:space="preserve">40513590  </v>
      </c>
      <c r="B1733" t="s">
        <v>1696</v>
      </c>
      <c r="C1733">
        <v>57.2</v>
      </c>
      <c r="D1733" t="str">
        <f>"270"</f>
        <v>270</v>
      </c>
    </row>
    <row r="1734" spans="1:4" x14ac:dyDescent="0.25">
      <c r="A1734" t="str">
        <f>"40513600"</f>
        <v>40513600</v>
      </c>
      <c r="B1734" t="s">
        <v>1697</v>
      </c>
      <c r="C1734">
        <v>880</v>
      </c>
      <c r="D1734" t="str">
        <f t="shared" ref="D1734:D1744" si="75">"278"</f>
        <v>278</v>
      </c>
    </row>
    <row r="1735" spans="1:4" x14ac:dyDescent="0.25">
      <c r="A1735" t="str">
        <f>"40513601"</f>
        <v>40513601</v>
      </c>
      <c r="B1735" t="s">
        <v>1698</v>
      </c>
      <c r="C1735">
        <v>990</v>
      </c>
      <c r="D1735" t="str">
        <f t="shared" si="75"/>
        <v>278</v>
      </c>
    </row>
    <row r="1736" spans="1:4" x14ac:dyDescent="0.25">
      <c r="A1736" t="str">
        <f>"40513602"</f>
        <v>40513602</v>
      </c>
      <c r="B1736" t="s">
        <v>1699</v>
      </c>
      <c r="C1736" s="1">
        <v>2970</v>
      </c>
      <c r="D1736" t="str">
        <f t="shared" si="75"/>
        <v>278</v>
      </c>
    </row>
    <row r="1737" spans="1:4" x14ac:dyDescent="0.25">
      <c r="A1737" t="str">
        <f>"40513603"</f>
        <v>40513603</v>
      </c>
      <c r="B1737" t="s">
        <v>1700</v>
      </c>
      <c r="C1737">
        <v>88</v>
      </c>
      <c r="D1737" t="str">
        <f t="shared" si="75"/>
        <v>278</v>
      </c>
    </row>
    <row r="1738" spans="1:4" x14ac:dyDescent="0.25">
      <c r="A1738" t="str">
        <f>"40513604"</f>
        <v>40513604</v>
      </c>
      <c r="B1738" t="s">
        <v>1701</v>
      </c>
      <c r="C1738" s="1">
        <v>16500</v>
      </c>
      <c r="D1738" t="str">
        <f t="shared" si="75"/>
        <v>278</v>
      </c>
    </row>
    <row r="1739" spans="1:4" x14ac:dyDescent="0.25">
      <c r="A1739" t="str">
        <f>"40513610"</f>
        <v>40513610</v>
      </c>
      <c r="B1739" t="s">
        <v>1702</v>
      </c>
      <c r="C1739" s="1">
        <v>2860</v>
      </c>
      <c r="D1739" t="str">
        <f t="shared" si="75"/>
        <v>278</v>
      </c>
    </row>
    <row r="1740" spans="1:4" x14ac:dyDescent="0.25">
      <c r="A1740" t="str">
        <f>"40513611"</f>
        <v>40513611</v>
      </c>
      <c r="B1740" t="s">
        <v>1703</v>
      </c>
      <c r="C1740">
        <v>550</v>
      </c>
      <c r="D1740" t="str">
        <f t="shared" si="75"/>
        <v>278</v>
      </c>
    </row>
    <row r="1741" spans="1:4" x14ac:dyDescent="0.25">
      <c r="A1741" t="str">
        <f>"40513612"</f>
        <v>40513612</v>
      </c>
      <c r="B1741" t="s">
        <v>1704</v>
      </c>
      <c r="C1741">
        <v>550</v>
      </c>
      <c r="D1741" t="str">
        <f t="shared" si="75"/>
        <v>278</v>
      </c>
    </row>
    <row r="1742" spans="1:4" x14ac:dyDescent="0.25">
      <c r="A1742" t="str">
        <f>"40513613"</f>
        <v>40513613</v>
      </c>
      <c r="B1742" t="s">
        <v>1705</v>
      </c>
      <c r="C1742">
        <v>550</v>
      </c>
      <c r="D1742" t="str">
        <f t="shared" si="75"/>
        <v>278</v>
      </c>
    </row>
    <row r="1743" spans="1:4" x14ac:dyDescent="0.25">
      <c r="A1743" t="str">
        <f>"40513614"</f>
        <v>40513614</v>
      </c>
      <c r="B1743" t="s">
        <v>1706</v>
      </c>
      <c r="C1743">
        <v>550</v>
      </c>
      <c r="D1743" t="str">
        <f t="shared" si="75"/>
        <v>278</v>
      </c>
    </row>
    <row r="1744" spans="1:4" x14ac:dyDescent="0.25">
      <c r="A1744" t="str">
        <f>"40513615"</f>
        <v>40513615</v>
      </c>
      <c r="B1744" t="s">
        <v>1707</v>
      </c>
      <c r="C1744">
        <v>550</v>
      </c>
      <c r="D1744" t="str">
        <f t="shared" si="75"/>
        <v>278</v>
      </c>
    </row>
    <row r="1745" spans="1:4" x14ac:dyDescent="0.25">
      <c r="A1745" t="str">
        <f>"40513616  "</f>
        <v xml:space="preserve">40513616  </v>
      </c>
      <c r="B1745" t="s">
        <v>1708</v>
      </c>
      <c r="C1745">
        <v>303.60000000000002</v>
      </c>
      <c r="D1745" t="str">
        <f>"270"</f>
        <v>270</v>
      </c>
    </row>
    <row r="1746" spans="1:4" x14ac:dyDescent="0.25">
      <c r="A1746" t="str">
        <f>"40513624  "</f>
        <v xml:space="preserve">40513624  </v>
      </c>
      <c r="B1746" t="s">
        <v>1709</v>
      </c>
      <c r="C1746">
        <v>55</v>
      </c>
      <c r="D1746" t="str">
        <f>"270"</f>
        <v>270</v>
      </c>
    </row>
    <row r="1747" spans="1:4" x14ac:dyDescent="0.25">
      <c r="A1747" t="str">
        <f>"40513630"</f>
        <v>40513630</v>
      </c>
      <c r="B1747" t="s">
        <v>1710</v>
      </c>
      <c r="C1747" s="1">
        <v>6600</v>
      </c>
      <c r="D1747" t="str">
        <f>"278"</f>
        <v>278</v>
      </c>
    </row>
    <row r="1748" spans="1:4" x14ac:dyDescent="0.25">
      <c r="A1748" t="str">
        <f>"40513632  "</f>
        <v xml:space="preserve">40513632  </v>
      </c>
      <c r="B1748" t="s">
        <v>1711</v>
      </c>
      <c r="C1748">
        <v>78.099999999999994</v>
      </c>
      <c r="D1748" t="str">
        <f>"270"</f>
        <v>270</v>
      </c>
    </row>
    <row r="1749" spans="1:4" x14ac:dyDescent="0.25">
      <c r="A1749" t="str">
        <f>"40513673  "</f>
        <v xml:space="preserve">40513673  </v>
      </c>
      <c r="B1749" t="s">
        <v>1712</v>
      </c>
      <c r="C1749">
        <v>41.8</v>
      </c>
      <c r="D1749" t="str">
        <f>"270"</f>
        <v>270</v>
      </c>
    </row>
    <row r="1750" spans="1:4" x14ac:dyDescent="0.25">
      <c r="A1750" t="str">
        <f>"40513701"</f>
        <v>40513701</v>
      </c>
      <c r="B1750" t="s">
        <v>1713</v>
      </c>
      <c r="C1750">
        <v>550</v>
      </c>
      <c r="D1750" t="str">
        <f t="shared" ref="D1750:D1759" si="76">"278"</f>
        <v>278</v>
      </c>
    </row>
    <row r="1751" spans="1:4" x14ac:dyDescent="0.25">
      <c r="A1751" t="str">
        <f>"40513705"</f>
        <v>40513705</v>
      </c>
      <c r="B1751" t="s">
        <v>1714</v>
      </c>
      <c r="C1751" s="1">
        <v>1045</v>
      </c>
      <c r="D1751" t="str">
        <f t="shared" si="76"/>
        <v>278</v>
      </c>
    </row>
    <row r="1752" spans="1:4" x14ac:dyDescent="0.25">
      <c r="A1752" t="str">
        <f>"40513706"</f>
        <v>40513706</v>
      </c>
      <c r="B1752" t="s">
        <v>1715</v>
      </c>
      <c r="C1752" s="1">
        <v>2860</v>
      </c>
      <c r="D1752" t="str">
        <f t="shared" si="76"/>
        <v>278</v>
      </c>
    </row>
    <row r="1753" spans="1:4" x14ac:dyDescent="0.25">
      <c r="A1753" t="str">
        <f>"40513709"</f>
        <v>40513709</v>
      </c>
      <c r="B1753" t="s">
        <v>1716</v>
      </c>
      <c r="C1753" s="1">
        <v>6600</v>
      </c>
      <c r="D1753" t="str">
        <f t="shared" si="76"/>
        <v>278</v>
      </c>
    </row>
    <row r="1754" spans="1:4" x14ac:dyDescent="0.25">
      <c r="A1754" t="str">
        <f>"40513711"</f>
        <v>40513711</v>
      </c>
      <c r="B1754" t="s">
        <v>1717</v>
      </c>
      <c r="C1754" s="1">
        <v>2200</v>
      </c>
      <c r="D1754" t="str">
        <f t="shared" si="76"/>
        <v>278</v>
      </c>
    </row>
    <row r="1755" spans="1:4" x14ac:dyDescent="0.25">
      <c r="A1755" t="str">
        <f>"40513712"</f>
        <v>40513712</v>
      </c>
      <c r="B1755" t="s">
        <v>1718</v>
      </c>
      <c r="C1755" s="1">
        <v>2860</v>
      </c>
      <c r="D1755" t="str">
        <f t="shared" si="76"/>
        <v>278</v>
      </c>
    </row>
    <row r="1756" spans="1:4" x14ac:dyDescent="0.25">
      <c r="A1756" t="str">
        <f>"40513713"</f>
        <v>40513713</v>
      </c>
      <c r="B1756" t="s">
        <v>1719</v>
      </c>
      <c r="C1756">
        <v>440</v>
      </c>
      <c r="D1756" t="str">
        <f t="shared" si="76"/>
        <v>278</v>
      </c>
    </row>
    <row r="1757" spans="1:4" x14ac:dyDescent="0.25">
      <c r="A1757" t="str">
        <f>"40513714"</f>
        <v>40513714</v>
      </c>
      <c r="B1757" t="s">
        <v>1720</v>
      </c>
      <c r="C1757" s="1">
        <v>7700</v>
      </c>
      <c r="D1757" t="str">
        <f t="shared" si="76"/>
        <v>278</v>
      </c>
    </row>
    <row r="1758" spans="1:4" x14ac:dyDescent="0.25">
      <c r="A1758" t="str">
        <f>"40513720"</f>
        <v>40513720</v>
      </c>
      <c r="B1758" t="s">
        <v>1721</v>
      </c>
      <c r="C1758" s="1">
        <v>6050</v>
      </c>
      <c r="D1758" t="str">
        <f t="shared" si="76"/>
        <v>278</v>
      </c>
    </row>
    <row r="1759" spans="1:4" x14ac:dyDescent="0.25">
      <c r="A1759" t="str">
        <f>"40513721"</f>
        <v>40513721</v>
      </c>
      <c r="B1759" t="s">
        <v>1722</v>
      </c>
      <c r="C1759" s="1">
        <v>3850</v>
      </c>
      <c r="D1759" t="str">
        <f t="shared" si="76"/>
        <v>278</v>
      </c>
    </row>
    <row r="1760" spans="1:4" x14ac:dyDescent="0.25">
      <c r="A1760" t="str">
        <f>"40513723  "</f>
        <v xml:space="preserve">40513723  </v>
      </c>
      <c r="B1760" t="s">
        <v>1723</v>
      </c>
      <c r="C1760">
        <v>205.7</v>
      </c>
      <c r="D1760" t="str">
        <f>"270"</f>
        <v>270</v>
      </c>
    </row>
    <row r="1761" spans="1:4" x14ac:dyDescent="0.25">
      <c r="A1761" t="str">
        <f>"40513724"</f>
        <v>40513724</v>
      </c>
      <c r="B1761" t="s">
        <v>1724</v>
      </c>
      <c r="C1761" s="1">
        <v>3850</v>
      </c>
      <c r="D1761" t="str">
        <f t="shared" ref="D1761:D1767" si="77">"278"</f>
        <v>278</v>
      </c>
    </row>
    <row r="1762" spans="1:4" x14ac:dyDescent="0.25">
      <c r="A1762" t="str">
        <f>"40513725"</f>
        <v>40513725</v>
      </c>
      <c r="B1762" t="s">
        <v>1725</v>
      </c>
      <c r="C1762" s="1">
        <v>3850</v>
      </c>
      <c r="D1762" t="str">
        <f t="shared" si="77"/>
        <v>278</v>
      </c>
    </row>
    <row r="1763" spans="1:4" x14ac:dyDescent="0.25">
      <c r="A1763" t="str">
        <f>"40513726"</f>
        <v>40513726</v>
      </c>
      <c r="B1763" t="s">
        <v>1357</v>
      </c>
      <c r="C1763" s="1">
        <v>1320</v>
      </c>
      <c r="D1763" t="str">
        <f t="shared" si="77"/>
        <v>278</v>
      </c>
    </row>
    <row r="1764" spans="1:4" x14ac:dyDescent="0.25">
      <c r="A1764" t="str">
        <f>"40513727"</f>
        <v>40513727</v>
      </c>
      <c r="B1764" t="s">
        <v>1726</v>
      </c>
      <c r="C1764" s="1">
        <v>13200</v>
      </c>
      <c r="D1764" t="str">
        <f t="shared" si="77"/>
        <v>278</v>
      </c>
    </row>
    <row r="1765" spans="1:4" x14ac:dyDescent="0.25">
      <c r="A1765" t="str">
        <f>"40513728"</f>
        <v>40513728</v>
      </c>
      <c r="B1765" t="s">
        <v>1727</v>
      </c>
      <c r="C1765" s="1">
        <v>4400</v>
      </c>
      <c r="D1765" t="str">
        <f t="shared" si="77"/>
        <v>278</v>
      </c>
    </row>
    <row r="1766" spans="1:4" x14ac:dyDescent="0.25">
      <c r="A1766" t="str">
        <f>"40513729"</f>
        <v>40513729</v>
      </c>
      <c r="B1766" t="s">
        <v>1728</v>
      </c>
      <c r="C1766" s="1">
        <v>6600</v>
      </c>
      <c r="D1766" t="str">
        <f t="shared" si="77"/>
        <v>278</v>
      </c>
    </row>
    <row r="1767" spans="1:4" x14ac:dyDescent="0.25">
      <c r="A1767" t="str">
        <f>"40513730"</f>
        <v>40513730</v>
      </c>
      <c r="B1767" t="s">
        <v>1729</v>
      </c>
      <c r="C1767" s="1">
        <v>9790</v>
      </c>
      <c r="D1767" t="str">
        <f t="shared" si="77"/>
        <v>278</v>
      </c>
    </row>
    <row r="1768" spans="1:4" x14ac:dyDescent="0.25">
      <c r="A1768" t="str">
        <f>"40513731  "</f>
        <v xml:space="preserve">40513731  </v>
      </c>
      <c r="B1768" t="s">
        <v>1730</v>
      </c>
      <c r="C1768">
        <v>216.7</v>
      </c>
      <c r="D1768" t="str">
        <f>"271"</f>
        <v>271</v>
      </c>
    </row>
    <row r="1769" spans="1:4" x14ac:dyDescent="0.25">
      <c r="A1769" t="str">
        <f>"40513732"</f>
        <v>40513732</v>
      </c>
      <c r="B1769" t="s">
        <v>1731</v>
      </c>
      <c r="C1769">
        <v>990</v>
      </c>
      <c r="D1769" t="str">
        <f t="shared" ref="D1769:D1774" si="78">"278"</f>
        <v>278</v>
      </c>
    </row>
    <row r="1770" spans="1:4" x14ac:dyDescent="0.25">
      <c r="A1770" t="str">
        <f>"40513733"</f>
        <v>40513733</v>
      </c>
      <c r="B1770" t="s">
        <v>1732</v>
      </c>
      <c r="C1770" s="1">
        <v>1650</v>
      </c>
      <c r="D1770" t="str">
        <f t="shared" si="78"/>
        <v>278</v>
      </c>
    </row>
    <row r="1771" spans="1:4" x14ac:dyDescent="0.25">
      <c r="A1771" t="str">
        <f>"40513734"</f>
        <v>40513734</v>
      </c>
      <c r="B1771" t="s">
        <v>1733</v>
      </c>
      <c r="C1771">
        <v>693</v>
      </c>
      <c r="D1771" t="str">
        <f t="shared" si="78"/>
        <v>278</v>
      </c>
    </row>
    <row r="1772" spans="1:4" x14ac:dyDescent="0.25">
      <c r="A1772" t="str">
        <f>"40513735"</f>
        <v>40513735</v>
      </c>
      <c r="B1772" t="s">
        <v>1734</v>
      </c>
      <c r="C1772" s="1">
        <v>1650</v>
      </c>
      <c r="D1772" t="str">
        <f t="shared" si="78"/>
        <v>278</v>
      </c>
    </row>
    <row r="1773" spans="1:4" x14ac:dyDescent="0.25">
      <c r="A1773" t="str">
        <f>"40513736"</f>
        <v>40513736</v>
      </c>
      <c r="B1773" t="s">
        <v>1735</v>
      </c>
      <c r="C1773">
        <v>660</v>
      </c>
      <c r="D1773" t="str">
        <f t="shared" si="78"/>
        <v>278</v>
      </c>
    </row>
    <row r="1774" spans="1:4" x14ac:dyDescent="0.25">
      <c r="A1774" t="str">
        <f>"40513738"</f>
        <v>40513738</v>
      </c>
      <c r="B1774" t="s">
        <v>1736</v>
      </c>
      <c r="C1774" s="1">
        <v>1650</v>
      </c>
      <c r="D1774" t="str">
        <f t="shared" si="78"/>
        <v>278</v>
      </c>
    </row>
    <row r="1775" spans="1:4" x14ac:dyDescent="0.25">
      <c r="A1775" t="str">
        <f>"40513756  "</f>
        <v xml:space="preserve">40513756  </v>
      </c>
      <c r="B1775" t="s">
        <v>1737</v>
      </c>
      <c r="C1775">
        <v>40.700000000000003</v>
      </c>
      <c r="D1775" t="str">
        <f>"270"</f>
        <v>270</v>
      </c>
    </row>
    <row r="1776" spans="1:4" x14ac:dyDescent="0.25">
      <c r="A1776" t="str">
        <f>"40513764  "</f>
        <v xml:space="preserve">40513764  </v>
      </c>
      <c r="B1776" t="s">
        <v>1738</v>
      </c>
      <c r="C1776">
        <v>28.6</v>
      </c>
      <c r="D1776" t="str">
        <f>"278"</f>
        <v>278</v>
      </c>
    </row>
    <row r="1777" spans="1:4" x14ac:dyDescent="0.25">
      <c r="A1777" t="str">
        <f>"40513772  "</f>
        <v xml:space="preserve">40513772  </v>
      </c>
      <c r="B1777" t="s">
        <v>1739</v>
      </c>
      <c r="C1777">
        <v>61.6</v>
      </c>
      <c r="D1777" t="str">
        <f>"278"</f>
        <v>278</v>
      </c>
    </row>
    <row r="1778" spans="1:4" x14ac:dyDescent="0.25">
      <c r="A1778" t="str">
        <f>"40513798  "</f>
        <v xml:space="preserve">40513798  </v>
      </c>
      <c r="B1778" t="s">
        <v>1740</v>
      </c>
      <c r="C1778">
        <v>91.3</v>
      </c>
      <c r="D1778" t="str">
        <f>"278"</f>
        <v>278</v>
      </c>
    </row>
    <row r="1779" spans="1:4" x14ac:dyDescent="0.25">
      <c r="A1779" t="str">
        <f>"40513800"</f>
        <v>40513800</v>
      </c>
      <c r="B1779" t="s">
        <v>1741</v>
      </c>
      <c r="C1779" s="1">
        <v>2200</v>
      </c>
      <c r="D1779" t="str">
        <f>"270"</f>
        <v>270</v>
      </c>
    </row>
    <row r="1780" spans="1:4" x14ac:dyDescent="0.25">
      <c r="A1780" t="str">
        <f>"40513806  "</f>
        <v xml:space="preserve">40513806  </v>
      </c>
      <c r="B1780" t="s">
        <v>1742</v>
      </c>
      <c r="C1780">
        <v>50.6</v>
      </c>
      <c r="D1780" t="str">
        <f>"270"</f>
        <v>270</v>
      </c>
    </row>
    <row r="1781" spans="1:4" x14ac:dyDescent="0.25">
      <c r="A1781" t="str">
        <f>"40513822  "</f>
        <v xml:space="preserve">40513822  </v>
      </c>
      <c r="B1781" t="s">
        <v>1743</v>
      </c>
      <c r="C1781">
        <v>31.9</v>
      </c>
      <c r="D1781" t="str">
        <f>"270"</f>
        <v>270</v>
      </c>
    </row>
    <row r="1782" spans="1:4" x14ac:dyDescent="0.25">
      <c r="A1782" t="str">
        <f>"40513855  "</f>
        <v xml:space="preserve">40513855  </v>
      </c>
      <c r="B1782" t="s">
        <v>1744</v>
      </c>
      <c r="C1782">
        <v>25.3</v>
      </c>
      <c r="D1782" t="str">
        <f>"270"</f>
        <v>270</v>
      </c>
    </row>
    <row r="1783" spans="1:4" x14ac:dyDescent="0.25">
      <c r="A1783" t="str">
        <f>"40513871"</f>
        <v>40513871</v>
      </c>
      <c r="B1783" t="s">
        <v>1745</v>
      </c>
      <c r="C1783">
        <v>132</v>
      </c>
      <c r="D1783" t="str">
        <f>"270"</f>
        <v>270</v>
      </c>
    </row>
    <row r="1784" spans="1:4" x14ac:dyDescent="0.25">
      <c r="A1784" t="str">
        <f>"40513888"</f>
        <v>40513888</v>
      </c>
      <c r="B1784" t="s">
        <v>1746</v>
      </c>
      <c r="C1784" s="1">
        <v>2541</v>
      </c>
      <c r="D1784" t="str">
        <f>"278"</f>
        <v>278</v>
      </c>
    </row>
    <row r="1785" spans="1:4" x14ac:dyDescent="0.25">
      <c r="A1785" t="str">
        <f>"40513899"</f>
        <v>40513899</v>
      </c>
      <c r="B1785" t="s">
        <v>1747</v>
      </c>
      <c r="C1785">
        <v>354.2</v>
      </c>
      <c r="D1785" t="str">
        <f>"270"</f>
        <v>270</v>
      </c>
    </row>
    <row r="1786" spans="1:4" x14ac:dyDescent="0.25">
      <c r="A1786" t="str">
        <f>"40513901"</f>
        <v>40513901</v>
      </c>
      <c r="B1786" t="s">
        <v>1748</v>
      </c>
      <c r="C1786" s="1">
        <v>1760</v>
      </c>
      <c r="D1786" t="str">
        <f>"278"</f>
        <v>278</v>
      </c>
    </row>
    <row r="1787" spans="1:4" x14ac:dyDescent="0.25">
      <c r="A1787" t="str">
        <f>"40513905  "</f>
        <v xml:space="preserve">40513905  </v>
      </c>
      <c r="B1787" t="s">
        <v>1749</v>
      </c>
      <c r="C1787">
        <v>45.1</v>
      </c>
      <c r="D1787" t="str">
        <f>"270"</f>
        <v>270</v>
      </c>
    </row>
    <row r="1788" spans="1:4" x14ac:dyDescent="0.25">
      <c r="A1788" t="str">
        <f>"40513910"</f>
        <v>40513910</v>
      </c>
      <c r="B1788" t="s">
        <v>1750</v>
      </c>
      <c r="C1788">
        <v>385</v>
      </c>
      <c r="D1788" t="str">
        <f t="shared" ref="D1788:D1795" si="79">"278"</f>
        <v>278</v>
      </c>
    </row>
    <row r="1789" spans="1:4" x14ac:dyDescent="0.25">
      <c r="A1789" t="str">
        <f>"40513911"</f>
        <v>40513911</v>
      </c>
      <c r="B1789" t="s">
        <v>1751</v>
      </c>
      <c r="C1789" s="1">
        <v>7480</v>
      </c>
      <c r="D1789" t="str">
        <f t="shared" si="79"/>
        <v>278</v>
      </c>
    </row>
    <row r="1790" spans="1:4" x14ac:dyDescent="0.25">
      <c r="A1790" t="str">
        <f>"40513912"</f>
        <v>40513912</v>
      </c>
      <c r="B1790" t="s">
        <v>1752</v>
      </c>
      <c r="C1790" s="1">
        <v>15400</v>
      </c>
      <c r="D1790" t="str">
        <f t="shared" si="79"/>
        <v>278</v>
      </c>
    </row>
    <row r="1791" spans="1:4" x14ac:dyDescent="0.25">
      <c r="A1791" t="str">
        <f>"40513913  "</f>
        <v xml:space="preserve">40513913  </v>
      </c>
      <c r="B1791" t="s">
        <v>1753</v>
      </c>
      <c r="C1791">
        <v>763.4</v>
      </c>
      <c r="D1791" t="str">
        <f t="shared" si="79"/>
        <v>278</v>
      </c>
    </row>
    <row r="1792" spans="1:4" x14ac:dyDescent="0.25">
      <c r="A1792" t="str">
        <f>"40513916"</f>
        <v>40513916</v>
      </c>
      <c r="B1792" t="s">
        <v>1754</v>
      </c>
      <c r="C1792" s="1">
        <v>15950</v>
      </c>
      <c r="D1792" t="str">
        <f t="shared" si="79"/>
        <v>278</v>
      </c>
    </row>
    <row r="1793" spans="1:4" x14ac:dyDescent="0.25">
      <c r="A1793" t="str">
        <f>"40513917"</f>
        <v>40513917</v>
      </c>
      <c r="B1793" t="s">
        <v>1752</v>
      </c>
      <c r="C1793" s="1">
        <v>15400</v>
      </c>
      <c r="D1793" t="str">
        <f t="shared" si="79"/>
        <v>278</v>
      </c>
    </row>
    <row r="1794" spans="1:4" x14ac:dyDescent="0.25">
      <c r="A1794" t="str">
        <f>"40513918"</f>
        <v>40513918</v>
      </c>
      <c r="B1794" t="s">
        <v>1521</v>
      </c>
      <c r="C1794">
        <v>495</v>
      </c>
      <c r="D1794" t="str">
        <f t="shared" si="79"/>
        <v>278</v>
      </c>
    </row>
    <row r="1795" spans="1:4" x14ac:dyDescent="0.25">
      <c r="A1795" t="str">
        <f>"40513921  "</f>
        <v xml:space="preserve">40513921  </v>
      </c>
      <c r="B1795" t="s">
        <v>1755</v>
      </c>
      <c r="C1795">
        <v>539</v>
      </c>
      <c r="D1795" t="str">
        <f t="shared" si="79"/>
        <v>278</v>
      </c>
    </row>
    <row r="1796" spans="1:4" x14ac:dyDescent="0.25">
      <c r="A1796" t="str">
        <f>"40513939  "</f>
        <v xml:space="preserve">40513939  </v>
      </c>
      <c r="B1796" t="s">
        <v>1756</v>
      </c>
      <c r="C1796">
        <v>201.3</v>
      </c>
      <c r="D1796" t="str">
        <f>"270"</f>
        <v>270</v>
      </c>
    </row>
    <row r="1797" spans="1:4" x14ac:dyDescent="0.25">
      <c r="A1797" t="str">
        <f>"40513947  "</f>
        <v xml:space="preserve">40513947  </v>
      </c>
      <c r="B1797" t="s">
        <v>1757</v>
      </c>
      <c r="C1797">
        <v>26.4</v>
      </c>
      <c r="D1797" t="str">
        <f>"270"</f>
        <v>270</v>
      </c>
    </row>
    <row r="1798" spans="1:4" x14ac:dyDescent="0.25">
      <c r="A1798" t="str">
        <f>"40513962  "</f>
        <v xml:space="preserve">40513962  </v>
      </c>
      <c r="B1798" t="s">
        <v>1758</v>
      </c>
      <c r="C1798">
        <v>58.3</v>
      </c>
      <c r="D1798" t="str">
        <f>"270"</f>
        <v>270</v>
      </c>
    </row>
    <row r="1799" spans="1:4" x14ac:dyDescent="0.25">
      <c r="A1799" t="str">
        <f>"40513970  "</f>
        <v xml:space="preserve">40513970  </v>
      </c>
      <c r="B1799" t="s">
        <v>1759</v>
      </c>
      <c r="C1799">
        <v>508.2</v>
      </c>
      <c r="D1799" t="str">
        <f>"278"</f>
        <v>278</v>
      </c>
    </row>
    <row r="1800" spans="1:4" x14ac:dyDescent="0.25">
      <c r="A1800" t="str">
        <f>"40513996  "</f>
        <v xml:space="preserve">40513996  </v>
      </c>
      <c r="B1800" t="s">
        <v>1760</v>
      </c>
      <c r="C1800">
        <v>78.099999999999994</v>
      </c>
      <c r="D1800" t="str">
        <f>"270"</f>
        <v>270</v>
      </c>
    </row>
    <row r="1801" spans="1:4" x14ac:dyDescent="0.25">
      <c r="A1801" t="str">
        <f>"40514000"</f>
        <v>40514000</v>
      </c>
      <c r="B1801" t="s">
        <v>1761</v>
      </c>
      <c r="C1801" s="1">
        <v>1650</v>
      </c>
      <c r="D1801" t="str">
        <f>"278"</f>
        <v>278</v>
      </c>
    </row>
    <row r="1802" spans="1:4" x14ac:dyDescent="0.25">
      <c r="A1802" t="str">
        <f>"40514002  "</f>
        <v xml:space="preserve">40514002  </v>
      </c>
      <c r="B1802" t="s">
        <v>1762</v>
      </c>
      <c r="C1802">
        <v>13.2</v>
      </c>
      <c r="D1802" t="str">
        <f>"270"</f>
        <v>270</v>
      </c>
    </row>
    <row r="1803" spans="1:4" x14ac:dyDescent="0.25">
      <c r="A1803" t="str">
        <f>"40514010"</f>
        <v>40514010</v>
      </c>
      <c r="B1803" t="s">
        <v>1763</v>
      </c>
      <c r="C1803" s="1">
        <v>4950</v>
      </c>
      <c r="D1803" t="str">
        <f>"278"</f>
        <v>278</v>
      </c>
    </row>
    <row r="1804" spans="1:4" x14ac:dyDescent="0.25">
      <c r="A1804" t="str">
        <f>"40514011"</f>
        <v>40514011</v>
      </c>
      <c r="B1804" t="s">
        <v>1764</v>
      </c>
      <c r="C1804" s="1">
        <v>4950</v>
      </c>
      <c r="D1804" t="str">
        <f>"278"</f>
        <v>278</v>
      </c>
    </row>
    <row r="1805" spans="1:4" x14ac:dyDescent="0.25">
      <c r="A1805" t="str">
        <f>"40514012"</f>
        <v>40514012</v>
      </c>
      <c r="B1805" t="s">
        <v>1765</v>
      </c>
      <c r="C1805" s="1">
        <v>4950</v>
      </c>
      <c r="D1805" t="str">
        <f>"278"</f>
        <v>278</v>
      </c>
    </row>
    <row r="1806" spans="1:4" x14ac:dyDescent="0.25">
      <c r="A1806" t="str">
        <f>"40514013"</f>
        <v>40514013</v>
      </c>
      <c r="B1806" t="s">
        <v>1766</v>
      </c>
      <c r="C1806" s="1">
        <v>4950</v>
      </c>
      <c r="D1806" t="str">
        <f>"278"</f>
        <v>278</v>
      </c>
    </row>
    <row r="1807" spans="1:4" x14ac:dyDescent="0.25">
      <c r="A1807" t="str">
        <f>"40514015"</f>
        <v>40514015</v>
      </c>
      <c r="B1807" t="s">
        <v>1767</v>
      </c>
      <c r="C1807">
        <v>220</v>
      </c>
      <c r="D1807" t="str">
        <f>"270"</f>
        <v>270</v>
      </c>
    </row>
    <row r="1808" spans="1:4" x14ac:dyDescent="0.25">
      <c r="A1808" t="str">
        <f>"40514016"</f>
        <v>40514016</v>
      </c>
      <c r="B1808" t="s">
        <v>1768</v>
      </c>
      <c r="C1808">
        <v>770</v>
      </c>
      <c r="D1808" t="str">
        <f t="shared" ref="D1808:D1825" si="80">"278"</f>
        <v>278</v>
      </c>
    </row>
    <row r="1809" spans="1:4" x14ac:dyDescent="0.25">
      <c r="A1809" t="str">
        <f>"40514017"</f>
        <v>40514017</v>
      </c>
      <c r="B1809" t="s">
        <v>1769</v>
      </c>
      <c r="C1809">
        <v>770</v>
      </c>
      <c r="D1809" t="str">
        <f t="shared" si="80"/>
        <v>278</v>
      </c>
    </row>
    <row r="1810" spans="1:4" x14ac:dyDescent="0.25">
      <c r="A1810" t="str">
        <f>"40514018"</f>
        <v>40514018</v>
      </c>
      <c r="B1810" t="s">
        <v>1770</v>
      </c>
      <c r="C1810">
        <v>770</v>
      </c>
      <c r="D1810" t="str">
        <f t="shared" si="80"/>
        <v>278</v>
      </c>
    </row>
    <row r="1811" spans="1:4" x14ac:dyDescent="0.25">
      <c r="A1811" t="str">
        <f>"40514019"</f>
        <v>40514019</v>
      </c>
      <c r="B1811" t="s">
        <v>1771</v>
      </c>
      <c r="C1811" s="1">
        <v>7700</v>
      </c>
      <c r="D1811" t="str">
        <f t="shared" si="80"/>
        <v>278</v>
      </c>
    </row>
    <row r="1812" spans="1:4" x14ac:dyDescent="0.25">
      <c r="A1812" t="str">
        <f>"40514020"</f>
        <v>40514020</v>
      </c>
      <c r="B1812" t="s">
        <v>1772</v>
      </c>
      <c r="C1812">
        <v>286</v>
      </c>
      <c r="D1812" t="str">
        <f t="shared" si="80"/>
        <v>278</v>
      </c>
    </row>
    <row r="1813" spans="1:4" x14ac:dyDescent="0.25">
      <c r="A1813" t="str">
        <f>"40514021"</f>
        <v>40514021</v>
      </c>
      <c r="B1813" t="s">
        <v>1773</v>
      </c>
      <c r="C1813">
        <v>286</v>
      </c>
      <c r="D1813" t="str">
        <f t="shared" si="80"/>
        <v>278</v>
      </c>
    </row>
    <row r="1814" spans="1:4" x14ac:dyDescent="0.25">
      <c r="A1814" t="str">
        <f>"40514022"</f>
        <v>40514022</v>
      </c>
      <c r="B1814" t="s">
        <v>1774</v>
      </c>
      <c r="C1814">
        <v>286</v>
      </c>
      <c r="D1814" t="str">
        <f t="shared" si="80"/>
        <v>278</v>
      </c>
    </row>
    <row r="1815" spans="1:4" x14ac:dyDescent="0.25">
      <c r="A1815" t="str">
        <f>"40514023"</f>
        <v>40514023</v>
      </c>
      <c r="B1815" t="s">
        <v>1775</v>
      </c>
      <c r="C1815">
        <v>286</v>
      </c>
      <c r="D1815" t="str">
        <f t="shared" si="80"/>
        <v>278</v>
      </c>
    </row>
    <row r="1816" spans="1:4" x14ac:dyDescent="0.25">
      <c r="A1816" t="str">
        <f>"40514024"</f>
        <v>40514024</v>
      </c>
      <c r="B1816" t="s">
        <v>1776</v>
      </c>
      <c r="C1816">
        <v>935</v>
      </c>
      <c r="D1816" t="str">
        <f t="shared" si="80"/>
        <v>278</v>
      </c>
    </row>
    <row r="1817" spans="1:4" x14ac:dyDescent="0.25">
      <c r="A1817" t="str">
        <f>"40514025"</f>
        <v>40514025</v>
      </c>
      <c r="B1817" t="s">
        <v>1777</v>
      </c>
      <c r="C1817">
        <v>935</v>
      </c>
      <c r="D1817" t="str">
        <f t="shared" si="80"/>
        <v>278</v>
      </c>
    </row>
    <row r="1818" spans="1:4" x14ac:dyDescent="0.25">
      <c r="A1818" t="str">
        <f>"40514026"</f>
        <v>40514026</v>
      </c>
      <c r="B1818" t="s">
        <v>1778</v>
      </c>
      <c r="C1818">
        <v>825</v>
      </c>
      <c r="D1818" t="str">
        <f t="shared" si="80"/>
        <v>278</v>
      </c>
    </row>
    <row r="1819" spans="1:4" x14ac:dyDescent="0.25">
      <c r="A1819" t="str">
        <f>"40514027"</f>
        <v>40514027</v>
      </c>
      <c r="B1819" t="s">
        <v>1779</v>
      </c>
      <c r="C1819">
        <v>825</v>
      </c>
      <c r="D1819" t="str">
        <f t="shared" si="80"/>
        <v>278</v>
      </c>
    </row>
    <row r="1820" spans="1:4" x14ac:dyDescent="0.25">
      <c r="A1820" t="str">
        <f>"40514030"</f>
        <v>40514030</v>
      </c>
      <c r="B1820" t="s">
        <v>1780</v>
      </c>
      <c r="C1820">
        <v>825</v>
      </c>
      <c r="D1820" t="str">
        <f t="shared" si="80"/>
        <v>278</v>
      </c>
    </row>
    <row r="1821" spans="1:4" x14ac:dyDescent="0.25">
      <c r="A1821" t="str">
        <f>"40514031"</f>
        <v>40514031</v>
      </c>
      <c r="B1821" t="s">
        <v>1781</v>
      </c>
      <c r="C1821">
        <v>825</v>
      </c>
      <c r="D1821" t="str">
        <f t="shared" si="80"/>
        <v>278</v>
      </c>
    </row>
    <row r="1822" spans="1:4" x14ac:dyDescent="0.25">
      <c r="A1822" t="str">
        <f>"40514032"</f>
        <v>40514032</v>
      </c>
      <c r="B1822" t="s">
        <v>1782</v>
      </c>
      <c r="C1822">
        <v>528</v>
      </c>
      <c r="D1822" t="str">
        <f t="shared" si="80"/>
        <v>278</v>
      </c>
    </row>
    <row r="1823" spans="1:4" x14ac:dyDescent="0.25">
      <c r="A1823" t="str">
        <f>"40514033"</f>
        <v>40514033</v>
      </c>
      <c r="B1823" t="s">
        <v>1783</v>
      </c>
      <c r="C1823">
        <v>715</v>
      </c>
      <c r="D1823" t="str">
        <f t="shared" si="80"/>
        <v>278</v>
      </c>
    </row>
    <row r="1824" spans="1:4" x14ac:dyDescent="0.25">
      <c r="A1824" t="str">
        <f>"40514034"</f>
        <v>40514034</v>
      </c>
      <c r="B1824" t="s">
        <v>1784</v>
      </c>
      <c r="C1824">
        <v>880</v>
      </c>
      <c r="D1824" t="str">
        <f t="shared" si="80"/>
        <v>278</v>
      </c>
    </row>
    <row r="1825" spans="1:4" x14ac:dyDescent="0.25">
      <c r="A1825" t="str">
        <f>"40514035"</f>
        <v>40514035</v>
      </c>
      <c r="B1825" t="s">
        <v>1785</v>
      </c>
      <c r="C1825" s="1">
        <v>7700</v>
      </c>
      <c r="D1825" t="str">
        <f t="shared" si="80"/>
        <v>278</v>
      </c>
    </row>
    <row r="1826" spans="1:4" x14ac:dyDescent="0.25">
      <c r="A1826" t="str">
        <f>"40514036  "</f>
        <v xml:space="preserve">40514036  </v>
      </c>
      <c r="B1826" t="s">
        <v>1786</v>
      </c>
      <c r="C1826">
        <v>59.4</v>
      </c>
      <c r="D1826" t="str">
        <f>"270"</f>
        <v>270</v>
      </c>
    </row>
    <row r="1827" spans="1:4" x14ac:dyDescent="0.25">
      <c r="A1827" t="str">
        <f>"40514037"</f>
        <v>40514037</v>
      </c>
      <c r="B1827" t="s">
        <v>1787</v>
      </c>
      <c r="C1827" s="1">
        <v>4235</v>
      </c>
      <c r="D1827" t="str">
        <f t="shared" ref="D1827:D1837" si="81">"278"</f>
        <v>278</v>
      </c>
    </row>
    <row r="1828" spans="1:4" x14ac:dyDescent="0.25">
      <c r="A1828" t="str">
        <f>"40514038"</f>
        <v>40514038</v>
      </c>
      <c r="B1828" t="s">
        <v>1788</v>
      </c>
      <c r="C1828" s="1">
        <v>3520</v>
      </c>
      <c r="D1828" t="str">
        <f t="shared" si="81"/>
        <v>278</v>
      </c>
    </row>
    <row r="1829" spans="1:4" x14ac:dyDescent="0.25">
      <c r="A1829" t="str">
        <f>"40514039"</f>
        <v>40514039</v>
      </c>
      <c r="B1829" t="s">
        <v>1361</v>
      </c>
      <c r="C1829" s="1">
        <v>1100</v>
      </c>
      <c r="D1829" t="str">
        <f t="shared" si="81"/>
        <v>278</v>
      </c>
    </row>
    <row r="1830" spans="1:4" x14ac:dyDescent="0.25">
      <c r="A1830" t="str">
        <f>"40514040"</f>
        <v>40514040</v>
      </c>
      <c r="B1830" t="s">
        <v>1789</v>
      </c>
      <c r="C1830" s="1">
        <v>2750</v>
      </c>
      <c r="D1830" t="str">
        <f t="shared" si="81"/>
        <v>278</v>
      </c>
    </row>
    <row r="1831" spans="1:4" x14ac:dyDescent="0.25">
      <c r="A1831" t="str">
        <f>"40514041"</f>
        <v>40514041</v>
      </c>
      <c r="B1831" t="s">
        <v>1790</v>
      </c>
      <c r="C1831" s="1">
        <v>9900</v>
      </c>
      <c r="D1831" t="str">
        <f t="shared" si="81"/>
        <v>278</v>
      </c>
    </row>
    <row r="1832" spans="1:4" x14ac:dyDescent="0.25">
      <c r="A1832" t="str">
        <f>"40514045"</f>
        <v>40514045</v>
      </c>
      <c r="B1832" t="s">
        <v>1791</v>
      </c>
      <c r="C1832" s="1">
        <v>4620</v>
      </c>
      <c r="D1832" t="str">
        <f t="shared" si="81"/>
        <v>278</v>
      </c>
    </row>
    <row r="1833" spans="1:4" x14ac:dyDescent="0.25">
      <c r="A1833" t="str">
        <f>"40514046"</f>
        <v>40514046</v>
      </c>
      <c r="B1833" t="s">
        <v>1792</v>
      </c>
      <c r="C1833" s="1">
        <v>4620</v>
      </c>
      <c r="D1833" t="str">
        <f t="shared" si="81"/>
        <v>278</v>
      </c>
    </row>
    <row r="1834" spans="1:4" x14ac:dyDescent="0.25">
      <c r="A1834" t="str">
        <f>"40514047"</f>
        <v>40514047</v>
      </c>
      <c r="B1834" t="s">
        <v>1793</v>
      </c>
      <c r="C1834" s="1">
        <v>7590</v>
      </c>
      <c r="D1834" t="str">
        <f t="shared" si="81"/>
        <v>278</v>
      </c>
    </row>
    <row r="1835" spans="1:4" x14ac:dyDescent="0.25">
      <c r="A1835" t="str">
        <f>"40514048"</f>
        <v>40514048</v>
      </c>
      <c r="B1835" t="s">
        <v>1794</v>
      </c>
      <c r="C1835" s="1">
        <v>4620</v>
      </c>
      <c r="D1835" t="str">
        <f t="shared" si="81"/>
        <v>278</v>
      </c>
    </row>
    <row r="1836" spans="1:4" x14ac:dyDescent="0.25">
      <c r="A1836" t="str">
        <f>"40514049"</f>
        <v>40514049</v>
      </c>
      <c r="B1836" t="s">
        <v>1795</v>
      </c>
      <c r="C1836" s="1">
        <v>4620</v>
      </c>
      <c r="D1836" t="str">
        <f t="shared" si="81"/>
        <v>278</v>
      </c>
    </row>
    <row r="1837" spans="1:4" x14ac:dyDescent="0.25">
      <c r="A1837" t="str">
        <f>"40514050"</f>
        <v>40514050</v>
      </c>
      <c r="B1837" t="s">
        <v>1796</v>
      </c>
      <c r="C1837" s="1">
        <v>4620</v>
      </c>
      <c r="D1837" t="str">
        <f t="shared" si="81"/>
        <v>278</v>
      </c>
    </row>
    <row r="1838" spans="1:4" x14ac:dyDescent="0.25">
      <c r="A1838" t="str">
        <f>"40514051  "</f>
        <v xml:space="preserve">40514051  </v>
      </c>
      <c r="B1838" t="s">
        <v>1797</v>
      </c>
      <c r="C1838">
        <v>7.7</v>
      </c>
      <c r="D1838" t="str">
        <f>"270"</f>
        <v>270</v>
      </c>
    </row>
    <row r="1839" spans="1:4" x14ac:dyDescent="0.25">
      <c r="A1839" t="str">
        <f>"40514054"</f>
        <v>40514054</v>
      </c>
      <c r="B1839" t="s">
        <v>1798</v>
      </c>
      <c r="C1839" s="1">
        <v>16500</v>
      </c>
      <c r="D1839" t="str">
        <f t="shared" ref="D1839:D1846" si="82">"278"</f>
        <v>278</v>
      </c>
    </row>
    <row r="1840" spans="1:4" x14ac:dyDescent="0.25">
      <c r="A1840" t="str">
        <f>"40514056"</f>
        <v>40514056</v>
      </c>
      <c r="B1840" t="s">
        <v>1799</v>
      </c>
      <c r="C1840" s="1">
        <v>13200</v>
      </c>
      <c r="D1840" t="str">
        <f t="shared" si="82"/>
        <v>278</v>
      </c>
    </row>
    <row r="1841" spans="1:4" x14ac:dyDescent="0.25">
      <c r="A1841" t="str">
        <f>"40514057"</f>
        <v>40514057</v>
      </c>
      <c r="B1841" t="s">
        <v>1800</v>
      </c>
      <c r="C1841" s="1">
        <v>4730</v>
      </c>
      <c r="D1841" t="str">
        <f t="shared" si="82"/>
        <v>278</v>
      </c>
    </row>
    <row r="1842" spans="1:4" x14ac:dyDescent="0.25">
      <c r="A1842" t="str">
        <f>"40514058"</f>
        <v>40514058</v>
      </c>
      <c r="B1842" t="s">
        <v>1801</v>
      </c>
      <c r="C1842" s="1">
        <v>4730</v>
      </c>
      <c r="D1842" t="str">
        <f t="shared" si="82"/>
        <v>278</v>
      </c>
    </row>
    <row r="1843" spans="1:4" x14ac:dyDescent="0.25">
      <c r="A1843" t="str">
        <f>"40514059"</f>
        <v>40514059</v>
      </c>
      <c r="B1843" t="s">
        <v>1802</v>
      </c>
      <c r="C1843" s="1">
        <v>4730</v>
      </c>
      <c r="D1843" t="str">
        <f t="shared" si="82"/>
        <v>278</v>
      </c>
    </row>
    <row r="1844" spans="1:4" x14ac:dyDescent="0.25">
      <c r="A1844" t="str">
        <f>"40514060"</f>
        <v>40514060</v>
      </c>
      <c r="B1844" t="s">
        <v>1800</v>
      </c>
      <c r="C1844" s="1">
        <v>4730</v>
      </c>
      <c r="D1844" t="str">
        <f t="shared" si="82"/>
        <v>278</v>
      </c>
    </row>
    <row r="1845" spans="1:4" x14ac:dyDescent="0.25">
      <c r="A1845" t="str">
        <f>"40514150  "</f>
        <v xml:space="preserve">40514150  </v>
      </c>
      <c r="B1845" t="s">
        <v>1803</v>
      </c>
      <c r="C1845">
        <v>363</v>
      </c>
      <c r="D1845" t="str">
        <f t="shared" si="82"/>
        <v>278</v>
      </c>
    </row>
    <row r="1846" spans="1:4" x14ac:dyDescent="0.25">
      <c r="A1846" t="str">
        <f>"40514200  "</f>
        <v xml:space="preserve">40514200  </v>
      </c>
      <c r="B1846" t="s">
        <v>1804</v>
      </c>
      <c r="C1846">
        <v>363</v>
      </c>
      <c r="D1846" t="str">
        <f t="shared" si="82"/>
        <v>278</v>
      </c>
    </row>
    <row r="1847" spans="1:4" x14ac:dyDescent="0.25">
      <c r="A1847" t="str">
        <f>"40514226  "</f>
        <v xml:space="preserve">40514226  </v>
      </c>
      <c r="B1847" t="s">
        <v>1805</v>
      </c>
      <c r="C1847">
        <v>28.6</v>
      </c>
      <c r="D1847" t="str">
        <f t="shared" ref="D1847:D1854" si="83">"270"</f>
        <v>270</v>
      </c>
    </row>
    <row r="1848" spans="1:4" x14ac:dyDescent="0.25">
      <c r="A1848" t="str">
        <f>"40514259  "</f>
        <v xml:space="preserve">40514259  </v>
      </c>
      <c r="B1848" t="s">
        <v>1806</v>
      </c>
      <c r="C1848">
        <v>14.3</v>
      </c>
      <c r="D1848" t="str">
        <f t="shared" si="83"/>
        <v>270</v>
      </c>
    </row>
    <row r="1849" spans="1:4" x14ac:dyDescent="0.25">
      <c r="A1849" t="str">
        <f>"40514267"</f>
        <v>40514267</v>
      </c>
      <c r="B1849" t="s">
        <v>1807</v>
      </c>
      <c r="C1849">
        <v>869</v>
      </c>
      <c r="D1849" t="str">
        <f t="shared" si="83"/>
        <v>270</v>
      </c>
    </row>
    <row r="1850" spans="1:4" x14ac:dyDescent="0.25">
      <c r="A1850" t="str">
        <f>"40514275"</f>
        <v>40514275</v>
      </c>
      <c r="B1850" t="s">
        <v>1808</v>
      </c>
      <c r="C1850">
        <v>506</v>
      </c>
      <c r="D1850" t="str">
        <f t="shared" si="83"/>
        <v>270</v>
      </c>
    </row>
    <row r="1851" spans="1:4" x14ac:dyDescent="0.25">
      <c r="A1851" t="str">
        <f>"40514283"</f>
        <v>40514283</v>
      </c>
      <c r="B1851" t="s">
        <v>1809</v>
      </c>
      <c r="C1851">
        <v>877.8</v>
      </c>
      <c r="D1851" t="str">
        <f t="shared" si="83"/>
        <v>270</v>
      </c>
    </row>
    <row r="1852" spans="1:4" x14ac:dyDescent="0.25">
      <c r="A1852" t="str">
        <f>"40514290"</f>
        <v>40514290</v>
      </c>
      <c r="B1852" t="s">
        <v>1810</v>
      </c>
      <c r="C1852">
        <v>443.3</v>
      </c>
      <c r="D1852" t="str">
        <f t="shared" si="83"/>
        <v>270</v>
      </c>
    </row>
    <row r="1853" spans="1:4" x14ac:dyDescent="0.25">
      <c r="A1853" t="str">
        <f>"40514309  "</f>
        <v xml:space="preserve">40514309  </v>
      </c>
      <c r="B1853" t="s">
        <v>1811</v>
      </c>
      <c r="C1853">
        <v>25.3</v>
      </c>
      <c r="D1853" t="str">
        <f t="shared" si="83"/>
        <v>270</v>
      </c>
    </row>
    <row r="1854" spans="1:4" x14ac:dyDescent="0.25">
      <c r="A1854" t="str">
        <f>"40514317  "</f>
        <v xml:space="preserve">40514317  </v>
      </c>
      <c r="B1854" t="s">
        <v>1812</v>
      </c>
      <c r="C1854">
        <v>564.29999999999995</v>
      </c>
      <c r="D1854" t="str">
        <f t="shared" si="83"/>
        <v>270</v>
      </c>
    </row>
    <row r="1855" spans="1:4" x14ac:dyDescent="0.25">
      <c r="A1855" t="str">
        <f>"40514333  "</f>
        <v xml:space="preserve">40514333  </v>
      </c>
      <c r="B1855" t="s">
        <v>1813</v>
      </c>
      <c r="C1855" s="1">
        <v>8141.1</v>
      </c>
      <c r="D1855" t="str">
        <f>"278"</f>
        <v>278</v>
      </c>
    </row>
    <row r="1856" spans="1:4" x14ac:dyDescent="0.25">
      <c r="A1856" t="str">
        <f>"40514341  "</f>
        <v xml:space="preserve">40514341  </v>
      </c>
      <c r="B1856" t="s">
        <v>1814</v>
      </c>
      <c r="C1856" s="1">
        <v>2557.5</v>
      </c>
      <c r="D1856" t="str">
        <f t="shared" ref="D1856:D1863" si="84">"270"</f>
        <v>270</v>
      </c>
    </row>
    <row r="1857" spans="1:4" x14ac:dyDescent="0.25">
      <c r="A1857" t="str">
        <f>"40514358  "</f>
        <v xml:space="preserve">40514358  </v>
      </c>
      <c r="B1857" t="s">
        <v>1815</v>
      </c>
      <c r="C1857">
        <v>51.7</v>
      </c>
      <c r="D1857" t="str">
        <f t="shared" si="84"/>
        <v>270</v>
      </c>
    </row>
    <row r="1858" spans="1:4" x14ac:dyDescent="0.25">
      <c r="A1858" t="str">
        <f>"40514366  "</f>
        <v xml:space="preserve">40514366  </v>
      </c>
      <c r="B1858" t="s">
        <v>1816</v>
      </c>
      <c r="C1858">
        <v>24.2</v>
      </c>
      <c r="D1858" t="str">
        <f t="shared" si="84"/>
        <v>270</v>
      </c>
    </row>
    <row r="1859" spans="1:4" x14ac:dyDescent="0.25">
      <c r="A1859" t="str">
        <f>"40514382  "</f>
        <v xml:space="preserve">40514382  </v>
      </c>
      <c r="B1859" t="s">
        <v>1817</v>
      </c>
      <c r="C1859">
        <v>759</v>
      </c>
      <c r="D1859" t="str">
        <f t="shared" si="84"/>
        <v>270</v>
      </c>
    </row>
    <row r="1860" spans="1:4" x14ac:dyDescent="0.25">
      <c r="A1860" t="str">
        <f>"40514390  "</f>
        <v xml:space="preserve">40514390  </v>
      </c>
      <c r="B1860" t="s">
        <v>1818</v>
      </c>
      <c r="C1860">
        <v>63.8</v>
      </c>
      <c r="D1860" t="str">
        <f t="shared" si="84"/>
        <v>270</v>
      </c>
    </row>
    <row r="1861" spans="1:4" x14ac:dyDescent="0.25">
      <c r="A1861" t="str">
        <f>"40514408  "</f>
        <v xml:space="preserve">40514408  </v>
      </c>
      <c r="B1861" t="s">
        <v>1819</v>
      </c>
      <c r="C1861">
        <v>83.6</v>
      </c>
      <c r="D1861" t="str">
        <f t="shared" si="84"/>
        <v>270</v>
      </c>
    </row>
    <row r="1862" spans="1:4" x14ac:dyDescent="0.25">
      <c r="A1862" t="str">
        <f>"40514416  "</f>
        <v xml:space="preserve">40514416  </v>
      </c>
      <c r="B1862" t="s">
        <v>1820</v>
      </c>
      <c r="C1862">
        <v>267.3</v>
      </c>
      <c r="D1862" t="str">
        <f t="shared" si="84"/>
        <v>270</v>
      </c>
    </row>
    <row r="1863" spans="1:4" x14ac:dyDescent="0.25">
      <c r="A1863" t="str">
        <f>"40514424  "</f>
        <v xml:space="preserve">40514424  </v>
      </c>
      <c r="B1863" t="s">
        <v>1821</v>
      </c>
      <c r="C1863">
        <v>203.5</v>
      </c>
      <c r="D1863" t="str">
        <f t="shared" si="84"/>
        <v>270</v>
      </c>
    </row>
    <row r="1864" spans="1:4" x14ac:dyDescent="0.25">
      <c r="A1864" t="str">
        <f>"40514432  "</f>
        <v xml:space="preserve">40514432  </v>
      </c>
      <c r="B1864" t="s">
        <v>1822</v>
      </c>
      <c r="C1864">
        <v>172.7</v>
      </c>
      <c r="D1864" t="str">
        <f>"272"</f>
        <v>272</v>
      </c>
    </row>
    <row r="1865" spans="1:4" x14ac:dyDescent="0.25">
      <c r="A1865" t="str">
        <f>"40514440  "</f>
        <v xml:space="preserve">40514440  </v>
      </c>
      <c r="B1865" t="s">
        <v>1823</v>
      </c>
      <c r="C1865">
        <v>58.3</v>
      </c>
      <c r="D1865" t="str">
        <f>"272"</f>
        <v>272</v>
      </c>
    </row>
    <row r="1866" spans="1:4" x14ac:dyDescent="0.25">
      <c r="A1866" t="str">
        <f>"40514457  "</f>
        <v xml:space="preserve">40514457  </v>
      </c>
      <c r="B1866" t="s">
        <v>1824</v>
      </c>
      <c r="C1866">
        <v>25.3</v>
      </c>
      <c r="D1866" t="str">
        <f>"271"</f>
        <v>271</v>
      </c>
    </row>
    <row r="1867" spans="1:4" x14ac:dyDescent="0.25">
      <c r="A1867" t="str">
        <f>"40514511"</f>
        <v>40514511</v>
      </c>
      <c r="B1867" t="s">
        <v>1825</v>
      </c>
      <c r="C1867">
        <v>302.5</v>
      </c>
      <c r="D1867" t="str">
        <f>"270"</f>
        <v>270</v>
      </c>
    </row>
    <row r="1868" spans="1:4" x14ac:dyDescent="0.25">
      <c r="A1868" t="str">
        <f>"40514523  "</f>
        <v xml:space="preserve">40514523  </v>
      </c>
      <c r="B1868" t="s">
        <v>1826</v>
      </c>
      <c r="C1868">
        <v>913</v>
      </c>
      <c r="D1868" t="str">
        <f>"270"</f>
        <v>270</v>
      </c>
    </row>
    <row r="1869" spans="1:4" x14ac:dyDescent="0.25">
      <c r="A1869" t="str">
        <f>"40514530"</f>
        <v>40514530</v>
      </c>
      <c r="B1869" t="s">
        <v>1827</v>
      </c>
      <c r="C1869">
        <v>440</v>
      </c>
      <c r="D1869" t="str">
        <f>"270"</f>
        <v>270</v>
      </c>
    </row>
    <row r="1870" spans="1:4" x14ac:dyDescent="0.25">
      <c r="A1870" t="str">
        <f>"40514542"</f>
        <v>40514542</v>
      </c>
      <c r="B1870" t="s">
        <v>1828</v>
      </c>
      <c r="C1870" s="1">
        <v>4592.5</v>
      </c>
      <c r="D1870" t="str">
        <f>"278"</f>
        <v>278</v>
      </c>
    </row>
    <row r="1871" spans="1:4" x14ac:dyDescent="0.25">
      <c r="A1871" t="str">
        <f>"40514556  "</f>
        <v xml:space="preserve">40514556  </v>
      </c>
      <c r="B1871" t="s">
        <v>1829</v>
      </c>
      <c r="C1871">
        <v>13.2</v>
      </c>
      <c r="D1871" t="str">
        <f>"270"</f>
        <v>270</v>
      </c>
    </row>
    <row r="1872" spans="1:4" x14ac:dyDescent="0.25">
      <c r="A1872" t="str">
        <f>"40514564  "</f>
        <v xml:space="preserve">40514564  </v>
      </c>
      <c r="B1872" t="s">
        <v>1830</v>
      </c>
      <c r="C1872" s="1">
        <v>1117.5999999999999</v>
      </c>
      <c r="D1872" t="str">
        <f>"270"</f>
        <v>270</v>
      </c>
    </row>
    <row r="1873" spans="1:4" x14ac:dyDescent="0.25">
      <c r="A1873" t="str">
        <f>"40514572  "</f>
        <v xml:space="preserve">40514572  </v>
      </c>
      <c r="B1873" t="s">
        <v>1831</v>
      </c>
      <c r="C1873">
        <v>227.7</v>
      </c>
      <c r="D1873" t="str">
        <f>"270"</f>
        <v>270</v>
      </c>
    </row>
    <row r="1874" spans="1:4" x14ac:dyDescent="0.25">
      <c r="A1874" t="str">
        <f>"40514580  "</f>
        <v xml:space="preserve">40514580  </v>
      </c>
      <c r="B1874" t="s">
        <v>1832</v>
      </c>
      <c r="C1874">
        <v>416.9</v>
      </c>
      <c r="D1874" t="str">
        <f>"270"</f>
        <v>270</v>
      </c>
    </row>
    <row r="1875" spans="1:4" x14ac:dyDescent="0.25">
      <c r="A1875" t="str">
        <f>"40514590"</f>
        <v>40514590</v>
      </c>
      <c r="B1875" t="s">
        <v>1833</v>
      </c>
      <c r="C1875" s="1">
        <v>2599.3000000000002</v>
      </c>
      <c r="D1875" t="str">
        <f>"278"</f>
        <v>278</v>
      </c>
    </row>
    <row r="1876" spans="1:4" x14ac:dyDescent="0.25">
      <c r="A1876" t="str">
        <f>"40514606  "</f>
        <v xml:space="preserve">40514606  </v>
      </c>
      <c r="B1876" t="s">
        <v>1834</v>
      </c>
      <c r="C1876">
        <v>83.6</v>
      </c>
      <c r="D1876" t="str">
        <f t="shared" ref="D1876:D1911" si="85">"270"</f>
        <v>270</v>
      </c>
    </row>
    <row r="1877" spans="1:4" x14ac:dyDescent="0.25">
      <c r="A1877" t="str">
        <f>"40514614  "</f>
        <v xml:space="preserve">40514614  </v>
      </c>
      <c r="B1877" t="s">
        <v>1835</v>
      </c>
      <c r="C1877">
        <v>734.8</v>
      </c>
      <c r="D1877" t="str">
        <f t="shared" si="85"/>
        <v>270</v>
      </c>
    </row>
    <row r="1878" spans="1:4" x14ac:dyDescent="0.25">
      <c r="A1878" t="str">
        <f>"40514622  "</f>
        <v xml:space="preserve">40514622  </v>
      </c>
      <c r="B1878" t="s">
        <v>1836</v>
      </c>
      <c r="C1878">
        <v>343.2</v>
      </c>
      <c r="D1878" t="str">
        <f t="shared" si="85"/>
        <v>270</v>
      </c>
    </row>
    <row r="1879" spans="1:4" x14ac:dyDescent="0.25">
      <c r="A1879" t="str">
        <f>"40514630  "</f>
        <v xml:space="preserve">40514630  </v>
      </c>
      <c r="B1879" t="s">
        <v>1837</v>
      </c>
      <c r="C1879">
        <v>385</v>
      </c>
      <c r="D1879" t="str">
        <f t="shared" si="85"/>
        <v>270</v>
      </c>
    </row>
    <row r="1880" spans="1:4" x14ac:dyDescent="0.25">
      <c r="A1880" t="str">
        <f>"40514648  "</f>
        <v xml:space="preserve">40514648  </v>
      </c>
      <c r="B1880" t="s">
        <v>1838</v>
      </c>
      <c r="C1880">
        <v>48.4</v>
      </c>
      <c r="D1880" t="str">
        <f t="shared" si="85"/>
        <v>270</v>
      </c>
    </row>
    <row r="1881" spans="1:4" x14ac:dyDescent="0.25">
      <c r="A1881" t="str">
        <f>"40514655  "</f>
        <v xml:space="preserve">40514655  </v>
      </c>
      <c r="B1881" t="s">
        <v>1839</v>
      </c>
      <c r="C1881">
        <v>36.299999999999997</v>
      </c>
      <c r="D1881" t="str">
        <f t="shared" si="85"/>
        <v>270</v>
      </c>
    </row>
    <row r="1882" spans="1:4" x14ac:dyDescent="0.25">
      <c r="A1882" t="str">
        <f>"40514663  "</f>
        <v xml:space="preserve">40514663  </v>
      </c>
      <c r="B1882" t="s">
        <v>1840</v>
      </c>
      <c r="C1882">
        <v>121</v>
      </c>
      <c r="D1882" t="str">
        <f t="shared" si="85"/>
        <v>270</v>
      </c>
    </row>
    <row r="1883" spans="1:4" x14ac:dyDescent="0.25">
      <c r="A1883" t="str">
        <f>"40514671  "</f>
        <v xml:space="preserve">40514671  </v>
      </c>
      <c r="B1883" t="s">
        <v>1841</v>
      </c>
      <c r="C1883">
        <v>53.9</v>
      </c>
      <c r="D1883" t="str">
        <f t="shared" si="85"/>
        <v>270</v>
      </c>
    </row>
    <row r="1884" spans="1:4" x14ac:dyDescent="0.25">
      <c r="A1884" t="str">
        <f>"40514689  "</f>
        <v xml:space="preserve">40514689  </v>
      </c>
      <c r="B1884" t="s">
        <v>1842</v>
      </c>
      <c r="C1884">
        <v>502.7</v>
      </c>
      <c r="D1884" t="str">
        <f t="shared" si="85"/>
        <v>270</v>
      </c>
    </row>
    <row r="1885" spans="1:4" x14ac:dyDescent="0.25">
      <c r="A1885" t="str">
        <f>"40514697  "</f>
        <v xml:space="preserve">40514697  </v>
      </c>
      <c r="B1885" t="s">
        <v>1843</v>
      </c>
      <c r="C1885">
        <v>565.4</v>
      </c>
      <c r="D1885" t="str">
        <f t="shared" si="85"/>
        <v>270</v>
      </c>
    </row>
    <row r="1886" spans="1:4" x14ac:dyDescent="0.25">
      <c r="A1886" t="str">
        <f>"40514705  "</f>
        <v xml:space="preserve">40514705  </v>
      </c>
      <c r="B1886" t="s">
        <v>1844</v>
      </c>
      <c r="C1886">
        <v>225.5</v>
      </c>
      <c r="D1886" t="str">
        <f t="shared" si="85"/>
        <v>270</v>
      </c>
    </row>
    <row r="1887" spans="1:4" x14ac:dyDescent="0.25">
      <c r="A1887" t="str">
        <f>"40514713  "</f>
        <v xml:space="preserve">40514713  </v>
      </c>
      <c r="B1887" t="s">
        <v>1845</v>
      </c>
      <c r="C1887">
        <v>126.5</v>
      </c>
      <c r="D1887" t="str">
        <f t="shared" si="85"/>
        <v>270</v>
      </c>
    </row>
    <row r="1888" spans="1:4" x14ac:dyDescent="0.25">
      <c r="A1888" t="str">
        <f>"40514721  "</f>
        <v xml:space="preserve">40514721  </v>
      </c>
      <c r="B1888" t="s">
        <v>1846</v>
      </c>
      <c r="C1888">
        <v>225.5</v>
      </c>
      <c r="D1888" t="str">
        <f t="shared" si="85"/>
        <v>270</v>
      </c>
    </row>
    <row r="1889" spans="1:4" x14ac:dyDescent="0.25">
      <c r="A1889" t="str">
        <f>"40514739  "</f>
        <v xml:space="preserve">40514739  </v>
      </c>
      <c r="B1889" t="s">
        <v>1847</v>
      </c>
      <c r="C1889">
        <v>223.3</v>
      </c>
      <c r="D1889" t="str">
        <f t="shared" si="85"/>
        <v>270</v>
      </c>
    </row>
    <row r="1890" spans="1:4" x14ac:dyDescent="0.25">
      <c r="A1890" t="str">
        <f>"40514747  "</f>
        <v xml:space="preserve">40514747  </v>
      </c>
      <c r="B1890" t="s">
        <v>1848</v>
      </c>
      <c r="C1890">
        <v>203.5</v>
      </c>
      <c r="D1890" t="str">
        <f t="shared" si="85"/>
        <v>270</v>
      </c>
    </row>
    <row r="1891" spans="1:4" x14ac:dyDescent="0.25">
      <c r="A1891" t="str">
        <f>"40514754  "</f>
        <v xml:space="preserve">40514754  </v>
      </c>
      <c r="B1891" t="s">
        <v>1849</v>
      </c>
      <c r="C1891">
        <v>49.5</v>
      </c>
      <c r="D1891" t="str">
        <f t="shared" si="85"/>
        <v>270</v>
      </c>
    </row>
    <row r="1892" spans="1:4" x14ac:dyDescent="0.25">
      <c r="A1892" t="str">
        <f>"40514762  "</f>
        <v xml:space="preserve">40514762  </v>
      </c>
      <c r="B1892" t="s">
        <v>1850</v>
      </c>
      <c r="C1892">
        <v>431.2</v>
      </c>
      <c r="D1892" t="str">
        <f t="shared" si="85"/>
        <v>270</v>
      </c>
    </row>
    <row r="1893" spans="1:4" x14ac:dyDescent="0.25">
      <c r="A1893" t="str">
        <f>"40514770  "</f>
        <v xml:space="preserve">40514770  </v>
      </c>
      <c r="B1893" t="s">
        <v>1851</v>
      </c>
      <c r="C1893">
        <v>431.2</v>
      </c>
      <c r="D1893" t="str">
        <f t="shared" si="85"/>
        <v>270</v>
      </c>
    </row>
    <row r="1894" spans="1:4" x14ac:dyDescent="0.25">
      <c r="A1894" t="str">
        <f>"40514788  "</f>
        <v xml:space="preserve">40514788  </v>
      </c>
      <c r="B1894" t="s">
        <v>1852</v>
      </c>
      <c r="C1894">
        <v>116.6</v>
      </c>
      <c r="D1894" t="str">
        <f t="shared" si="85"/>
        <v>270</v>
      </c>
    </row>
    <row r="1895" spans="1:4" x14ac:dyDescent="0.25">
      <c r="A1895" t="str">
        <f>"40514796  "</f>
        <v xml:space="preserve">40514796  </v>
      </c>
      <c r="B1895" t="s">
        <v>1853</v>
      </c>
      <c r="C1895">
        <v>266.2</v>
      </c>
      <c r="D1895" t="str">
        <f t="shared" si="85"/>
        <v>270</v>
      </c>
    </row>
    <row r="1896" spans="1:4" x14ac:dyDescent="0.25">
      <c r="A1896" t="str">
        <f>"40514812  "</f>
        <v xml:space="preserve">40514812  </v>
      </c>
      <c r="B1896" t="s">
        <v>1854</v>
      </c>
      <c r="C1896">
        <v>726</v>
      </c>
      <c r="D1896" t="str">
        <f t="shared" si="85"/>
        <v>270</v>
      </c>
    </row>
    <row r="1897" spans="1:4" x14ac:dyDescent="0.25">
      <c r="A1897" t="str">
        <f>"40514820  "</f>
        <v xml:space="preserve">40514820  </v>
      </c>
      <c r="B1897" t="s">
        <v>1855</v>
      </c>
      <c r="C1897">
        <v>250.8</v>
      </c>
      <c r="D1897" t="str">
        <f t="shared" si="85"/>
        <v>270</v>
      </c>
    </row>
    <row r="1898" spans="1:4" x14ac:dyDescent="0.25">
      <c r="A1898" t="str">
        <f>"40514838  "</f>
        <v xml:space="preserve">40514838  </v>
      </c>
      <c r="B1898" t="s">
        <v>1856</v>
      </c>
      <c r="C1898">
        <v>233.2</v>
      </c>
      <c r="D1898" t="str">
        <f t="shared" si="85"/>
        <v>270</v>
      </c>
    </row>
    <row r="1899" spans="1:4" x14ac:dyDescent="0.25">
      <c r="A1899" t="str">
        <f>"40514846  "</f>
        <v xml:space="preserve">40514846  </v>
      </c>
      <c r="B1899" t="s">
        <v>1857</v>
      </c>
      <c r="C1899">
        <v>457.6</v>
      </c>
      <c r="D1899" t="str">
        <f t="shared" si="85"/>
        <v>270</v>
      </c>
    </row>
    <row r="1900" spans="1:4" x14ac:dyDescent="0.25">
      <c r="A1900" t="str">
        <f>"40514853  "</f>
        <v xml:space="preserve">40514853  </v>
      </c>
      <c r="B1900" t="s">
        <v>1858</v>
      </c>
      <c r="C1900">
        <v>68.2</v>
      </c>
      <c r="D1900" t="str">
        <f t="shared" si="85"/>
        <v>270</v>
      </c>
    </row>
    <row r="1901" spans="1:4" x14ac:dyDescent="0.25">
      <c r="A1901" t="str">
        <f>"40514861  "</f>
        <v xml:space="preserve">40514861  </v>
      </c>
      <c r="B1901" t="s">
        <v>1859</v>
      </c>
      <c r="C1901">
        <v>457.6</v>
      </c>
      <c r="D1901" t="str">
        <f t="shared" si="85"/>
        <v>270</v>
      </c>
    </row>
    <row r="1902" spans="1:4" x14ac:dyDescent="0.25">
      <c r="A1902" t="str">
        <f>"40514879  "</f>
        <v xml:space="preserve">40514879  </v>
      </c>
      <c r="B1902" t="s">
        <v>1860</v>
      </c>
      <c r="C1902">
        <v>266.2</v>
      </c>
      <c r="D1902" t="str">
        <f t="shared" si="85"/>
        <v>270</v>
      </c>
    </row>
    <row r="1903" spans="1:4" x14ac:dyDescent="0.25">
      <c r="A1903" t="str">
        <f>"40514887  "</f>
        <v xml:space="preserve">40514887  </v>
      </c>
      <c r="B1903" t="s">
        <v>1861</v>
      </c>
      <c r="C1903">
        <v>532.4</v>
      </c>
      <c r="D1903" t="str">
        <f t="shared" si="85"/>
        <v>270</v>
      </c>
    </row>
    <row r="1904" spans="1:4" x14ac:dyDescent="0.25">
      <c r="A1904" t="str">
        <f>"40514895  "</f>
        <v xml:space="preserve">40514895  </v>
      </c>
      <c r="B1904" t="s">
        <v>1862</v>
      </c>
      <c r="C1904">
        <v>466.4</v>
      </c>
      <c r="D1904" t="str">
        <f t="shared" si="85"/>
        <v>270</v>
      </c>
    </row>
    <row r="1905" spans="1:4" x14ac:dyDescent="0.25">
      <c r="A1905" t="str">
        <f>"40514903  "</f>
        <v xml:space="preserve">40514903  </v>
      </c>
      <c r="B1905" t="s">
        <v>1863</v>
      </c>
      <c r="C1905">
        <v>22</v>
      </c>
      <c r="D1905" t="str">
        <f t="shared" si="85"/>
        <v>270</v>
      </c>
    </row>
    <row r="1906" spans="1:4" x14ac:dyDescent="0.25">
      <c r="A1906" t="str">
        <f>"40514911  "</f>
        <v xml:space="preserve">40514911  </v>
      </c>
      <c r="B1906" t="s">
        <v>1864</v>
      </c>
      <c r="C1906">
        <v>390.5</v>
      </c>
      <c r="D1906" t="str">
        <f t="shared" si="85"/>
        <v>270</v>
      </c>
    </row>
    <row r="1907" spans="1:4" x14ac:dyDescent="0.25">
      <c r="A1907" t="str">
        <f>"40514929  "</f>
        <v xml:space="preserve">40514929  </v>
      </c>
      <c r="B1907" t="s">
        <v>1865</v>
      </c>
      <c r="C1907">
        <v>390.5</v>
      </c>
      <c r="D1907" t="str">
        <f t="shared" si="85"/>
        <v>270</v>
      </c>
    </row>
    <row r="1908" spans="1:4" x14ac:dyDescent="0.25">
      <c r="A1908" t="str">
        <f>"40514937  "</f>
        <v xml:space="preserve">40514937  </v>
      </c>
      <c r="B1908" t="s">
        <v>1866</v>
      </c>
      <c r="C1908">
        <v>460.9</v>
      </c>
      <c r="D1908" t="str">
        <f t="shared" si="85"/>
        <v>270</v>
      </c>
    </row>
    <row r="1909" spans="1:4" x14ac:dyDescent="0.25">
      <c r="A1909" t="str">
        <f>"40514945  "</f>
        <v xml:space="preserve">40514945  </v>
      </c>
      <c r="B1909" t="s">
        <v>1867</v>
      </c>
      <c r="C1909">
        <v>609.4</v>
      </c>
      <c r="D1909" t="str">
        <f t="shared" si="85"/>
        <v>270</v>
      </c>
    </row>
    <row r="1910" spans="1:4" x14ac:dyDescent="0.25">
      <c r="A1910" t="str">
        <f>"40514960  "</f>
        <v xml:space="preserve">40514960  </v>
      </c>
      <c r="B1910" t="s">
        <v>1868</v>
      </c>
      <c r="C1910">
        <v>220</v>
      </c>
      <c r="D1910" t="str">
        <f t="shared" si="85"/>
        <v>270</v>
      </c>
    </row>
    <row r="1911" spans="1:4" x14ac:dyDescent="0.25">
      <c r="A1911" t="str">
        <f>"40514986  "</f>
        <v xml:space="preserve">40514986  </v>
      </c>
      <c r="B1911" t="s">
        <v>1869</v>
      </c>
      <c r="C1911">
        <v>37.4</v>
      </c>
      <c r="D1911" t="str">
        <f t="shared" si="85"/>
        <v>270</v>
      </c>
    </row>
    <row r="1912" spans="1:4" x14ac:dyDescent="0.25">
      <c r="A1912" t="str">
        <f>"40515000"</f>
        <v>40515000</v>
      </c>
      <c r="B1912" t="s">
        <v>1870</v>
      </c>
      <c r="C1912" s="1">
        <v>12100</v>
      </c>
      <c r="D1912" t="str">
        <f>"278"</f>
        <v>278</v>
      </c>
    </row>
    <row r="1913" spans="1:4" x14ac:dyDescent="0.25">
      <c r="A1913" t="str">
        <f>"40515009  "</f>
        <v xml:space="preserve">40515009  </v>
      </c>
      <c r="B1913" t="s">
        <v>1871</v>
      </c>
      <c r="C1913">
        <v>213.4</v>
      </c>
      <c r="D1913" t="str">
        <f>"270"</f>
        <v>270</v>
      </c>
    </row>
    <row r="1914" spans="1:4" x14ac:dyDescent="0.25">
      <c r="A1914" t="str">
        <f>"40515017  "</f>
        <v xml:space="preserve">40515017  </v>
      </c>
      <c r="B1914" t="s">
        <v>1872</v>
      </c>
      <c r="C1914">
        <v>198</v>
      </c>
      <c r="D1914" t="str">
        <f>"270"</f>
        <v>270</v>
      </c>
    </row>
    <row r="1915" spans="1:4" x14ac:dyDescent="0.25">
      <c r="A1915" t="str">
        <f>"40515025  "</f>
        <v xml:space="preserve">40515025  </v>
      </c>
      <c r="B1915" t="s">
        <v>1873</v>
      </c>
      <c r="C1915">
        <v>700.7</v>
      </c>
      <c r="D1915" t="str">
        <f>"270"</f>
        <v>270</v>
      </c>
    </row>
    <row r="1916" spans="1:4" x14ac:dyDescent="0.25">
      <c r="A1916" t="str">
        <f>"40515036"</f>
        <v>40515036</v>
      </c>
      <c r="B1916" t="s">
        <v>1874</v>
      </c>
      <c r="C1916" s="1">
        <v>2887.5</v>
      </c>
      <c r="D1916" t="str">
        <f>"278"</f>
        <v>278</v>
      </c>
    </row>
    <row r="1917" spans="1:4" x14ac:dyDescent="0.25">
      <c r="A1917" t="str">
        <f>"40515044"</f>
        <v>40515044</v>
      </c>
      <c r="B1917" t="s">
        <v>1875</v>
      </c>
      <c r="C1917">
        <v>510.74</v>
      </c>
      <c r="D1917" t="str">
        <f t="shared" ref="D1917:D1936" si="86">"270"</f>
        <v>270</v>
      </c>
    </row>
    <row r="1918" spans="1:4" x14ac:dyDescent="0.25">
      <c r="A1918" t="str">
        <f>"40515048"</f>
        <v>40515048</v>
      </c>
      <c r="B1918" t="s">
        <v>1875</v>
      </c>
      <c r="C1918">
        <v>766.7</v>
      </c>
      <c r="D1918" t="str">
        <f t="shared" si="86"/>
        <v>270</v>
      </c>
    </row>
    <row r="1919" spans="1:4" x14ac:dyDescent="0.25">
      <c r="A1919" t="str">
        <f>"40515058  "</f>
        <v xml:space="preserve">40515058  </v>
      </c>
      <c r="B1919" t="s">
        <v>1876</v>
      </c>
      <c r="C1919">
        <v>33</v>
      </c>
      <c r="D1919" t="str">
        <f t="shared" si="86"/>
        <v>270</v>
      </c>
    </row>
    <row r="1920" spans="1:4" x14ac:dyDescent="0.25">
      <c r="A1920" t="str">
        <f>"40515061"</f>
        <v>40515061</v>
      </c>
      <c r="B1920" t="s">
        <v>1877</v>
      </c>
      <c r="C1920">
        <v>46.2</v>
      </c>
      <c r="D1920" t="str">
        <f t="shared" si="86"/>
        <v>270</v>
      </c>
    </row>
    <row r="1921" spans="1:4" x14ac:dyDescent="0.25">
      <c r="A1921" t="str">
        <f>"40515074  "</f>
        <v xml:space="preserve">40515074  </v>
      </c>
      <c r="B1921" t="s">
        <v>1878</v>
      </c>
      <c r="C1921">
        <v>167.2</v>
      </c>
      <c r="D1921" t="str">
        <f t="shared" si="86"/>
        <v>270</v>
      </c>
    </row>
    <row r="1922" spans="1:4" x14ac:dyDescent="0.25">
      <c r="A1922" t="str">
        <f>"40515080"</f>
        <v>40515080</v>
      </c>
      <c r="B1922" t="s">
        <v>1879</v>
      </c>
      <c r="C1922">
        <v>825</v>
      </c>
      <c r="D1922" t="str">
        <f t="shared" si="86"/>
        <v>270</v>
      </c>
    </row>
    <row r="1923" spans="1:4" x14ac:dyDescent="0.25">
      <c r="A1923" t="str">
        <f>"40515090"</f>
        <v>40515090</v>
      </c>
      <c r="B1923" t="s">
        <v>1880</v>
      </c>
      <c r="C1923">
        <v>635.79999999999995</v>
      </c>
      <c r="D1923" t="str">
        <f t="shared" si="86"/>
        <v>270</v>
      </c>
    </row>
    <row r="1924" spans="1:4" x14ac:dyDescent="0.25">
      <c r="A1924" t="str">
        <f>"40515108  "</f>
        <v xml:space="preserve">40515108  </v>
      </c>
      <c r="B1924" t="s">
        <v>1881</v>
      </c>
      <c r="C1924">
        <v>41.8</v>
      </c>
      <c r="D1924" t="str">
        <f t="shared" si="86"/>
        <v>270</v>
      </c>
    </row>
    <row r="1925" spans="1:4" x14ac:dyDescent="0.25">
      <c r="A1925" t="str">
        <f>"40515116  "</f>
        <v xml:space="preserve">40515116  </v>
      </c>
      <c r="B1925" t="s">
        <v>1882</v>
      </c>
      <c r="C1925">
        <v>37.4</v>
      </c>
      <c r="D1925" t="str">
        <f t="shared" si="86"/>
        <v>270</v>
      </c>
    </row>
    <row r="1926" spans="1:4" x14ac:dyDescent="0.25">
      <c r="A1926" t="str">
        <f>"40515124  "</f>
        <v xml:space="preserve">40515124  </v>
      </c>
      <c r="B1926" t="s">
        <v>1883</v>
      </c>
      <c r="C1926">
        <v>121</v>
      </c>
      <c r="D1926" t="str">
        <f t="shared" si="86"/>
        <v>270</v>
      </c>
    </row>
    <row r="1927" spans="1:4" x14ac:dyDescent="0.25">
      <c r="A1927" t="str">
        <f>"40515130"</f>
        <v>40515130</v>
      </c>
      <c r="B1927" t="s">
        <v>1884</v>
      </c>
      <c r="C1927">
        <v>990</v>
      </c>
      <c r="D1927" t="str">
        <f t="shared" si="86"/>
        <v>270</v>
      </c>
    </row>
    <row r="1928" spans="1:4" x14ac:dyDescent="0.25">
      <c r="A1928" t="str">
        <f>"40515132  "</f>
        <v xml:space="preserve">40515132  </v>
      </c>
      <c r="B1928" t="s">
        <v>1885</v>
      </c>
      <c r="C1928">
        <v>457.6</v>
      </c>
      <c r="D1928" t="str">
        <f t="shared" si="86"/>
        <v>270</v>
      </c>
    </row>
    <row r="1929" spans="1:4" x14ac:dyDescent="0.25">
      <c r="A1929" t="str">
        <f>"40515140  "</f>
        <v xml:space="preserve">40515140  </v>
      </c>
      <c r="B1929" t="s">
        <v>1886</v>
      </c>
      <c r="C1929">
        <v>203.5</v>
      </c>
      <c r="D1929" t="str">
        <f t="shared" si="86"/>
        <v>270</v>
      </c>
    </row>
    <row r="1930" spans="1:4" x14ac:dyDescent="0.25">
      <c r="A1930" t="str">
        <f>"40515157  "</f>
        <v xml:space="preserve">40515157  </v>
      </c>
      <c r="B1930" t="s">
        <v>1887</v>
      </c>
      <c r="C1930">
        <v>23.1</v>
      </c>
      <c r="D1930" t="str">
        <f t="shared" si="86"/>
        <v>270</v>
      </c>
    </row>
    <row r="1931" spans="1:4" x14ac:dyDescent="0.25">
      <c r="A1931" t="str">
        <f>"40515165  "</f>
        <v xml:space="preserve">40515165  </v>
      </c>
      <c r="B1931" t="s">
        <v>1888</v>
      </c>
      <c r="C1931">
        <v>27.5</v>
      </c>
      <c r="D1931" t="str">
        <f t="shared" si="86"/>
        <v>270</v>
      </c>
    </row>
    <row r="1932" spans="1:4" x14ac:dyDescent="0.25">
      <c r="A1932" t="str">
        <f>"40515173  "</f>
        <v xml:space="preserve">40515173  </v>
      </c>
      <c r="B1932" t="s">
        <v>1889</v>
      </c>
      <c r="C1932">
        <v>203.5</v>
      </c>
      <c r="D1932" t="str">
        <f t="shared" si="86"/>
        <v>270</v>
      </c>
    </row>
    <row r="1933" spans="1:4" x14ac:dyDescent="0.25">
      <c r="A1933" t="str">
        <f>"40515181  "</f>
        <v xml:space="preserve">40515181  </v>
      </c>
      <c r="B1933" t="s">
        <v>1890</v>
      </c>
      <c r="C1933">
        <v>145.19999999999999</v>
      </c>
      <c r="D1933" t="str">
        <f t="shared" si="86"/>
        <v>270</v>
      </c>
    </row>
    <row r="1934" spans="1:4" x14ac:dyDescent="0.25">
      <c r="A1934" t="str">
        <f>"40515199  "</f>
        <v xml:space="preserve">40515199  </v>
      </c>
      <c r="B1934" t="s">
        <v>1891</v>
      </c>
      <c r="C1934">
        <v>45.1</v>
      </c>
      <c r="D1934" t="str">
        <f t="shared" si="86"/>
        <v>270</v>
      </c>
    </row>
    <row r="1935" spans="1:4" x14ac:dyDescent="0.25">
      <c r="A1935" t="str">
        <f>"40515207  "</f>
        <v xml:space="preserve">40515207  </v>
      </c>
      <c r="B1935" t="s">
        <v>1892</v>
      </c>
      <c r="C1935">
        <v>52.8</v>
      </c>
      <c r="D1935" t="str">
        <f t="shared" si="86"/>
        <v>270</v>
      </c>
    </row>
    <row r="1936" spans="1:4" x14ac:dyDescent="0.25">
      <c r="A1936" t="str">
        <f>"40515215  "</f>
        <v xml:space="preserve">40515215  </v>
      </c>
      <c r="B1936" t="s">
        <v>1893</v>
      </c>
      <c r="C1936">
        <v>379.5</v>
      </c>
      <c r="D1936" t="str">
        <f t="shared" si="86"/>
        <v>270</v>
      </c>
    </row>
    <row r="1937" spans="1:4" x14ac:dyDescent="0.25">
      <c r="A1937" t="str">
        <f>"40515223  "</f>
        <v xml:space="preserve">40515223  </v>
      </c>
      <c r="B1937" t="s">
        <v>1894</v>
      </c>
      <c r="C1937" s="1">
        <v>1914</v>
      </c>
      <c r="D1937" t="str">
        <f>"278"</f>
        <v>278</v>
      </c>
    </row>
    <row r="1938" spans="1:4" x14ac:dyDescent="0.25">
      <c r="A1938" t="str">
        <f>"40515231  "</f>
        <v xml:space="preserve">40515231  </v>
      </c>
      <c r="B1938" t="s">
        <v>1895</v>
      </c>
      <c r="C1938">
        <v>180.4</v>
      </c>
      <c r="D1938" t="str">
        <f>"270"</f>
        <v>270</v>
      </c>
    </row>
    <row r="1939" spans="1:4" x14ac:dyDescent="0.25">
      <c r="A1939" t="str">
        <f>"40515249  "</f>
        <v xml:space="preserve">40515249  </v>
      </c>
      <c r="B1939" t="s">
        <v>1896</v>
      </c>
      <c r="C1939">
        <v>72.599999999999994</v>
      </c>
      <c r="D1939" t="str">
        <f>"270"</f>
        <v>270</v>
      </c>
    </row>
    <row r="1940" spans="1:4" x14ac:dyDescent="0.25">
      <c r="A1940" t="str">
        <f>"40515256  "</f>
        <v xml:space="preserve">40515256  </v>
      </c>
      <c r="B1940" t="s">
        <v>1897</v>
      </c>
      <c r="C1940">
        <v>27.5</v>
      </c>
      <c r="D1940" t="str">
        <f>"270"</f>
        <v>270</v>
      </c>
    </row>
    <row r="1941" spans="1:4" x14ac:dyDescent="0.25">
      <c r="A1941" t="str">
        <f>"40515264  "</f>
        <v xml:space="preserve">40515264  </v>
      </c>
      <c r="B1941" t="s">
        <v>1898</v>
      </c>
      <c r="C1941" s="1">
        <v>1317.8</v>
      </c>
      <c r="D1941" t="str">
        <f>"278"</f>
        <v>278</v>
      </c>
    </row>
    <row r="1942" spans="1:4" x14ac:dyDescent="0.25">
      <c r="A1942" t="str">
        <f>"40515272  "</f>
        <v xml:space="preserve">40515272  </v>
      </c>
      <c r="B1942" t="s">
        <v>1899</v>
      </c>
      <c r="C1942">
        <v>290.39999999999998</v>
      </c>
      <c r="D1942" t="str">
        <f t="shared" ref="D1942:D1952" si="87">"270"</f>
        <v>270</v>
      </c>
    </row>
    <row r="1943" spans="1:4" x14ac:dyDescent="0.25">
      <c r="A1943" t="str">
        <f>"40515280  "</f>
        <v xml:space="preserve">40515280  </v>
      </c>
      <c r="B1943" t="s">
        <v>1900</v>
      </c>
      <c r="C1943">
        <v>561</v>
      </c>
      <c r="D1943" t="str">
        <f t="shared" si="87"/>
        <v>270</v>
      </c>
    </row>
    <row r="1944" spans="1:4" x14ac:dyDescent="0.25">
      <c r="A1944" t="str">
        <f>"40515298  "</f>
        <v xml:space="preserve">40515298  </v>
      </c>
      <c r="B1944" t="s">
        <v>1901</v>
      </c>
      <c r="C1944">
        <v>404.8</v>
      </c>
      <c r="D1944" t="str">
        <f t="shared" si="87"/>
        <v>270</v>
      </c>
    </row>
    <row r="1945" spans="1:4" x14ac:dyDescent="0.25">
      <c r="A1945" t="str">
        <f>"40515306  "</f>
        <v xml:space="preserve">40515306  </v>
      </c>
      <c r="B1945" t="s">
        <v>1902</v>
      </c>
      <c r="C1945">
        <v>23.1</v>
      </c>
      <c r="D1945" t="str">
        <f t="shared" si="87"/>
        <v>270</v>
      </c>
    </row>
    <row r="1946" spans="1:4" x14ac:dyDescent="0.25">
      <c r="A1946" t="str">
        <f>"40515314  "</f>
        <v xml:space="preserve">40515314  </v>
      </c>
      <c r="B1946" t="s">
        <v>1903</v>
      </c>
      <c r="C1946">
        <v>138.6</v>
      </c>
      <c r="D1946" t="str">
        <f t="shared" si="87"/>
        <v>270</v>
      </c>
    </row>
    <row r="1947" spans="1:4" x14ac:dyDescent="0.25">
      <c r="A1947" t="str">
        <f>"40515322  "</f>
        <v xml:space="preserve">40515322  </v>
      </c>
      <c r="B1947" t="s">
        <v>1904</v>
      </c>
      <c r="C1947">
        <v>124.3</v>
      </c>
      <c r="D1947" t="str">
        <f t="shared" si="87"/>
        <v>270</v>
      </c>
    </row>
    <row r="1948" spans="1:4" x14ac:dyDescent="0.25">
      <c r="A1948" t="str">
        <f>"40515330  "</f>
        <v xml:space="preserve">40515330  </v>
      </c>
      <c r="B1948" t="s">
        <v>1905</v>
      </c>
      <c r="C1948">
        <v>124.3</v>
      </c>
      <c r="D1948" t="str">
        <f t="shared" si="87"/>
        <v>270</v>
      </c>
    </row>
    <row r="1949" spans="1:4" x14ac:dyDescent="0.25">
      <c r="A1949" t="str">
        <f>"40515348  "</f>
        <v xml:space="preserve">40515348  </v>
      </c>
      <c r="B1949" t="s">
        <v>1906</v>
      </c>
      <c r="C1949">
        <v>877.8</v>
      </c>
      <c r="D1949" t="str">
        <f t="shared" si="87"/>
        <v>270</v>
      </c>
    </row>
    <row r="1950" spans="1:4" x14ac:dyDescent="0.25">
      <c r="A1950" t="str">
        <f>"40515355  "</f>
        <v xml:space="preserve">40515355  </v>
      </c>
      <c r="B1950" t="s">
        <v>1907</v>
      </c>
      <c r="C1950">
        <v>33</v>
      </c>
      <c r="D1950" t="str">
        <f t="shared" si="87"/>
        <v>270</v>
      </c>
    </row>
    <row r="1951" spans="1:4" x14ac:dyDescent="0.25">
      <c r="A1951" t="str">
        <f>"40515363  "</f>
        <v xml:space="preserve">40515363  </v>
      </c>
      <c r="B1951" t="s">
        <v>1908</v>
      </c>
      <c r="C1951" s="1">
        <v>1402.5</v>
      </c>
      <c r="D1951" t="str">
        <f t="shared" si="87"/>
        <v>270</v>
      </c>
    </row>
    <row r="1952" spans="1:4" x14ac:dyDescent="0.25">
      <c r="A1952" t="str">
        <f>"40515371  "</f>
        <v xml:space="preserve">40515371  </v>
      </c>
      <c r="B1952" t="s">
        <v>1909</v>
      </c>
      <c r="C1952">
        <v>244.2</v>
      </c>
      <c r="D1952" t="str">
        <f t="shared" si="87"/>
        <v>270</v>
      </c>
    </row>
    <row r="1953" spans="1:4" x14ac:dyDescent="0.25">
      <c r="A1953" t="str">
        <f>"40515389  "</f>
        <v xml:space="preserve">40515389  </v>
      </c>
      <c r="B1953" t="s">
        <v>1910</v>
      </c>
      <c r="C1953" s="1">
        <v>1006.5</v>
      </c>
      <c r="D1953" t="str">
        <f>"278"</f>
        <v>278</v>
      </c>
    </row>
    <row r="1954" spans="1:4" x14ac:dyDescent="0.25">
      <c r="A1954" t="str">
        <f>"40515397  "</f>
        <v xml:space="preserve">40515397  </v>
      </c>
      <c r="B1954" t="s">
        <v>1911</v>
      </c>
      <c r="C1954">
        <v>37.4</v>
      </c>
      <c r="D1954" t="str">
        <f t="shared" ref="D1954:D1962" si="88">"270"</f>
        <v>270</v>
      </c>
    </row>
    <row r="1955" spans="1:4" x14ac:dyDescent="0.25">
      <c r="A1955" t="str">
        <f>"40515401"</f>
        <v>40515401</v>
      </c>
      <c r="B1955" t="s">
        <v>1912</v>
      </c>
      <c r="C1955">
        <v>123.2</v>
      </c>
      <c r="D1955" t="str">
        <f t="shared" si="88"/>
        <v>270</v>
      </c>
    </row>
    <row r="1956" spans="1:4" x14ac:dyDescent="0.25">
      <c r="A1956" t="str">
        <f>"40515405  "</f>
        <v xml:space="preserve">40515405  </v>
      </c>
      <c r="B1956" t="s">
        <v>1913</v>
      </c>
      <c r="C1956">
        <v>159.5</v>
      </c>
      <c r="D1956" t="str">
        <f t="shared" si="88"/>
        <v>270</v>
      </c>
    </row>
    <row r="1957" spans="1:4" x14ac:dyDescent="0.25">
      <c r="A1957" t="str">
        <f>"40515413  "</f>
        <v xml:space="preserve">40515413  </v>
      </c>
      <c r="B1957" t="s">
        <v>1914</v>
      </c>
      <c r="C1957">
        <v>80.3</v>
      </c>
      <c r="D1957" t="str">
        <f t="shared" si="88"/>
        <v>270</v>
      </c>
    </row>
    <row r="1958" spans="1:4" x14ac:dyDescent="0.25">
      <c r="A1958" t="str">
        <f>"40515429"</f>
        <v>40515429</v>
      </c>
      <c r="B1958" t="s">
        <v>1915</v>
      </c>
      <c r="C1958" s="1">
        <v>3300</v>
      </c>
      <c r="D1958" t="str">
        <f t="shared" si="88"/>
        <v>270</v>
      </c>
    </row>
    <row r="1959" spans="1:4" x14ac:dyDescent="0.25">
      <c r="A1959" t="str">
        <f>"40515433"</f>
        <v>40515433</v>
      </c>
      <c r="B1959" t="s">
        <v>1916</v>
      </c>
      <c r="C1959">
        <v>330</v>
      </c>
      <c r="D1959" t="str">
        <f t="shared" si="88"/>
        <v>270</v>
      </c>
    </row>
    <row r="1960" spans="1:4" x14ac:dyDescent="0.25">
      <c r="A1960" t="str">
        <f>"40515454  "</f>
        <v xml:space="preserve">40515454  </v>
      </c>
      <c r="B1960" t="s">
        <v>1917</v>
      </c>
      <c r="C1960">
        <v>159.5</v>
      </c>
      <c r="D1960" t="str">
        <f t="shared" si="88"/>
        <v>270</v>
      </c>
    </row>
    <row r="1961" spans="1:4" x14ac:dyDescent="0.25">
      <c r="A1961" t="str">
        <f>"40515462  "</f>
        <v xml:space="preserve">40515462  </v>
      </c>
      <c r="B1961" t="s">
        <v>1918</v>
      </c>
      <c r="C1961">
        <v>480.7</v>
      </c>
      <c r="D1961" t="str">
        <f t="shared" si="88"/>
        <v>270</v>
      </c>
    </row>
    <row r="1962" spans="1:4" x14ac:dyDescent="0.25">
      <c r="A1962" t="str">
        <f>"40515470  "</f>
        <v xml:space="preserve">40515470  </v>
      </c>
      <c r="B1962" t="s">
        <v>1919</v>
      </c>
      <c r="C1962">
        <v>404.8</v>
      </c>
      <c r="D1962" t="str">
        <f t="shared" si="88"/>
        <v>270</v>
      </c>
    </row>
    <row r="1963" spans="1:4" x14ac:dyDescent="0.25">
      <c r="A1963" t="str">
        <f>"40515488  "</f>
        <v xml:space="preserve">40515488  </v>
      </c>
      <c r="B1963" t="s">
        <v>1920</v>
      </c>
      <c r="C1963">
        <v>15.4</v>
      </c>
      <c r="D1963" t="str">
        <f>"271"</f>
        <v>271</v>
      </c>
    </row>
    <row r="1964" spans="1:4" x14ac:dyDescent="0.25">
      <c r="A1964" t="str">
        <f>"40515496  "</f>
        <v xml:space="preserve">40515496  </v>
      </c>
      <c r="B1964" t="s">
        <v>1921</v>
      </c>
      <c r="C1964" s="1">
        <v>6600</v>
      </c>
      <c r="D1964" t="str">
        <f>"278"</f>
        <v>278</v>
      </c>
    </row>
    <row r="1965" spans="1:4" x14ac:dyDescent="0.25">
      <c r="A1965" t="str">
        <f>"40515504  "</f>
        <v xml:space="preserve">40515504  </v>
      </c>
      <c r="B1965" t="s">
        <v>1922</v>
      </c>
      <c r="C1965">
        <v>7.7</v>
      </c>
      <c r="D1965" t="str">
        <f t="shared" ref="D1965:D1971" si="89">"270"</f>
        <v>270</v>
      </c>
    </row>
    <row r="1966" spans="1:4" x14ac:dyDescent="0.25">
      <c r="A1966" t="str">
        <f>"40515553  "</f>
        <v xml:space="preserve">40515553  </v>
      </c>
      <c r="B1966" t="s">
        <v>1923</v>
      </c>
      <c r="C1966">
        <v>44</v>
      </c>
      <c r="D1966" t="str">
        <f t="shared" si="89"/>
        <v>270</v>
      </c>
    </row>
    <row r="1967" spans="1:4" x14ac:dyDescent="0.25">
      <c r="A1967" t="str">
        <f>"40515561  "</f>
        <v xml:space="preserve">40515561  </v>
      </c>
      <c r="B1967" t="s">
        <v>1924</v>
      </c>
      <c r="C1967">
        <v>45.1</v>
      </c>
      <c r="D1967" t="str">
        <f t="shared" si="89"/>
        <v>270</v>
      </c>
    </row>
    <row r="1968" spans="1:4" x14ac:dyDescent="0.25">
      <c r="A1968" t="str">
        <f>"40515595  "</f>
        <v xml:space="preserve">40515595  </v>
      </c>
      <c r="B1968" t="s">
        <v>1925</v>
      </c>
      <c r="C1968">
        <v>40.700000000000003</v>
      </c>
      <c r="D1968" t="str">
        <f t="shared" si="89"/>
        <v>270</v>
      </c>
    </row>
    <row r="1969" spans="1:4" x14ac:dyDescent="0.25">
      <c r="A1969" t="str">
        <f>"40515603  "</f>
        <v xml:space="preserve">40515603  </v>
      </c>
      <c r="B1969" t="s">
        <v>1926</v>
      </c>
      <c r="C1969">
        <v>7.7</v>
      </c>
      <c r="D1969" t="str">
        <f t="shared" si="89"/>
        <v>270</v>
      </c>
    </row>
    <row r="1970" spans="1:4" x14ac:dyDescent="0.25">
      <c r="A1970" t="str">
        <f>"40515611  "</f>
        <v xml:space="preserve">40515611  </v>
      </c>
      <c r="B1970" t="s">
        <v>1927</v>
      </c>
      <c r="C1970">
        <v>25.3</v>
      </c>
      <c r="D1970" t="str">
        <f t="shared" si="89"/>
        <v>270</v>
      </c>
    </row>
    <row r="1971" spans="1:4" x14ac:dyDescent="0.25">
      <c r="A1971" t="str">
        <f>"40515629  "</f>
        <v xml:space="preserve">40515629  </v>
      </c>
      <c r="B1971" t="s">
        <v>1928</v>
      </c>
      <c r="C1971" s="1">
        <v>9166.2999999999993</v>
      </c>
      <c r="D1971" t="str">
        <f t="shared" si="89"/>
        <v>270</v>
      </c>
    </row>
    <row r="1972" spans="1:4" x14ac:dyDescent="0.25">
      <c r="A1972" t="str">
        <f>"40515637  "</f>
        <v xml:space="preserve">40515637  </v>
      </c>
      <c r="B1972" t="s">
        <v>1929</v>
      </c>
      <c r="C1972" s="1">
        <v>2178</v>
      </c>
      <c r="D1972" t="str">
        <f>"272"</f>
        <v>272</v>
      </c>
    </row>
    <row r="1973" spans="1:4" x14ac:dyDescent="0.25">
      <c r="A1973" t="str">
        <f>"40515645  "</f>
        <v xml:space="preserve">40515645  </v>
      </c>
      <c r="B1973" t="s">
        <v>1930</v>
      </c>
      <c r="C1973">
        <v>275</v>
      </c>
      <c r="D1973" t="str">
        <f>"270"</f>
        <v>270</v>
      </c>
    </row>
    <row r="1974" spans="1:4" x14ac:dyDescent="0.25">
      <c r="A1974" t="str">
        <f>"40515652  "</f>
        <v xml:space="preserve">40515652  </v>
      </c>
      <c r="B1974" t="s">
        <v>1931</v>
      </c>
      <c r="C1974">
        <v>2.2000000000000002</v>
      </c>
      <c r="D1974" t="str">
        <f>"270"</f>
        <v>270</v>
      </c>
    </row>
    <row r="1975" spans="1:4" x14ac:dyDescent="0.25">
      <c r="A1975" t="str">
        <f>"40515660  "</f>
        <v xml:space="preserve">40515660  </v>
      </c>
      <c r="B1975" t="s">
        <v>1932</v>
      </c>
      <c r="C1975">
        <v>102.3</v>
      </c>
      <c r="D1975" t="str">
        <f>"270"</f>
        <v>270</v>
      </c>
    </row>
    <row r="1976" spans="1:4" x14ac:dyDescent="0.25">
      <c r="A1976" t="str">
        <f>"40515678  "</f>
        <v xml:space="preserve">40515678  </v>
      </c>
      <c r="B1976" t="s">
        <v>1933</v>
      </c>
      <c r="C1976" s="1">
        <v>5020.3999999999996</v>
      </c>
      <c r="D1976" t="str">
        <f>"278"</f>
        <v>278</v>
      </c>
    </row>
    <row r="1977" spans="1:4" x14ac:dyDescent="0.25">
      <c r="A1977" t="str">
        <f>"40515686  "</f>
        <v xml:space="preserve">40515686  </v>
      </c>
      <c r="B1977" t="s">
        <v>1934</v>
      </c>
      <c r="C1977">
        <v>40.700000000000003</v>
      </c>
      <c r="D1977" t="str">
        <f>"270"</f>
        <v>270</v>
      </c>
    </row>
    <row r="1978" spans="1:4" x14ac:dyDescent="0.25">
      <c r="A1978" t="str">
        <f>"40515694  "</f>
        <v xml:space="preserve">40515694  </v>
      </c>
      <c r="B1978" t="s">
        <v>1935</v>
      </c>
      <c r="C1978" s="1">
        <v>1751.2</v>
      </c>
      <c r="D1978" t="str">
        <f>"278"</f>
        <v>278</v>
      </c>
    </row>
    <row r="1979" spans="1:4" x14ac:dyDescent="0.25">
      <c r="A1979" t="str">
        <f>"40515702  "</f>
        <v xml:space="preserve">40515702  </v>
      </c>
      <c r="B1979" t="s">
        <v>1936</v>
      </c>
      <c r="C1979">
        <v>31.9</v>
      </c>
      <c r="D1979" t="str">
        <f t="shared" ref="D1979:D1996" si="90">"270"</f>
        <v>270</v>
      </c>
    </row>
    <row r="1980" spans="1:4" x14ac:dyDescent="0.25">
      <c r="A1980" t="str">
        <f>"40515710  "</f>
        <v xml:space="preserve">40515710  </v>
      </c>
      <c r="B1980" t="s">
        <v>1937</v>
      </c>
      <c r="C1980">
        <v>211.2</v>
      </c>
      <c r="D1980" t="str">
        <f t="shared" si="90"/>
        <v>270</v>
      </c>
    </row>
    <row r="1981" spans="1:4" x14ac:dyDescent="0.25">
      <c r="A1981" t="str">
        <f>"40515728  "</f>
        <v xml:space="preserve">40515728  </v>
      </c>
      <c r="B1981" t="s">
        <v>1938</v>
      </c>
      <c r="C1981">
        <v>173.8</v>
      </c>
      <c r="D1981" t="str">
        <f t="shared" si="90"/>
        <v>270</v>
      </c>
    </row>
    <row r="1982" spans="1:4" x14ac:dyDescent="0.25">
      <c r="A1982" t="str">
        <f>"40515736  "</f>
        <v xml:space="preserve">40515736  </v>
      </c>
      <c r="B1982" t="s">
        <v>1939</v>
      </c>
      <c r="C1982">
        <v>138.6</v>
      </c>
      <c r="D1982" t="str">
        <f t="shared" si="90"/>
        <v>270</v>
      </c>
    </row>
    <row r="1983" spans="1:4" x14ac:dyDescent="0.25">
      <c r="A1983" t="str">
        <f>"40515744  "</f>
        <v xml:space="preserve">40515744  </v>
      </c>
      <c r="B1983" t="s">
        <v>1940</v>
      </c>
      <c r="C1983">
        <v>85.8</v>
      </c>
      <c r="D1983" t="str">
        <f t="shared" si="90"/>
        <v>270</v>
      </c>
    </row>
    <row r="1984" spans="1:4" x14ac:dyDescent="0.25">
      <c r="A1984" t="str">
        <f>"40515751  "</f>
        <v xml:space="preserve">40515751  </v>
      </c>
      <c r="B1984" t="s">
        <v>1941</v>
      </c>
      <c r="C1984">
        <v>81.400000000000006</v>
      </c>
      <c r="D1984" t="str">
        <f t="shared" si="90"/>
        <v>270</v>
      </c>
    </row>
    <row r="1985" spans="1:4" x14ac:dyDescent="0.25">
      <c r="A1985" t="str">
        <f>"40515769  "</f>
        <v xml:space="preserve">40515769  </v>
      </c>
      <c r="B1985" t="s">
        <v>1942</v>
      </c>
      <c r="C1985">
        <v>15.4</v>
      </c>
      <c r="D1985" t="str">
        <f t="shared" si="90"/>
        <v>270</v>
      </c>
    </row>
    <row r="1986" spans="1:4" x14ac:dyDescent="0.25">
      <c r="A1986" t="str">
        <f>"40515777  "</f>
        <v xml:space="preserve">40515777  </v>
      </c>
      <c r="B1986" t="s">
        <v>1943</v>
      </c>
      <c r="C1986">
        <v>290.39999999999998</v>
      </c>
      <c r="D1986" t="str">
        <f t="shared" si="90"/>
        <v>270</v>
      </c>
    </row>
    <row r="1987" spans="1:4" x14ac:dyDescent="0.25">
      <c r="A1987" t="str">
        <f>"40515785  "</f>
        <v xml:space="preserve">40515785  </v>
      </c>
      <c r="B1987" t="s">
        <v>1944</v>
      </c>
      <c r="C1987">
        <v>303.60000000000002</v>
      </c>
      <c r="D1987" t="str">
        <f t="shared" si="90"/>
        <v>270</v>
      </c>
    </row>
    <row r="1988" spans="1:4" x14ac:dyDescent="0.25">
      <c r="A1988" t="str">
        <f>"40515793  "</f>
        <v xml:space="preserve">40515793  </v>
      </c>
      <c r="B1988" t="s">
        <v>1945</v>
      </c>
      <c r="C1988">
        <v>390.5</v>
      </c>
      <c r="D1988" t="str">
        <f t="shared" si="90"/>
        <v>270</v>
      </c>
    </row>
    <row r="1989" spans="1:4" x14ac:dyDescent="0.25">
      <c r="A1989" t="str">
        <f>"40515801  "</f>
        <v xml:space="preserve">40515801  </v>
      </c>
      <c r="B1989" t="s">
        <v>1946</v>
      </c>
      <c r="C1989">
        <v>25.3</v>
      </c>
      <c r="D1989" t="str">
        <f t="shared" si="90"/>
        <v>270</v>
      </c>
    </row>
    <row r="1990" spans="1:4" x14ac:dyDescent="0.25">
      <c r="A1990" t="str">
        <f>"40515819  "</f>
        <v xml:space="preserve">40515819  </v>
      </c>
      <c r="B1990" t="s">
        <v>1947</v>
      </c>
      <c r="C1990">
        <v>228.8</v>
      </c>
      <c r="D1990" t="str">
        <f t="shared" si="90"/>
        <v>270</v>
      </c>
    </row>
    <row r="1991" spans="1:4" x14ac:dyDescent="0.25">
      <c r="A1991" t="str">
        <f>"40515827  "</f>
        <v xml:space="preserve">40515827  </v>
      </c>
      <c r="B1991" t="s">
        <v>1948</v>
      </c>
      <c r="C1991">
        <v>493.9</v>
      </c>
      <c r="D1991" t="str">
        <f t="shared" si="90"/>
        <v>270</v>
      </c>
    </row>
    <row r="1992" spans="1:4" x14ac:dyDescent="0.25">
      <c r="A1992" t="str">
        <f>"40515835  "</f>
        <v xml:space="preserve">40515835  </v>
      </c>
      <c r="B1992" t="s">
        <v>1949</v>
      </c>
      <c r="C1992">
        <v>58.3</v>
      </c>
      <c r="D1992" t="str">
        <f t="shared" si="90"/>
        <v>270</v>
      </c>
    </row>
    <row r="1993" spans="1:4" x14ac:dyDescent="0.25">
      <c r="A1993" t="str">
        <f>"40515839"</f>
        <v>40515839</v>
      </c>
      <c r="B1993" t="s">
        <v>1950</v>
      </c>
      <c r="C1993" s="1">
        <v>1402.5</v>
      </c>
      <c r="D1993" t="str">
        <f t="shared" si="90"/>
        <v>270</v>
      </c>
    </row>
    <row r="1994" spans="1:4" x14ac:dyDescent="0.25">
      <c r="A1994" t="str">
        <f>"40515840"</f>
        <v>40515840</v>
      </c>
      <c r="B1994" t="s">
        <v>1951</v>
      </c>
      <c r="C1994" s="1">
        <v>1144</v>
      </c>
      <c r="D1994" t="str">
        <f t="shared" si="90"/>
        <v>270</v>
      </c>
    </row>
    <row r="1995" spans="1:4" x14ac:dyDescent="0.25">
      <c r="A1995" t="str">
        <f>"40515843  "</f>
        <v xml:space="preserve">40515843  </v>
      </c>
      <c r="B1995" t="s">
        <v>1952</v>
      </c>
      <c r="C1995">
        <v>52.8</v>
      </c>
      <c r="D1995" t="str">
        <f t="shared" si="90"/>
        <v>270</v>
      </c>
    </row>
    <row r="1996" spans="1:4" x14ac:dyDescent="0.25">
      <c r="A1996" t="str">
        <f>"40515850  "</f>
        <v xml:space="preserve">40515850  </v>
      </c>
      <c r="B1996" t="s">
        <v>1953</v>
      </c>
      <c r="C1996">
        <v>25.3</v>
      </c>
      <c r="D1996" t="str">
        <f t="shared" si="90"/>
        <v>270</v>
      </c>
    </row>
    <row r="1997" spans="1:4" x14ac:dyDescent="0.25">
      <c r="A1997" t="str">
        <f>"40515868  "</f>
        <v xml:space="preserve">40515868  </v>
      </c>
      <c r="B1997" t="s">
        <v>1954</v>
      </c>
      <c r="C1997">
        <v>561</v>
      </c>
      <c r="D1997" t="str">
        <f>"278"</f>
        <v>278</v>
      </c>
    </row>
    <row r="1998" spans="1:4" x14ac:dyDescent="0.25">
      <c r="A1998" t="str">
        <f>"40515876  "</f>
        <v xml:space="preserve">40515876  </v>
      </c>
      <c r="B1998" t="s">
        <v>1955</v>
      </c>
      <c r="C1998">
        <v>514.79999999999995</v>
      </c>
      <c r="D1998" t="str">
        <f>"278"</f>
        <v>278</v>
      </c>
    </row>
    <row r="1999" spans="1:4" x14ac:dyDescent="0.25">
      <c r="A1999" t="str">
        <f>"40515892  "</f>
        <v xml:space="preserve">40515892  </v>
      </c>
      <c r="B1999" t="s">
        <v>1956</v>
      </c>
      <c r="C1999">
        <v>407</v>
      </c>
      <c r="D1999" t="str">
        <f>"278"</f>
        <v>278</v>
      </c>
    </row>
    <row r="2000" spans="1:4" x14ac:dyDescent="0.25">
      <c r="A2000" t="str">
        <f>"40515900  "</f>
        <v xml:space="preserve">40515900  </v>
      </c>
      <c r="B2000" t="s">
        <v>1957</v>
      </c>
      <c r="C2000">
        <v>29.7</v>
      </c>
      <c r="D2000" t="str">
        <f t="shared" ref="D2000:D2005" si="91">"270"</f>
        <v>270</v>
      </c>
    </row>
    <row r="2001" spans="1:4" x14ac:dyDescent="0.25">
      <c r="A2001" t="str">
        <f>"40515918  "</f>
        <v xml:space="preserve">40515918  </v>
      </c>
      <c r="B2001" t="s">
        <v>1958</v>
      </c>
      <c r="C2001">
        <v>367.4</v>
      </c>
      <c r="D2001" t="str">
        <f t="shared" si="91"/>
        <v>270</v>
      </c>
    </row>
    <row r="2002" spans="1:4" x14ac:dyDescent="0.25">
      <c r="A2002" t="str">
        <f>"40515926  "</f>
        <v xml:space="preserve">40515926  </v>
      </c>
      <c r="B2002" t="s">
        <v>1959</v>
      </c>
      <c r="C2002">
        <v>858</v>
      </c>
      <c r="D2002" t="str">
        <f t="shared" si="91"/>
        <v>270</v>
      </c>
    </row>
    <row r="2003" spans="1:4" x14ac:dyDescent="0.25">
      <c r="A2003" t="str">
        <f>"40515934  "</f>
        <v xml:space="preserve">40515934  </v>
      </c>
      <c r="B2003" t="s">
        <v>1960</v>
      </c>
      <c r="C2003">
        <v>140.80000000000001</v>
      </c>
      <c r="D2003" t="str">
        <f t="shared" si="91"/>
        <v>270</v>
      </c>
    </row>
    <row r="2004" spans="1:4" x14ac:dyDescent="0.25">
      <c r="A2004" t="str">
        <f>"40515942  "</f>
        <v xml:space="preserve">40515942  </v>
      </c>
      <c r="B2004" t="s">
        <v>1961</v>
      </c>
      <c r="C2004">
        <v>554.4</v>
      </c>
      <c r="D2004" t="str">
        <f t="shared" si="91"/>
        <v>270</v>
      </c>
    </row>
    <row r="2005" spans="1:4" x14ac:dyDescent="0.25">
      <c r="A2005" t="str">
        <f>"40515959  "</f>
        <v xml:space="preserve">40515959  </v>
      </c>
      <c r="B2005" t="s">
        <v>1962</v>
      </c>
      <c r="C2005">
        <v>8.8000000000000007</v>
      </c>
      <c r="D2005" t="str">
        <f t="shared" si="91"/>
        <v>270</v>
      </c>
    </row>
    <row r="2006" spans="1:4" x14ac:dyDescent="0.25">
      <c r="A2006" t="str">
        <f>"40515967  "</f>
        <v xml:space="preserve">40515967  </v>
      </c>
      <c r="B2006" t="s">
        <v>1963</v>
      </c>
      <c r="C2006">
        <v>753.5</v>
      </c>
      <c r="D2006" t="str">
        <f>"278"</f>
        <v>278</v>
      </c>
    </row>
    <row r="2007" spans="1:4" x14ac:dyDescent="0.25">
      <c r="A2007" t="str">
        <f>"40515975  "</f>
        <v xml:space="preserve">40515975  </v>
      </c>
      <c r="B2007" t="s">
        <v>1964</v>
      </c>
      <c r="C2007">
        <v>7.7</v>
      </c>
      <c r="D2007" t="str">
        <f>"270"</f>
        <v>270</v>
      </c>
    </row>
    <row r="2008" spans="1:4" x14ac:dyDescent="0.25">
      <c r="A2008" t="str">
        <f>"40515983  "</f>
        <v xml:space="preserve">40515983  </v>
      </c>
      <c r="B2008" t="s">
        <v>1965</v>
      </c>
      <c r="C2008">
        <v>253</v>
      </c>
      <c r="D2008" t="str">
        <f>"278"</f>
        <v>278</v>
      </c>
    </row>
    <row r="2009" spans="1:4" x14ac:dyDescent="0.25">
      <c r="A2009" t="str">
        <f>"40515991  "</f>
        <v xml:space="preserve">40515991  </v>
      </c>
      <c r="B2009" t="s">
        <v>1966</v>
      </c>
      <c r="C2009">
        <v>19.8</v>
      </c>
      <c r="D2009" t="str">
        <f>"270"</f>
        <v>270</v>
      </c>
    </row>
    <row r="2010" spans="1:4" x14ac:dyDescent="0.25">
      <c r="A2010" t="str">
        <f>"40516007  "</f>
        <v xml:space="preserve">40516007  </v>
      </c>
      <c r="B2010" t="s">
        <v>1967</v>
      </c>
      <c r="C2010">
        <v>7.7</v>
      </c>
      <c r="D2010" t="str">
        <f>"270"</f>
        <v>270</v>
      </c>
    </row>
    <row r="2011" spans="1:4" x14ac:dyDescent="0.25">
      <c r="A2011" t="str">
        <f>"40516015  "</f>
        <v xml:space="preserve">40516015  </v>
      </c>
      <c r="B2011" t="s">
        <v>1968</v>
      </c>
      <c r="C2011">
        <v>46.2</v>
      </c>
      <c r="D2011" t="str">
        <f>"270"</f>
        <v>270</v>
      </c>
    </row>
    <row r="2012" spans="1:4" x14ac:dyDescent="0.25">
      <c r="A2012" t="str">
        <f>"40516023  "</f>
        <v xml:space="preserve">40516023  </v>
      </c>
      <c r="B2012" t="s">
        <v>1969</v>
      </c>
      <c r="C2012">
        <v>277.2</v>
      </c>
      <c r="D2012" t="str">
        <f>"270"</f>
        <v>270</v>
      </c>
    </row>
    <row r="2013" spans="1:4" x14ac:dyDescent="0.25">
      <c r="A2013" t="str">
        <f>"40516031  "</f>
        <v xml:space="preserve">40516031  </v>
      </c>
      <c r="B2013" t="s">
        <v>1970</v>
      </c>
      <c r="C2013">
        <v>156.19999999999999</v>
      </c>
      <c r="D2013" t="str">
        <f>"271"</f>
        <v>271</v>
      </c>
    </row>
    <row r="2014" spans="1:4" x14ac:dyDescent="0.25">
      <c r="A2014" t="str">
        <f>"40516049  "</f>
        <v xml:space="preserve">40516049  </v>
      </c>
      <c r="B2014" t="s">
        <v>1971</v>
      </c>
      <c r="C2014">
        <v>39.6</v>
      </c>
      <c r="D2014" t="str">
        <f t="shared" ref="D2014:D2035" si="92">"270"</f>
        <v>270</v>
      </c>
    </row>
    <row r="2015" spans="1:4" x14ac:dyDescent="0.25">
      <c r="A2015" t="str">
        <f>"40516056  "</f>
        <v xml:space="preserve">40516056  </v>
      </c>
      <c r="B2015" t="s">
        <v>1972</v>
      </c>
      <c r="C2015">
        <v>7.7</v>
      </c>
      <c r="D2015" t="str">
        <f t="shared" si="92"/>
        <v>270</v>
      </c>
    </row>
    <row r="2016" spans="1:4" x14ac:dyDescent="0.25">
      <c r="A2016" t="str">
        <f>"40516072  "</f>
        <v xml:space="preserve">40516072  </v>
      </c>
      <c r="B2016" t="s">
        <v>1973</v>
      </c>
      <c r="C2016">
        <v>59.4</v>
      </c>
      <c r="D2016" t="str">
        <f t="shared" si="92"/>
        <v>270</v>
      </c>
    </row>
    <row r="2017" spans="1:5" x14ac:dyDescent="0.25">
      <c r="A2017" t="str">
        <f>"40516080  "</f>
        <v xml:space="preserve">40516080  </v>
      </c>
      <c r="B2017" t="s">
        <v>1974</v>
      </c>
      <c r="C2017">
        <v>158.4</v>
      </c>
      <c r="D2017" t="str">
        <f t="shared" si="92"/>
        <v>270</v>
      </c>
    </row>
    <row r="2018" spans="1:5" x14ac:dyDescent="0.25">
      <c r="A2018" t="str">
        <f>"40516098  "</f>
        <v xml:space="preserve">40516098  </v>
      </c>
      <c r="B2018" t="s">
        <v>1975</v>
      </c>
      <c r="C2018">
        <v>520.29999999999995</v>
      </c>
      <c r="D2018" t="str">
        <f t="shared" si="92"/>
        <v>270</v>
      </c>
    </row>
    <row r="2019" spans="1:5" x14ac:dyDescent="0.25">
      <c r="A2019" t="str">
        <f>"40516106  "</f>
        <v xml:space="preserve">40516106  </v>
      </c>
      <c r="B2019" t="s">
        <v>1976</v>
      </c>
      <c r="C2019">
        <v>136.4</v>
      </c>
      <c r="D2019" t="str">
        <f t="shared" si="92"/>
        <v>270</v>
      </c>
    </row>
    <row r="2020" spans="1:5" x14ac:dyDescent="0.25">
      <c r="A2020" t="str">
        <f>"40516114  "</f>
        <v xml:space="preserve">40516114  </v>
      </c>
      <c r="B2020" t="s">
        <v>1977</v>
      </c>
      <c r="C2020">
        <v>60.5</v>
      </c>
      <c r="D2020" t="str">
        <f t="shared" si="92"/>
        <v>270</v>
      </c>
    </row>
    <row r="2021" spans="1:5" x14ac:dyDescent="0.25">
      <c r="A2021" t="str">
        <f>"40516122  "</f>
        <v xml:space="preserve">40516122  </v>
      </c>
      <c r="B2021" t="s">
        <v>1978</v>
      </c>
      <c r="C2021">
        <v>245.3</v>
      </c>
      <c r="D2021" t="str">
        <f t="shared" si="92"/>
        <v>270</v>
      </c>
    </row>
    <row r="2022" spans="1:5" x14ac:dyDescent="0.25">
      <c r="A2022" t="str">
        <f>"40516130  "</f>
        <v xml:space="preserve">40516130  </v>
      </c>
      <c r="B2022" t="s">
        <v>1979</v>
      </c>
      <c r="C2022" s="1">
        <v>1205.5999999999999</v>
      </c>
      <c r="D2022" t="str">
        <f t="shared" si="92"/>
        <v>270</v>
      </c>
    </row>
    <row r="2023" spans="1:5" x14ac:dyDescent="0.25">
      <c r="A2023" t="str">
        <f>"40516148  "</f>
        <v xml:space="preserve">40516148  </v>
      </c>
      <c r="B2023" t="s">
        <v>1980</v>
      </c>
      <c r="C2023" s="1">
        <v>2376</v>
      </c>
      <c r="D2023" t="str">
        <f t="shared" si="92"/>
        <v>270</v>
      </c>
    </row>
    <row r="2024" spans="1:5" x14ac:dyDescent="0.25">
      <c r="A2024" t="str">
        <f>"40516155  "</f>
        <v xml:space="preserve">40516155  </v>
      </c>
      <c r="B2024" t="s">
        <v>1981</v>
      </c>
      <c r="C2024">
        <v>126.5</v>
      </c>
      <c r="D2024" t="str">
        <f t="shared" si="92"/>
        <v>270</v>
      </c>
    </row>
    <row r="2025" spans="1:5" x14ac:dyDescent="0.25">
      <c r="A2025" t="str">
        <f>"40516163  "</f>
        <v xml:space="preserve">40516163  </v>
      </c>
      <c r="B2025" t="s">
        <v>1982</v>
      </c>
      <c r="C2025">
        <v>177.1</v>
      </c>
      <c r="D2025" t="str">
        <f t="shared" si="92"/>
        <v>270</v>
      </c>
    </row>
    <row r="2026" spans="1:5" x14ac:dyDescent="0.25">
      <c r="A2026" t="str">
        <f>"40516171  "</f>
        <v xml:space="preserve">40516171  </v>
      </c>
      <c r="B2026" t="s">
        <v>1983</v>
      </c>
      <c r="C2026">
        <v>205.7</v>
      </c>
      <c r="D2026" t="str">
        <f t="shared" si="92"/>
        <v>270</v>
      </c>
    </row>
    <row r="2027" spans="1:5" x14ac:dyDescent="0.25">
      <c r="A2027" t="str">
        <f>"40516189  "</f>
        <v xml:space="preserve">40516189  </v>
      </c>
      <c r="B2027" t="s">
        <v>1984</v>
      </c>
      <c r="C2027">
        <v>430.1</v>
      </c>
      <c r="D2027" t="str">
        <f t="shared" si="92"/>
        <v>270</v>
      </c>
    </row>
    <row r="2028" spans="1:5" x14ac:dyDescent="0.25">
      <c r="A2028" t="str">
        <f>"40516197  "</f>
        <v xml:space="preserve">40516197  </v>
      </c>
      <c r="B2028" t="s">
        <v>1985</v>
      </c>
      <c r="C2028">
        <v>262.89999999999998</v>
      </c>
      <c r="D2028" t="str">
        <f t="shared" si="92"/>
        <v>270</v>
      </c>
    </row>
    <row r="2029" spans="1:5" x14ac:dyDescent="0.25">
      <c r="A2029" t="str">
        <f>"40516205  "</f>
        <v xml:space="preserve">40516205  </v>
      </c>
      <c r="B2029" t="s">
        <v>1986</v>
      </c>
      <c r="C2029">
        <v>22</v>
      </c>
      <c r="D2029" t="str">
        <f t="shared" si="92"/>
        <v>270</v>
      </c>
    </row>
    <row r="2030" spans="1:5" x14ac:dyDescent="0.25">
      <c r="A2030" t="str">
        <f>"40516213  "</f>
        <v xml:space="preserve">40516213  </v>
      </c>
      <c r="B2030" t="s">
        <v>1987</v>
      </c>
      <c r="C2030" s="1">
        <v>1929.4</v>
      </c>
      <c r="D2030" t="str">
        <f t="shared" si="92"/>
        <v>270</v>
      </c>
    </row>
    <row r="2031" spans="1:5" x14ac:dyDescent="0.25">
      <c r="A2031" t="str">
        <f>"40516221  "</f>
        <v xml:space="preserve">40516221  </v>
      </c>
      <c r="B2031" t="s">
        <v>1988</v>
      </c>
      <c r="C2031">
        <v>85.8</v>
      </c>
      <c r="D2031" t="str">
        <f t="shared" si="92"/>
        <v>270</v>
      </c>
    </row>
    <row r="2032" spans="1:5" x14ac:dyDescent="0.25">
      <c r="A2032" t="str">
        <f>"40516239  "</f>
        <v xml:space="preserve">40516239  </v>
      </c>
      <c r="B2032" t="s">
        <v>1989</v>
      </c>
      <c r="C2032">
        <v>71.5</v>
      </c>
      <c r="D2032" t="str">
        <f t="shared" si="92"/>
        <v>270</v>
      </c>
      <c r="E2032" t="str">
        <f>"00099"</f>
        <v>00099</v>
      </c>
    </row>
    <row r="2033" spans="1:4" x14ac:dyDescent="0.25">
      <c r="A2033" t="str">
        <f>"40516247  "</f>
        <v xml:space="preserve">40516247  </v>
      </c>
      <c r="B2033" t="s">
        <v>1990</v>
      </c>
      <c r="C2033">
        <v>150.69999999999999</v>
      </c>
      <c r="D2033" t="str">
        <f t="shared" si="92"/>
        <v>270</v>
      </c>
    </row>
    <row r="2034" spans="1:4" x14ac:dyDescent="0.25">
      <c r="A2034" t="str">
        <f>"40516262  "</f>
        <v xml:space="preserve">40516262  </v>
      </c>
      <c r="B2034" t="s">
        <v>1991</v>
      </c>
      <c r="C2034">
        <v>139.69999999999999</v>
      </c>
      <c r="D2034" t="str">
        <f t="shared" si="92"/>
        <v>270</v>
      </c>
    </row>
    <row r="2035" spans="1:4" x14ac:dyDescent="0.25">
      <c r="A2035" t="str">
        <f>"40516270  "</f>
        <v xml:space="preserve">40516270  </v>
      </c>
      <c r="B2035" t="s">
        <v>1992</v>
      </c>
      <c r="C2035">
        <v>201.3</v>
      </c>
      <c r="D2035" t="str">
        <f t="shared" si="92"/>
        <v>270</v>
      </c>
    </row>
    <row r="2036" spans="1:4" x14ac:dyDescent="0.25">
      <c r="A2036" t="str">
        <f>"40516288  "</f>
        <v xml:space="preserve">40516288  </v>
      </c>
      <c r="B2036" t="s">
        <v>1993</v>
      </c>
      <c r="C2036">
        <v>5.5</v>
      </c>
      <c r="D2036" t="str">
        <f>"271"</f>
        <v>271</v>
      </c>
    </row>
    <row r="2037" spans="1:4" x14ac:dyDescent="0.25">
      <c r="A2037" t="str">
        <f>"40516304  "</f>
        <v xml:space="preserve">40516304  </v>
      </c>
      <c r="B2037" t="s">
        <v>1994</v>
      </c>
      <c r="C2037">
        <v>93.5</v>
      </c>
      <c r="D2037" t="str">
        <f>"270"</f>
        <v>270</v>
      </c>
    </row>
    <row r="2038" spans="1:4" x14ac:dyDescent="0.25">
      <c r="A2038" t="str">
        <f>"40516312  "</f>
        <v xml:space="preserve">40516312  </v>
      </c>
      <c r="B2038" t="s">
        <v>1995</v>
      </c>
      <c r="C2038">
        <v>927.3</v>
      </c>
      <c r="D2038" t="str">
        <f>"270"</f>
        <v>270</v>
      </c>
    </row>
    <row r="2039" spans="1:4" x14ac:dyDescent="0.25">
      <c r="A2039" t="str">
        <f>"40516320  "</f>
        <v xml:space="preserve">40516320  </v>
      </c>
      <c r="B2039" t="s">
        <v>1996</v>
      </c>
      <c r="C2039">
        <v>28.6</v>
      </c>
      <c r="D2039" t="str">
        <f>"270"</f>
        <v>270</v>
      </c>
    </row>
    <row r="2040" spans="1:4" x14ac:dyDescent="0.25">
      <c r="A2040" t="str">
        <f>"40516338  "</f>
        <v xml:space="preserve">40516338  </v>
      </c>
      <c r="B2040" t="s">
        <v>1997</v>
      </c>
      <c r="C2040" s="1">
        <v>1014.2</v>
      </c>
      <c r="D2040" t="str">
        <f>"270"</f>
        <v>270</v>
      </c>
    </row>
    <row r="2041" spans="1:4" x14ac:dyDescent="0.25">
      <c r="A2041" t="str">
        <f>"40516346  "</f>
        <v xml:space="preserve">40516346  </v>
      </c>
      <c r="B2041" t="s">
        <v>1998</v>
      </c>
      <c r="C2041">
        <v>121</v>
      </c>
      <c r="D2041" t="str">
        <f>"270"</f>
        <v>270</v>
      </c>
    </row>
    <row r="2042" spans="1:4" x14ac:dyDescent="0.25">
      <c r="A2042" t="str">
        <f>"40516353  "</f>
        <v xml:space="preserve">40516353  </v>
      </c>
      <c r="B2042" t="s">
        <v>1999</v>
      </c>
      <c r="C2042">
        <v>14.3</v>
      </c>
      <c r="D2042" t="str">
        <f>"271"</f>
        <v>271</v>
      </c>
    </row>
    <row r="2043" spans="1:4" x14ac:dyDescent="0.25">
      <c r="A2043" t="str">
        <f>"40516361  "</f>
        <v xml:space="preserve">40516361  </v>
      </c>
      <c r="B2043" t="s">
        <v>2000</v>
      </c>
      <c r="C2043" s="1">
        <v>1677.5</v>
      </c>
      <c r="D2043" t="str">
        <f t="shared" ref="D2043:D2048" si="93">"270"</f>
        <v>270</v>
      </c>
    </row>
    <row r="2044" spans="1:4" x14ac:dyDescent="0.25">
      <c r="A2044" t="str">
        <f>"40516387  "</f>
        <v xml:space="preserve">40516387  </v>
      </c>
      <c r="B2044" t="s">
        <v>2001</v>
      </c>
      <c r="C2044" s="1">
        <v>1117.5999999999999</v>
      </c>
      <c r="D2044" t="str">
        <f t="shared" si="93"/>
        <v>270</v>
      </c>
    </row>
    <row r="2045" spans="1:4" x14ac:dyDescent="0.25">
      <c r="A2045" t="str">
        <f>"40516395  "</f>
        <v xml:space="preserve">40516395  </v>
      </c>
      <c r="B2045" t="s">
        <v>2002</v>
      </c>
      <c r="C2045">
        <v>319</v>
      </c>
      <c r="D2045" t="str">
        <f t="shared" si="93"/>
        <v>270</v>
      </c>
    </row>
    <row r="2046" spans="1:4" x14ac:dyDescent="0.25">
      <c r="A2046" t="str">
        <f>"40516403  "</f>
        <v xml:space="preserve">40516403  </v>
      </c>
      <c r="B2046" t="s">
        <v>2003</v>
      </c>
      <c r="C2046">
        <v>8.8000000000000007</v>
      </c>
      <c r="D2046" t="str">
        <f t="shared" si="93"/>
        <v>270</v>
      </c>
    </row>
    <row r="2047" spans="1:4" x14ac:dyDescent="0.25">
      <c r="A2047" t="str">
        <f>"40516411  "</f>
        <v xml:space="preserve">40516411  </v>
      </c>
      <c r="B2047" t="s">
        <v>2004</v>
      </c>
      <c r="C2047">
        <v>125.4</v>
      </c>
      <c r="D2047" t="str">
        <f t="shared" si="93"/>
        <v>270</v>
      </c>
    </row>
    <row r="2048" spans="1:4" x14ac:dyDescent="0.25">
      <c r="A2048" t="str">
        <f>"40516429  "</f>
        <v xml:space="preserve">40516429  </v>
      </c>
      <c r="B2048" t="s">
        <v>2005</v>
      </c>
      <c r="C2048" s="1">
        <v>1091.2</v>
      </c>
      <c r="D2048" t="str">
        <f t="shared" si="93"/>
        <v>270</v>
      </c>
    </row>
    <row r="2049" spans="1:5" x14ac:dyDescent="0.25">
      <c r="A2049" t="str">
        <f>"40516437  "</f>
        <v xml:space="preserve">40516437  </v>
      </c>
      <c r="B2049" t="s">
        <v>2006</v>
      </c>
      <c r="C2049" s="1">
        <v>3153.7</v>
      </c>
      <c r="D2049" t="str">
        <f>"278"</f>
        <v>278</v>
      </c>
    </row>
    <row r="2050" spans="1:5" x14ac:dyDescent="0.25">
      <c r="A2050" t="str">
        <f>"40516445  "</f>
        <v xml:space="preserve">40516445  </v>
      </c>
      <c r="B2050" t="s">
        <v>2007</v>
      </c>
      <c r="C2050">
        <v>728.2</v>
      </c>
      <c r="D2050" t="str">
        <f>"270"</f>
        <v>270</v>
      </c>
    </row>
    <row r="2051" spans="1:5" x14ac:dyDescent="0.25">
      <c r="A2051" t="str">
        <f>"40516452  "</f>
        <v xml:space="preserve">40516452  </v>
      </c>
      <c r="B2051" t="s">
        <v>2008</v>
      </c>
      <c r="C2051">
        <v>278.3</v>
      </c>
      <c r="D2051" t="str">
        <f>"270"</f>
        <v>270</v>
      </c>
    </row>
    <row r="2052" spans="1:5" x14ac:dyDescent="0.25">
      <c r="A2052" t="str">
        <f>"40516460  "</f>
        <v xml:space="preserve">40516460  </v>
      </c>
      <c r="B2052" t="s">
        <v>2009</v>
      </c>
      <c r="C2052">
        <v>108.9</v>
      </c>
      <c r="D2052" t="str">
        <f>"272"</f>
        <v>272</v>
      </c>
      <c r="E2052" t="str">
        <f>"A4550"</f>
        <v>A4550</v>
      </c>
    </row>
    <row r="2053" spans="1:5" x14ac:dyDescent="0.25">
      <c r="A2053" t="str">
        <f>"40516478  "</f>
        <v xml:space="preserve">40516478  </v>
      </c>
      <c r="B2053" t="s">
        <v>2010</v>
      </c>
      <c r="C2053">
        <v>59.4</v>
      </c>
      <c r="D2053" t="str">
        <f>"272"</f>
        <v>272</v>
      </c>
      <c r="E2053" t="str">
        <f>"A4550"</f>
        <v>A4550</v>
      </c>
    </row>
    <row r="2054" spans="1:5" x14ac:dyDescent="0.25">
      <c r="A2054" t="str">
        <f>"40516502  "</f>
        <v xml:space="preserve">40516502  </v>
      </c>
      <c r="B2054" t="s">
        <v>2011</v>
      </c>
      <c r="C2054">
        <v>161.69999999999999</v>
      </c>
      <c r="D2054" t="str">
        <f>"270"</f>
        <v>270</v>
      </c>
    </row>
    <row r="2055" spans="1:5" x14ac:dyDescent="0.25">
      <c r="A2055" t="str">
        <f>"40516510  "</f>
        <v xml:space="preserve">40516510  </v>
      </c>
      <c r="B2055" t="s">
        <v>2012</v>
      </c>
      <c r="C2055" s="1">
        <v>5060</v>
      </c>
      <c r="D2055" t="str">
        <f>"278"</f>
        <v>278</v>
      </c>
    </row>
    <row r="2056" spans="1:5" x14ac:dyDescent="0.25">
      <c r="A2056" t="str">
        <f>"40516528  "</f>
        <v xml:space="preserve">40516528  </v>
      </c>
      <c r="B2056" t="s">
        <v>2013</v>
      </c>
      <c r="C2056">
        <v>96.8</v>
      </c>
      <c r="D2056" t="str">
        <f>"278"</f>
        <v>278</v>
      </c>
    </row>
    <row r="2057" spans="1:5" x14ac:dyDescent="0.25">
      <c r="A2057" t="str">
        <f>"40516536  "</f>
        <v xml:space="preserve">40516536  </v>
      </c>
      <c r="B2057" t="s">
        <v>2014</v>
      </c>
      <c r="C2057">
        <v>123.2</v>
      </c>
      <c r="D2057" t="str">
        <f>"270"</f>
        <v>270</v>
      </c>
    </row>
    <row r="2058" spans="1:5" x14ac:dyDescent="0.25">
      <c r="A2058" t="str">
        <f>"40516544  "</f>
        <v xml:space="preserve">40516544  </v>
      </c>
      <c r="B2058" t="s">
        <v>2015</v>
      </c>
      <c r="C2058" s="1">
        <v>3993</v>
      </c>
      <c r="D2058" t="str">
        <f>"270"</f>
        <v>270</v>
      </c>
    </row>
    <row r="2059" spans="1:5" x14ac:dyDescent="0.25">
      <c r="A2059" t="str">
        <f>"40516551  "</f>
        <v xml:space="preserve">40516551  </v>
      </c>
      <c r="B2059" t="s">
        <v>2016</v>
      </c>
      <c r="C2059">
        <v>7.7</v>
      </c>
      <c r="D2059" t="str">
        <f>"270"</f>
        <v>270</v>
      </c>
    </row>
    <row r="2060" spans="1:5" x14ac:dyDescent="0.25">
      <c r="A2060" t="str">
        <f>"40516569  "</f>
        <v xml:space="preserve">40516569  </v>
      </c>
      <c r="B2060" t="s">
        <v>2017</v>
      </c>
      <c r="C2060" s="1">
        <v>4195.3999999999996</v>
      </c>
      <c r="D2060" t="str">
        <f>"278"</f>
        <v>278</v>
      </c>
    </row>
    <row r="2061" spans="1:5" x14ac:dyDescent="0.25">
      <c r="A2061" t="str">
        <f>"40516577  "</f>
        <v xml:space="preserve">40516577  </v>
      </c>
      <c r="B2061" t="s">
        <v>2018</v>
      </c>
      <c r="C2061">
        <v>106.7</v>
      </c>
      <c r="D2061" t="str">
        <f t="shared" ref="D2061:D2067" si="94">"270"</f>
        <v>270</v>
      </c>
    </row>
    <row r="2062" spans="1:5" x14ac:dyDescent="0.25">
      <c r="A2062" t="str">
        <f>"40516601  "</f>
        <v xml:space="preserve">40516601  </v>
      </c>
      <c r="B2062" t="s">
        <v>2019</v>
      </c>
      <c r="C2062">
        <v>58.3</v>
      </c>
      <c r="D2062" t="str">
        <f t="shared" si="94"/>
        <v>270</v>
      </c>
    </row>
    <row r="2063" spans="1:5" x14ac:dyDescent="0.25">
      <c r="A2063" t="str">
        <f>"40516619  "</f>
        <v xml:space="preserve">40516619  </v>
      </c>
      <c r="B2063" t="s">
        <v>2020</v>
      </c>
      <c r="C2063">
        <v>226.6</v>
      </c>
      <c r="D2063" t="str">
        <f t="shared" si="94"/>
        <v>270</v>
      </c>
    </row>
    <row r="2064" spans="1:5" x14ac:dyDescent="0.25">
      <c r="A2064" t="str">
        <f>"40516627  "</f>
        <v xml:space="preserve">40516627  </v>
      </c>
      <c r="B2064" t="s">
        <v>2021</v>
      </c>
      <c r="C2064">
        <v>71.5</v>
      </c>
      <c r="D2064" t="str">
        <f t="shared" si="94"/>
        <v>270</v>
      </c>
    </row>
    <row r="2065" spans="1:5" x14ac:dyDescent="0.25">
      <c r="A2065" t="str">
        <f>"40516635  "</f>
        <v xml:space="preserve">40516635  </v>
      </c>
      <c r="B2065" t="s">
        <v>2022</v>
      </c>
      <c r="C2065" s="1">
        <v>1650</v>
      </c>
      <c r="D2065" t="str">
        <f t="shared" si="94"/>
        <v>270</v>
      </c>
    </row>
    <row r="2066" spans="1:5" x14ac:dyDescent="0.25">
      <c r="A2066" t="str">
        <f>"40516643  "</f>
        <v xml:space="preserve">40516643  </v>
      </c>
      <c r="B2066" t="s">
        <v>2023</v>
      </c>
      <c r="C2066">
        <v>7.7</v>
      </c>
      <c r="D2066" t="str">
        <f t="shared" si="94"/>
        <v>270</v>
      </c>
    </row>
    <row r="2067" spans="1:5" x14ac:dyDescent="0.25">
      <c r="A2067" t="str">
        <f>"40516650  "</f>
        <v xml:space="preserve">40516650  </v>
      </c>
      <c r="B2067" t="s">
        <v>2024</v>
      </c>
      <c r="C2067">
        <v>14.3</v>
      </c>
      <c r="D2067" t="str">
        <f t="shared" si="94"/>
        <v>270</v>
      </c>
    </row>
    <row r="2068" spans="1:5" x14ac:dyDescent="0.25">
      <c r="A2068" t="str">
        <f>"40516663"</f>
        <v>40516663</v>
      </c>
      <c r="B2068" t="s">
        <v>2025</v>
      </c>
      <c r="C2068" s="1">
        <v>5500</v>
      </c>
      <c r="D2068" t="str">
        <f>"278"</f>
        <v>278</v>
      </c>
    </row>
    <row r="2069" spans="1:5" x14ac:dyDescent="0.25">
      <c r="A2069" t="str">
        <f>"40516679"</f>
        <v>40516679</v>
      </c>
      <c r="B2069" t="s">
        <v>2026</v>
      </c>
      <c r="C2069">
        <v>616</v>
      </c>
      <c r="D2069" t="str">
        <f>"278"</f>
        <v>278</v>
      </c>
    </row>
    <row r="2070" spans="1:5" x14ac:dyDescent="0.25">
      <c r="A2070" t="str">
        <f>"40516688"</f>
        <v>40516688</v>
      </c>
      <c r="B2070" t="s">
        <v>2027</v>
      </c>
      <c r="C2070">
        <v>1.25</v>
      </c>
      <c r="D2070" t="str">
        <f>"270"</f>
        <v>270</v>
      </c>
    </row>
    <row r="2071" spans="1:5" x14ac:dyDescent="0.25">
      <c r="A2071" t="str">
        <f>"40516699"</f>
        <v>40516699</v>
      </c>
      <c r="B2071" t="s">
        <v>2028</v>
      </c>
      <c r="C2071" s="1">
        <v>2310</v>
      </c>
      <c r="D2071" t="str">
        <f>"278"</f>
        <v>278</v>
      </c>
    </row>
    <row r="2072" spans="1:5" x14ac:dyDescent="0.25">
      <c r="A2072" t="str">
        <f>"40516700  "</f>
        <v xml:space="preserve">40516700  </v>
      </c>
      <c r="B2072" t="s">
        <v>2029</v>
      </c>
      <c r="C2072">
        <v>95.7</v>
      </c>
      <c r="D2072" t="str">
        <f>"270"</f>
        <v>270</v>
      </c>
    </row>
    <row r="2073" spans="1:5" x14ac:dyDescent="0.25">
      <c r="A2073" t="str">
        <f>"40516718  "</f>
        <v xml:space="preserve">40516718  </v>
      </c>
      <c r="B2073" t="s">
        <v>2030</v>
      </c>
      <c r="C2073">
        <v>704</v>
      </c>
      <c r="D2073" t="str">
        <f>"270"</f>
        <v>270</v>
      </c>
    </row>
    <row r="2074" spans="1:5" x14ac:dyDescent="0.25">
      <c r="A2074" t="str">
        <f>"40516726  "</f>
        <v xml:space="preserve">40516726  </v>
      </c>
      <c r="B2074" t="s">
        <v>2031</v>
      </c>
      <c r="C2074">
        <v>243.1</v>
      </c>
      <c r="D2074" t="str">
        <f>"270"</f>
        <v>270</v>
      </c>
    </row>
    <row r="2075" spans="1:5" x14ac:dyDescent="0.25">
      <c r="A2075" t="str">
        <f>"40516734  "</f>
        <v xml:space="preserve">40516734  </v>
      </c>
      <c r="B2075" t="s">
        <v>2032</v>
      </c>
      <c r="C2075">
        <v>574.20000000000005</v>
      </c>
      <c r="D2075" t="str">
        <f>"270"</f>
        <v>270</v>
      </c>
    </row>
    <row r="2076" spans="1:5" x14ac:dyDescent="0.25">
      <c r="A2076" t="str">
        <f>"40516742  "</f>
        <v xml:space="preserve">40516742  </v>
      </c>
      <c r="B2076" t="s">
        <v>2033</v>
      </c>
      <c r="C2076">
        <v>243.1</v>
      </c>
      <c r="D2076" t="str">
        <f>"270"</f>
        <v>270</v>
      </c>
    </row>
    <row r="2077" spans="1:5" x14ac:dyDescent="0.25">
      <c r="A2077" t="str">
        <f>"40516759  "</f>
        <v xml:space="preserve">40516759  </v>
      </c>
      <c r="B2077" t="s">
        <v>2034</v>
      </c>
      <c r="C2077">
        <v>17.600000000000001</v>
      </c>
      <c r="D2077" t="str">
        <f>"271"</f>
        <v>271</v>
      </c>
    </row>
    <row r="2078" spans="1:5" x14ac:dyDescent="0.25">
      <c r="A2078" t="str">
        <f>"40516809  "</f>
        <v xml:space="preserve">40516809  </v>
      </c>
      <c r="B2078" t="s">
        <v>2035</v>
      </c>
      <c r="C2078">
        <v>12.1</v>
      </c>
      <c r="D2078" t="str">
        <f>"271"</f>
        <v>271</v>
      </c>
      <c r="E2078" t="str">
        <f>"A4615"</f>
        <v>A4615</v>
      </c>
    </row>
    <row r="2079" spans="1:5" x14ac:dyDescent="0.25">
      <c r="A2079" t="str">
        <f>"40516817  "</f>
        <v xml:space="preserve">40516817  </v>
      </c>
      <c r="B2079" t="s">
        <v>2036</v>
      </c>
      <c r="C2079">
        <v>37.4</v>
      </c>
      <c r="D2079" t="str">
        <f>"271"</f>
        <v>271</v>
      </c>
    </row>
    <row r="2080" spans="1:5" x14ac:dyDescent="0.25">
      <c r="A2080" t="str">
        <f>"40516825  "</f>
        <v xml:space="preserve">40516825  </v>
      </c>
      <c r="B2080" t="s">
        <v>2037</v>
      </c>
      <c r="C2080">
        <v>25.3</v>
      </c>
      <c r="D2080" t="str">
        <f>"270"</f>
        <v>270</v>
      </c>
    </row>
    <row r="2081" spans="1:4" x14ac:dyDescent="0.25">
      <c r="A2081" t="str">
        <f>"40516833  "</f>
        <v xml:space="preserve">40516833  </v>
      </c>
      <c r="B2081" t="s">
        <v>2038</v>
      </c>
      <c r="C2081">
        <v>91.3</v>
      </c>
      <c r="D2081" t="str">
        <f>"270"</f>
        <v>270</v>
      </c>
    </row>
    <row r="2082" spans="1:4" x14ac:dyDescent="0.25">
      <c r="A2082" t="str">
        <f>"40516841  "</f>
        <v xml:space="preserve">40516841  </v>
      </c>
      <c r="B2082" t="s">
        <v>2039</v>
      </c>
      <c r="C2082">
        <v>41.8</v>
      </c>
      <c r="D2082" t="str">
        <f>"270"</f>
        <v>270</v>
      </c>
    </row>
    <row r="2083" spans="1:4" x14ac:dyDescent="0.25">
      <c r="A2083" t="str">
        <f>"40516858  "</f>
        <v xml:space="preserve">40516858  </v>
      </c>
      <c r="B2083" t="s">
        <v>2040</v>
      </c>
      <c r="C2083" s="1">
        <v>2252.8000000000002</v>
      </c>
      <c r="D2083" t="str">
        <f>"278"</f>
        <v>278</v>
      </c>
    </row>
    <row r="2084" spans="1:4" x14ac:dyDescent="0.25">
      <c r="A2084" t="str">
        <f>"40516866  "</f>
        <v xml:space="preserve">40516866  </v>
      </c>
      <c r="B2084" t="s">
        <v>2041</v>
      </c>
      <c r="C2084">
        <v>291.5</v>
      </c>
      <c r="D2084" t="str">
        <f>"278"</f>
        <v>278</v>
      </c>
    </row>
    <row r="2085" spans="1:4" x14ac:dyDescent="0.25">
      <c r="A2085" t="str">
        <f>"40516874  "</f>
        <v xml:space="preserve">40516874  </v>
      </c>
      <c r="B2085" t="s">
        <v>2042</v>
      </c>
      <c r="C2085">
        <v>493.9</v>
      </c>
      <c r="D2085" t="str">
        <f>"270"</f>
        <v>270</v>
      </c>
    </row>
    <row r="2086" spans="1:4" x14ac:dyDescent="0.25">
      <c r="A2086" t="str">
        <f>"40516882  "</f>
        <v xml:space="preserve">40516882  </v>
      </c>
      <c r="B2086" t="s">
        <v>2043</v>
      </c>
      <c r="C2086">
        <v>817.3</v>
      </c>
      <c r="D2086" t="str">
        <f t="shared" ref="D2086:D2092" si="95">"278"</f>
        <v>278</v>
      </c>
    </row>
    <row r="2087" spans="1:4" x14ac:dyDescent="0.25">
      <c r="A2087" t="str">
        <f>"40516890  "</f>
        <v xml:space="preserve">40516890  </v>
      </c>
      <c r="B2087" t="s">
        <v>2044</v>
      </c>
      <c r="C2087">
        <v>990</v>
      </c>
      <c r="D2087" t="str">
        <f t="shared" si="95"/>
        <v>278</v>
      </c>
    </row>
    <row r="2088" spans="1:4" x14ac:dyDescent="0.25">
      <c r="A2088" t="str">
        <f>"40516908  "</f>
        <v xml:space="preserve">40516908  </v>
      </c>
      <c r="B2088" t="s">
        <v>2045</v>
      </c>
      <c r="C2088">
        <v>392.7</v>
      </c>
      <c r="D2088" t="str">
        <f t="shared" si="95"/>
        <v>278</v>
      </c>
    </row>
    <row r="2089" spans="1:4" x14ac:dyDescent="0.25">
      <c r="A2089" t="str">
        <f>"40516916  "</f>
        <v xml:space="preserve">40516916  </v>
      </c>
      <c r="B2089" t="s">
        <v>2046</v>
      </c>
      <c r="C2089" s="1">
        <v>7854</v>
      </c>
      <c r="D2089" t="str">
        <f t="shared" si="95"/>
        <v>278</v>
      </c>
    </row>
    <row r="2090" spans="1:4" x14ac:dyDescent="0.25">
      <c r="A2090" t="str">
        <f>"40516924  "</f>
        <v xml:space="preserve">40516924  </v>
      </c>
      <c r="B2090" t="s">
        <v>2047</v>
      </c>
      <c r="C2090" s="1">
        <v>11709.5</v>
      </c>
      <c r="D2090" t="str">
        <f t="shared" si="95"/>
        <v>278</v>
      </c>
    </row>
    <row r="2091" spans="1:4" x14ac:dyDescent="0.25">
      <c r="A2091" t="str">
        <f>"40516932  "</f>
        <v xml:space="preserve">40516932  </v>
      </c>
      <c r="B2091" t="s">
        <v>2048</v>
      </c>
      <c r="C2091" s="1">
        <v>1928.3</v>
      </c>
      <c r="D2091" t="str">
        <f t="shared" si="95"/>
        <v>278</v>
      </c>
    </row>
    <row r="2092" spans="1:4" x14ac:dyDescent="0.25">
      <c r="A2092" t="str">
        <f>"40516940  "</f>
        <v xml:space="preserve">40516940  </v>
      </c>
      <c r="B2092" t="s">
        <v>2049</v>
      </c>
      <c r="C2092" s="1">
        <v>2875.4</v>
      </c>
      <c r="D2092" t="str">
        <f t="shared" si="95"/>
        <v>278</v>
      </c>
    </row>
    <row r="2093" spans="1:4" x14ac:dyDescent="0.25">
      <c r="A2093" t="str">
        <f>"40516941"</f>
        <v>40516941</v>
      </c>
      <c r="B2093" t="s">
        <v>2050</v>
      </c>
      <c r="C2093" s="1">
        <v>4294.3999999999996</v>
      </c>
      <c r="D2093" t="str">
        <f>"272"</f>
        <v>272</v>
      </c>
    </row>
    <row r="2094" spans="1:4" x14ac:dyDescent="0.25">
      <c r="A2094" t="str">
        <f>"40516957  "</f>
        <v xml:space="preserve">40516957  </v>
      </c>
      <c r="B2094" t="s">
        <v>2051</v>
      </c>
      <c r="C2094" s="1">
        <v>1698.4</v>
      </c>
      <c r="D2094" t="str">
        <f>"278"</f>
        <v>278</v>
      </c>
    </row>
    <row r="2095" spans="1:4" x14ac:dyDescent="0.25">
      <c r="A2095" t="str">
        <f>"40516965  "</f>
        <v xml:space="preserve">40516965  </v>
      </c>
      <c r="B2095" t="s">
        <v>2052</v>
      </c>
      <c r="C2095" s="1">
        <v>1677.5</v>
      </c>
      <c r="D2095" t="str">
        <f>"278"</f>
        <v>278</v>
      </c>
    </row>
    <row r="2096" spans="1:4" x14ac:dyDescent="0.25">
      <c r="A2096" t="str">
        <f>"40516973  "</f>
        <v xml:space="preserve">40516973  </v>
      </c>
      <c r="B2096" t="s">
        <v>2053</v>
      </c>
      <c r="C2096" s="1">
        <v>1628</v>
      </c>
      <c r="D2096" t="str">
        <f>"278"</f>
        <v>278</v>
      </c>
    </row>
    <row r="2097" spans="1:4" x14ac:dyDescent="0.25">
      <c r="A2097" t="str">
        <f>"40516981  "</f>
        <v xml:space="preserve">40516981  </v>
      </c>
      <c r="B2097" t="s">
        <v>2054</v>
      </c>
      <c r="C2097" s="1">
        <v>4869.7</v>
      </c>
      <c r="D2097" t="str">
        <f>"278"</f>
        <v>278</v>
      </c>
    </row>
    <row r="2098" spans="1:4" x14ac:dyDescent="0.25">
      <c r="A2098" t="str">
        <f>"40517005  "</f>
        <v xml:space="preserve">40517005  </v>
      </c>
      <c r="B2098" t="s">
        <v>2055</v>
      </c>
      <c r="C2098">
        <v>73.7</v>
      </c>
      <c r="D2098" t="str">
        <f>"270"</f>
        <v>270</v>
      </c>
    </row>
    <row r="2099" spans="1:4" x14ac:dyDescent="0.25">
      <c r="A2099" t="str">
        <f>"40517054  "</f>
        <v xml:space="preserve">40517054  </v>
      </c>
      <c r="B2099" t="s">
        <v>2056</v>
      </c>
      <c r="C2099">
        <v>418</v>
      </c>
      <c r="D2099" t="str">
        <f>"278"</f>
        <v>278</v>
      </c>
    </row>
    <row r="2100" spans="1:4" x14ac:dyDescent="0.25">
      <c r="A2100" t="str">
        <f>"40517062  "</f>
        <v xml:space="preserve">40517062  </v>
      </c>
      <c r="B2100" t="s">
        <v>2057</v>
      </c>
      <c r="C2100" s="1">
        <v>3520</v>
      </c>
      <c r="D2100" t="str">
        <f>"278"</f>
        <v>278</v>
      </c>
    </row>
    <row r="2101" spans="1:4" x14ac:dyDescent="0.25">
      <c r="A2101" t="str">
        <f>"40517070  "</f>
        <v xml:space="preserve">40517070  </v>
      </c>
      <c r="B2101" t="s">
        <v>2058</v>
      </c>
      <c r="C2101" s="1">
        <v>4072.2</v>
      </c>
      <c r="D2101" t="str">
        <f>"278"</f>
        <v>278</v>
      </c>
    </row>
    <row r="2102" spans="1:4" x14ac:dyDescent="0.25">
      <c r="A2102" t="str">
        <f>"40517088  "</f>
        <v xml:space="preserve">40517088  </v>
      </c>
      <c r="B2102" t="s">
        <v>2059</v>
      </c>
      <c r="C2102">
        <v>577.5</v>
      </c>
      <c r="D2102" t="str">
        <f>"278"</f>
        <v>278</v>
      </c>
    </row>
    <row r="2103" spans="1:4" x14ac:dyDescent="0.25">
      <c r="A2103" t="str">
        <f>"40517096  "</f>
        <v xml:space="preserve">40517096  </v>
      </c>
      <c r="B2103" t="s">
        <v>2060</v>
      </c>
      <c r="C2103">
        <v>3.3</v>
      </c>
      <c r="D2103" t="str">
        <f t="shared" ref="D2103:D2108" si="96">"270"</f>
        <v>270</v>
      </c>
    </row>
    <row r="2104" spans="1:4" x14ac:dyDescent="0.25">
      <c r="A2104" t="str">
        <f>"40517104  "</f>
        <v xml:space="preserve">40517104  </v>
      </c>
      <c r="B2104" t="s">
        <v>2061</v>
      </c>
      <c r="C2104">
        <v>22</v>
      </c>
      <c r="D2104" t="str">
        <f t="shared" si="96"/>
        <v>270</v>
      </c>
    </row>
    <row r="2105" spans="1:4" x14ac:dyDescent="0.25">
      <c r="A2105" t="str">
        <f>"40517120  "</f>
        <v xml:space="preserve">40517120  </v>
      </c>
      <c r="B2105" t="s">
        <v>2062</v>
      </c>
      <c r="C2105">
        <v>81.400000000000006</v>
      </c>
      <c r="D2105" t="str">
        <f t="shared" si="96"/>
        <v>270</v>
      </c>
    </row>
    <row r="2106" spans="1:4" x14ac:dyDescent="0.25">
      <c r="A2106" t="str">
        <f>"40517138  "</f>
        <v xml:space="preserve">40517138  </v>
      </c>
      <c r="B2106" t="s">
        <v>2063</v>
      </c>
      <c r="C2106">
        <v>262.89999999999998</v>
      </c>
      <c r="D2106" t="str">
        <f t="shared" si="96"/>
        <v>270</v>
      </c>
    </row>
    <row r="2107" spans="1:4" x14ac:dyDescent="0.25">
      <c r="A2107" t="str">
        <f>"40517146  "</f>
        <v xml:space="preserve">40517146  </v>
      </c>
      <c r="B2107" t="s">
        <v>2064</v>
      </c>
      <c r="C2107">
        <v>235.4</v>
      </c>
      <c r="D2107" t="str">
        <f t="shared" si="96"/>
        <v>270</v>
      </c>
    </row>
    <row r="2108" spans="1:4" x14ac:dyDescent="0.25">
      <c r="A2108" t="str">
        <f>"40517153  "</f>
        <v xml:space="preserve">40517153  </v>
      </c>
      <c r="B2108" t="s">
        <v>2065</v>
      </c>
      <c r="C2108">
        <v>225.5</v>
      </c>
      <c r="D2108" t="str">
        <f t="shared" si="96"/>
        <v>270</v>
      </c>
    </row>
    <row r="2109" spans="1:4" x14ac:dyDescent="0.25">
      <c r="A2109" t="str">
        <f>"40517161  "</f>
        <v xml:space="preserve">40517161  </v>
      </c>
      <c r="B2109" t="s">
        <v>2066</v>
      </c>
      <c r="C2109">
        <v>859.1</v>
      </c>
      <c r="D2109" t="str">
        <f>"278"</f>
        <v>278</v>
      </c>
    </row>
    <row r="2110" spans="1:4" x14ac:dyDescent="0.25">
      <c r="A2110" t="str">
        <f>"40517187  "</f>
        <v xml:space="preserve">40517187  </v>
      </c>
      <c r="B2110" t="s">
        <v>2067</v>
      </c>
      <c r="C2110">
        <v>237.6</v>
      </c>
      <c r="D2110" t="str">
        <f>"270"</f>
        <v>270</v>
      </c>
    </row>
    <row r="2111" spans="1:4" x14ac:dyDescent="0.25">
      <c r="A2111" t="str">
        <f>"40517203  "</f>
        <v xml:space="preserve">40517203  </v>
      </c>
      <c r="B2111" t="s">
        <v>2068</v>
      </c>
      <c r="C2111">
        <v>161.69999999999999</v>
      </c>
      <c r="D2111" t="str">
        <f>"270"</f>
        <v>270</v>
      </c>
    </row>
    <row r="2112" spans="1:4" x14ac:dyDescent="0.25">
      <c r="A2112" t="str">
        <f>"40517211  "</f>
        <v xml:space="preserve">40517211  </v>
      </c>
      <c r="B2112" t="s">
        <v>2069</v>
      </c>
      <c r="C2112">
        <v>124.3</v>
      </c>
      <c r="D2112" t="str">
        <f>"272"</f>
        <v>272</v>
      </c>
    </row>
    <row r="2113" spans="1:4" x14ac:dyDescent="0.25">
      <c r="A2113" t="str">
        <f>"40517229  "</f>
        <v xml:space="preserve">40517229  </v>
      </c>
      <c r="B2113" t="s">
        <v>2070</v>
      </c>
      <c r="C2113">
        <v>154</v>
      </c>
      <c r="D2113" t="str">
        <f>"270"</f>
        <v>270</v>
      </c>
    </row>
    <row r="2114" spans="1:4" x14ac:dyDescent="0.25">
      <c r="A2114" t="str">
        <f>"40517237  "</f>
        <v xml:space="preserve">40517237  </v>
      </c>
      <c r="B2114" t="s">
        <v>2071</v>
      </c>
      <c r="C2114">
        <v>137.5</v>
      </c>
      <c r="D2114" t="str">
        <f>"272"</f>
        <v>272</v>
      </c>
    </row>
    <row r="2115" spans="1:4" x14ac:dyDescent="0.25">
      <c r="A2115" t="str">
        <f>"40517245  "</f>
        <v xml:space="preserve">40517245  </v>
      </c>
      <c r="B2115" t="s">
        <v>2072</v>
      </c>
      <c r="C2115">
        <v>267.3</v>
      </c>
      <c r="D2115" t="str">
        <f>"270"</f>
        <v>270</v>
      </c>
    </row>
    <row r="2116" spans="1:4" x14ac:dyDescent="0.25">
      <c r="A2116" t="str">
        <f>"40517252  "</f>
        <v xml:space="preserve">40517252  </v>
      </c>
      <c r="B2116" t="s">
        <v>2073</v>
      </c>
      <c r="C2116">
        <v>17.600000000000001</v>
      </c>
      <c r="D2116" t="str">
        <f>"270"</f>
        <v>270</v>
      </c>
    </row>
    <row r="2117" spans="1:4" x14ac:dyDescent="0.25">
      <c r="A2117" t="str">
        <f>"40517286  "</f>
        <v xml:space="preserve">40517286  </v>
      </c>
      <c r="B2117" t="s">
        <v>2074</v>
      </c>
      <c r="C2117">
        <v>20.9</v>
      </c>
      <c r="D2117" t="str">
        <f>"270"</f>
        <v>270</v>
      </c>
    </row>
    <row r="2118" spans="1:4" x14ac:dyDescent="0.25">
      <c r="A2118" t="str">
        <f>"40517351  "</f>
        <v xml:space="preserve">40517351  </v>
      </c>
      <c r="B2118" t="s">
        <v>2075</v>
      </c>
      <c r="C2118">
        <v>16.5</v>
      </c>
      <c r="D2118" t="str">
        <f>"270"</f>
        <v>270</v>
      </c>
    </row>
    <row r="2119" spans="1:4" x14ac:dyDescent="0.25">
      <c r="A2119" t="str">
        <f>"40517369  "</f>
        <v xml:space="preserve">40517369  </v>
      </c>
      <c r="B2119" t="s">
        <v>2076</v>
      </c>
      <c r="C2119">
        <v>346.5</v>
      </c>
      <c r="D2119" t="str">
        <f>"270"</f>
        <v>270</v>
      </c>
    </row>
    <row r="2120" spans="1:4" x14ac:dyDescent="0.25">
      <c r="A2120" t="str">
        <f>"40517377  "</f>
        <v xml:space="preserve">40517377  </v>
      </c>
      <c r="B2120" t="s">
        <v>2077</v>
      </c>
      <c r="C2120" s="1">
        <v>1100</v>
      </c>
      <c r="D2120" t="str">
        <f>"278"</f>
        <v>278</v>
      </c>
    </row>
    <row r="2121" spans="1:4" x14ac:dyDescent="0.25">
      <c r="A2121" t="str">
        <f>"40517385  "</f>
        <v xml:space="preserve">40517385  </v>
      </c>
      <c r="B2121" t="s">
        <v>2078</v>
      </c>
      <c r="C2121">
        <v>387.2</v>
      </c>
      <c r="D2121" t="str">
        <f>"278"</f>
        <v>278</v>
      </c>
    </row>
    <row r="2122" spans="1:4" x14ac:dyDescent="0.25">
      <c r="A2122" t="str">
        <f>"40517401  "</f>
        <v xml:space="preserve">40517401  </v>
      </c>
      <c r="B2122" t="s">
        <v>2079</v>
      </c>
      <c r="C2122">
        <v>947.1</v>
      </c>
      <c r="D2122" t="str">
        <f>"270"</f>
        <v>270</v>
      </c>
    </row>
    <row r="2123" spans="1:4" x14ac:dyDescent="0.25">
      <c r="A2123" t="str">
        <f>"40517450  "</f>
        <v xml:space="preserve">40517450  </v>
      </c>
      <c r="B2123" t="s">
        <v>2080</v>
      </c>
      <c r="C2123" s="1">
        <v>1722.6</v>
      </c>
      <c r="D2123" t="str">
        <f>"278"</f>
        <v>278</v>
      </c>
    </row>
    <row r="2124" spans="1:4" x14ac:dyDescent="0.25">
      <c r="A2124" t="str">
        <f>"40517468  "</f>
        <v xml:space="preserve">40517468  </v>
      </c>
      <c r="B2124" t="s">
        <v>2081</v>
      </c>
      <c r="C2124" s="1">
        <v>1180.3</v>
      </c>
      <c r="D2124" t="str">
        <f>"278"</f>
        <v>278</v>
      </c>
    </row>
    <row r="2125" spans="1:4" x14ac:dyDescent="0.25">
      <c r="A2125" t="str">
        <f>"40517476  "</f>
        <v xml:space="preserve">40517476  </v>
      </c>
      <c r="B2125" t="s">
        <v>2082</v>
      </c>
      <c r="C2125" s="1">
        <v>1196.8</v>
      </c>
      <c r="D2125" t="str">
        <f>"278"</f>
        <v>278</v>
      </c>
    </row>
    <row r="2126" spans="1:4" x14ac:dyDescent="0.25">
      <c r="A2126" t="str">
        <f>"40517484  "</f>
        <v xml:space="preserve">40517484  </v>
      </c>
      <c r="B2126" t="s">
        <v>2083</v>
      </c>
      <c r="C2126">
        <v>354.2</v>
      </c>
      <c r="D2126" t="str">
        <f>"278"</f>
        <v>278</v>
      </c>
    </row>
    <row r="2127" spans="1:4" x14ac:dyDescent="0.25">
      <c r="A2127" t="str">
        <f>"40517492  "</f>
        <v xml:space="preserve">40517492  </v>
      </c>
      <c r="B2127" t="s">
        <v>2084</v>
      </c>
      <c r="C2127" s="1">
        <v>1122</v>
      </c>
      <c r="D2127" t="str">
        <f>"278"</f>
        <v>278</v>
      </c>
    </row>
    <row r="2128" spans="1:4" x14ac:dyDescent="0.25">
      <c r="A2128" t="str">
        <f>"40517500  "</f>
        <v xml:space="preserve">40517500  </v>
      </c>
      <c r="B2128" t="s">
        <v>2085</v>
      </c>
      <c r="C2128">
        <v>39.6</v>
      </c>
      <c r="D2128" t="str">
        <f>"270"</f>
        <v>270</v>
      </c>
    </row>
    <row r="2129" spans="1:4" x14ac:dyDescent="0.25">
      <c r="A2129" t="str">
        <f>"40517526  "</f>
        <v xml:space="preserve">40517526  </v>
      </c>
      <c r="B2129" t="s">
        <v>2086</v>
      </c>
      <c r="C2129">
        <v>493.9</v>
      </c>
      <c r="D2129" t="str">
        <f>"270"</f>
        <v>270</v>
      </c>
    </row>
    <row r="2130" spans="1:4" x14ac:dyDescent="0.25">
      <c r="A2130" t="str">
        <f>"40517534  "</f>
        <v xml:space="preserve">40517534  </v>
      </c>
      <c r="B2130" t="s">
        <v>2087</v>
      </c>
      <c r="C2130" s="1">
        <v>4270.2</v>
      </c>
      <c r="D2130" t="str">
        <f>"278"</f>
        <v>278</v>
      </c>
    </row>
    <row r="2131" spans="1:4" x14ac:dyDescent="0.25">
      <c r="A2131" t="str">
        <f>"40517559  "</f>
        <v xml:space="preserve">40517559  </v>
      </c>
      <c r="B2131" t="s">
        <v>2088</v>
      </c>
      <c r="C2131">
        <v>53.9</v>
      </c>
      <c r="D2131" t="str">
        <f>"270"</f>
        <v>270</v>
      </c>
    </row>
    <row r="2132" spans="1:4" x14ac:dyDescent="0.25">
      <c r="A2132" t="str">
        <f>"40517567  "</f>
        <v xml:space="preserve">40517567  </v>
      </c>
      <c r="B2132" t="s">
        <v>2089</v>
      </c>
      <c r="C2132">
        <v>114.4</v>
      </c>
      <c r="D2132" t="str">
        <f>"270"</f>
        <v>270</v>
      </c>
    </row>
    <row r="2133" spans="1:4" x14ac:dyDescent="0.25">
      <c r="A2133" t="str">
        <f>"40517609  "</f>
        <v xml:space="preserve">40517609  </v>
      </c>
      <c r="B2133" t="s">
        <v>2090</v>
      </c>
      <c r="C2133" s="1">
        <v>2311.1</v>
      </c>
      <c r="D2133" t="str">
        <f>"270"</f>
        <v>270</v>
      </c>
    </row>
    <row r="2134" spans="1:4" x14ac:dyDescent="0.25">
      <c r="A2134" t="str">
        <f>"40517617  "</f>
        <v xml:space="preserve">40517617  </v>
      </c>
      <c r="B2134" t="s">
        <v>2091</v>
      </c>
      <c r="C2134">
        <v>449.9</v>
      </c>
      <c r="D2134" t="str">
        <f>"278"</f>
        <v>278</v>
      </c>
    </row>
    <row r="2135" spans="1:4" x14ac:dyDescent="0.25">
      <c r="A2135" t="str">
        <f>"40517625  "</f>
        <v xml:space="preserve">40517625  </v>
      </c>
      <c r="B2135" t="s">
        <v>2092</v>
      </c>
      <c r="C2135" s="1">
        <v>1156.0999999999999</v>
      </c>
      <c r="D2135" t="str">
        <f>"270"</f>
        <v>270</v>
      </c>
    </row>
    <row r="2136" spans="1:4" x14ac:dyDescent="0.25">
      <c r="A2136" t="str">
        <f>"40517658  "</f>
        <v xml:space="preserve">40517658  </v>
      </c>
      <c r="B2136" t="s">
        <v>2093</v>
      </c>
      <c r="C2136">
        <v>115.5</v>
      </c>
      <c r="D2136" t="str">
        <f>"270"</f>
        <v>270</v>
      </c>
    </row>
    <row r="2137" spans="1:4" x14ac:dyDescent="0.25">
      <c r="A2137" t="str">
        <f>"40517666  "</f>
        <v xml:space="preserve">40517666  </v>
      </c>
      <c r="B2137" t="s">
        <v>2094</v>
      </c>
      <c r="C2137">
        <v>22</v>
      </c>
      <c r="D2137" t="str">
        <f>"270"</f>
        <v>270</v>
      </c>
    </row>
    <row r="2138" spans="1:4" x14ac:dyDescent="0.25">
      <c r="A2138" t="str">
        <f>"40517674  "</f>
        <v xml:space="preserve">40517674  </v>
      </c>
      <c r="B2138" t="s">
        <v>2095</v>
      </c>
      <c r="C2138">
        <v>13.2</v>
      </c>
      <c r="D2138" t="str">
        <f>"270"</f>
        <v>270</v>
      </c>
    </row>
    <row r="2139" spans="1:4" x14ac:dyDescent="0.25">
      <c r="A2139" t="str">
        <f>"40517708  "</f>
        <v xml:space="preserve">40517708  </v>
      </c>
      <c r="B2139" t="s">
        <v>2096</v>
      </c>
      <c r="C2139">
        <v>111.1</v>
      </c>
      <c r="D2139" t="str">
        <f>"278"</f>
        <v>278</v>
      </c>
    </row>
    <row r="2140" spans="1:4" x14ac:dyDescent="0.25">
      <c r="A2140" t="str">
        <f>"40517757  "</f>
        <v xml:space="preserve">40517757  </v>
      </c>
      <c r="B2140" t="s">
        <v>2097</v>
      </c>
      <c r="C2140">
        <v>17.600000000000001</v>
      </c>
      <c r="D2140" t="str">
        <f>"278"</f>
        <v>278</v>
      </c>
    </row>
    <row r="2141" spans="1:4" x14ac:dyDescent="0.25">
      <c r="A2141" t="str">
        <f>"40517807  "</f>
        <v xml:space="preserve">40517807  </v>
      </c>
      <c r="B2141" t="s">
        <v>2098</v>
      </c>
      <c r="C2141">
        <v>16.940000000000001</v>
      </c>
      <c r="D2141" t="str">
        <f>"270"</f>
        <v>270</v>
      </c>
    </row>
    <row r="2142" spans="1:4" x14ac:dyDescent="0.25">
      <c r="A2142" t="str">
        <f>"40517856  "</f>
        <v xml:space="preserve">40517856  </v>
      </c>
      <c r="B2142" t="s">
        <v>2099</v>
      </c>
      <c r="C2142">
        <v>22</v>
      </c>
      <c r="D2142" t="str">
        <f>"270"</f>
        <v>270</v>
      </c>
    </row>
    <row r="2143" spans="1:4" x14ac:dyDescent="0.25">
      <c r="A2143" t="str">
        <f>"40517872  "</f>
        <v xml:space="preserve">40517872  </v>
      </c>
      <c r="B2143" t="s">
        <v>2100</v>
      </c>
      <c r="C2143">
        <v>365.2</v>
      </c>
      <c r="D2143" t="str">
        <f t="shared" ref="D2143:D2148" si="97">"278"</f>
        <v>278</v>
      </c>
    </row>
    <row r="2144" spans="1:4" x14ac:dyDescent="0.25">
      <c r="A2144" t="str">
        <f>"40517880  "</f>
        <v xml:space="preserve">40517880  </v>
      </c>
      <c r="B2144" t="s">
        <v>2101</v>
      </c>
      <c r="C2144">
        <v>198</v>
      </c>
      <c r="D2144" t="str">
        <f t="shared" si="97"/>
        <v>278</v>
      </c>
    </row>
    <row r="2145" spans="1:4" x14ac:dyDescent="0.25">
      <c r="A2145" t="str">
        <f>"40517906  "</f>
        <v xml:space="preserve">40517906  </v>
      </c>
      <c r="B2145" t="s">
        <v>2102</v>
      </c>
      <c r="C2145" s="1">
        <v>2065.8000000000002</v>
      </c>
      <c r="D2145" t="str">
        <f t="shared" si="97"/>
        <v>278</v>
      </c>
    </row>
    <row r="2146" spans="1:4" x14ac:dyDescent="0.25">
      <c r="A2146" t="str">
        <f>"40517914  "</f>
        <v xml:space="preserve">40517914  </v>
      </c>
      <c r="B2146" t="s">
        <v>2103</v>
      </c>
      <c r="C2146" s="1">
        <v>1939.3</v>
      </c>
      <c r="D2146" t="str">
        <f t="shared" si="97"/>
        <v>278</v>
      </c>
    </row>
    <row r="2147" spans="1:4" x14ac:dyDescent="0.25">
      <c r="A2147" t="str">
        <f>"40517920"</f>
        <v>40517920</v>
      </c>
      <c r="B2147" t="s">
        <v>2104</v>
      </c>
      <c r="C2147" s="1">
        <v>24090</v>
      </c>
      <c r="D2147" t="str">
        <f t="shared" si="97"/>
        <v>278</v>
      </c>
    </row>
    <row r="2148" spans="1:4" x14ac:dyDescent="0.25">
      <c r="A2148" t="str">
        <f>"40517922  "</f>
        <v xml:space="preserve">40517922  </v>
      </c>
      <c r="B2148" t="s">
        <v>2105</v>
      </c>
      <c r="C2148" s="1">
        <v>2492.6</v>
      </c>
      <c r="D2148" t="str">
        <f t="shared" si="97"/>
        <v>278</v>
      </c>
    </row>
    <row r="2149" spans="1:4" x14ac:dyDescent="0.25">
      <c r="A2149" t="str">
        <f>"40517930  "</f>
        <v xml:space="preserve">40517930  </v>
      </c>
      <c r="B2149" t="s">
        <v>2106</v>
      </c>
      <c r="C2149">
        <v>913</v>
      </c>
      <c r="D2149" t="str">
        <f>"272"</f>
        <v>272</v>
      </c>
    </row>
    <row r="2150" spans="1:4" x14ac:dyDescent="0.25">
      <c r="A2150" t="str">
        <f>"40517948  "</f>
        <v xml:space="preserve">40517948  </v>
      </c>
      <c r="B2150" t="s">
        <v>2107</v>
      </c>
      <c r="C2150">
        <v>267.3</v>
      </c>
      <c r="D2150" t="str">
        <f>"270"</f>
        <v>270</v>
      </c>
    </row>
    <row r="2151" spans="1:4" x14ac:dyDescent="0.25">
      <c r="A2151" t="str">
        <f>"40517955  "</f>
        <v xml:space="preserve">40517955  </v>
      </c>
      <c r="B2151" t="s">
        <v>2108</v>
      </c>
      <c r="C2151" s="1">
        <v>1656.6</v>
      </c>
      <c r="D2151" t="str">
        <f>"278"</f>
        <v>278</v>
      </c>
    </row>
    <row r="2152" spans="1:4" x14ac:dyDescent="0.25">
      <c r="A2152" t="str">
        <f>"40517963  "</f>
        <v xml:space="preserve">40517963  </v>
      </c>
      <c r="B2152" t="s">
        <v>2109</v>
      </c>
      <c r="C2152" s="1">
        <v>2157.1</v>
      </c>
      <c r="D2152" t="str">
        <f>"272"</f>
        <v>272</v>
      </c>
    </row>
    <row r="2153" spans="1:4" x14ac:dyDescent="0.25">
      <c r="A2153" t="str">
        <f>"40517971  "</f>
        <v xml:space="preserve">40517971  </v>
      </c>
      <c r="B2153" t="s">
        <v>2110</v>
      </c>
      <c r="C2153">
        <v>566.5</v>
      </c>
      <c r="D2153" t="str">
        <f>"270"</f>
        <v>270</v>
      </c>
    </row>
    <row r="2154" spans="1:4" x14ac:dyDescent="0.25">
      <c r="A2154" t="str">
        <f>"40517989  "</f>
        <v xml:space="preserve">40517989  </v>
      </c>
      <c r="B2154" t="s">
        <v>2111</v>
      </c>
      <c r="C2154">
        <v>237.6</v>
      </c>
      <c r="D2154" t="str">
        <f>"270"</f>
        <v>270</v>
      </c>
    </row>
    <row r="2155" spans="1:4" x14ac:dyDescent="0.25">
      <c r="A2155" t="str">
        <f>"40517997  "</f>
        <v xml:space="preserve">40517997  </v>
      </c>
      <c r="B2155" t="s">
        <v>2112</v>
      </c>
      <c r="C2155">
        <v>591.79999999999995</v>
      </c>
      <c r="D2155" t="str">
        <f>"270"</f>
        <v>270</v>
      </c>
    </row>
    <row r="2156" spans="1:4" x14ac:dyDescent="0.25">
      <c r="A2156" t="str">
        <f>"40518003  "</f>
        <v xml:space="preserve">40518003  </v>
      </c>
      <c r="B2156" t="s">
        <v>2113</v>
      </c>
      <c r="C2156">
        <v>29.7</v>
      </c>
      <c r="D2156" t="str">
        <f>"270"</f>
        <v>270</v>
      </c>
    </row>
    <row r="2157" spans="1:4" x14ac:dyDescent="0.25">
      <c r="A2157" t="str">
        <f>"40518011  "</f>
        <v xml:space="preserve">40518011  </v>
      </c>
      <c r="B2157" t="s">
        <v>2114</v>
      </c>
      <c r="C2157" s="1">
        <v>1807.3</v>
      </c>
      <c r="D2157" t="str">
        <f>"278"</f>
        <v>278</v>
      </c>
    </row>
    <row r="2158" spans="1:4" x14ac:dyDescent="0.25">
      <c r="A2158" t="str">
        <f>"40518033"</f>
        <v>40518033</v>
      </c>
      <c r="B2158" t="s">
        <v>2115</v>
      </c>
      <c r="C2158" s="1">
        <v>18436</v>
      </c>
      <c r="D2158" t="str">
        <f>"278"</f>
        <v>278</v>
      </c>
    </row>
    <row r="2159" spans="1:4" x14ac:dyDescent="0.25">
      <c r="A2159" t="str">
        <f>"40518037  "</f>
        <v xml:space="preserve">40518037  </v>
      </c>
      <c r="B2159" t="s">
        <v>2116</v>
      </c>
      <c r="C2159">
        <v>53.9</v>
      </c>
      <c r="D2159" t="str">
        <f>"270"</f>
        <v>270</v>
      </c>
    </row>
    <row r="2160" spans="1:4" x14ac:dyDescent="0.25">
      <c r="A2160" t="str">
        <f>"40518044"</f>
        <v>40518044</v>
      </c>
      <c r="B2160" t="s">
        <v>2117</v>
      </c>
      <c r="C2160">
        <v>85.8</v>
      </c>
      <c r="D2160" t="str">
        <f>"270"</f>
        <v>270</v>
      </c>
    </row>
    <row r="2161" spans="1:4" x14ac:dyDescent="0.25">
      <c r="A2161" t="str">
        <f>"40518052  "</f>
        <v xml:space="preserve">40518052  </v>
      </c>
      <c r="B2161" t="s">
        <v>2118</v>
      </c>
      <c r="C2161">
        <v>73.7</v>
      </c>
      <c r="D2161" t="str">
        <f>"271"</f>
        <v>271</v>
      </c>
    </row>
    <row r="2162" spans="1:4" x14ac:dyDescent="0.25">
      <c r="A2162" t="str">
        <f>"40518060  "</f>
        <v xml:space="preserve">40518060  </v>
      </c>
      <c r="B2162" t="s">
        <v>2119</v>
      </c>
      <c r="C2162">
        <v>51.7</v>
      </c>
      <c r="D2162" t="str">
        <f>"270"</f>
        <v>270</v>
      </c>
    </row>
    <row r="2163" spans="1:4" x14ac:dyDescent="0.25">
      <c r="A2163" t="str">
        <f>"40518094  "</f>
        <v xml:space="preserve">40518094  </v>
      </c>
      <c r="B2163" t="s">
        <v>2120</v>
      </c>
      <c r="C2163" s="1">
        <v>2701.6</v>
      </c>
      <c r="D2163" t="str">
        <f>"278"</f>
        <v>278</v>
      </c>
    </row>
    <row r="2164" spans="1:4" x14ac:dyDescent="0.25">
      <c r="A2164" t="str">
        <f>"40518102  "</f>
        <v xml:space="preserve">40518102  </v>
      </c>
      <c r="B2164" t="s">
        <v>2121</v>
      </c>
      <c r="C2164">
        <v>266.2</v>
      </c>
      <c r="D2164" t="str">
        <f>"270"</f>
        <v>270</v>
      </c>
    </row>
    <row r="2165" spans="1:4" x14ac:dyDescent="0.25">
      <c r="A2165" t="str">
        <f>"40518136  "</f>
        <v xml:space="preserve">40518136  </v>
      </c>
      <c r="B2165" t="s">
        <v>2122</v>
      </c>
      <c r="C2165">
        <v>480.7</v>
      </c>
      <c r="D2165" t="str">
        <f>"270"</f>
        <v>270</v>
      </c>
    </row>
    <row r="2166" spans="1:4" x14ac:dyDescent="0.25">
      <c r="A2166" t="str">
        <f>"40518151  "</f>
        <v xml:space="preserve">40518151  </v>
      </c>
      <c r="B2166" t="s">
        <v>2123</v>
      </c>
      <c r="C2166">
        <v>9.9</v>
      </c>
      <c r="D2166" t="str">
        <f>"270"</f>
        <v>270</v>
      </c>
    </row>
    <row r="2167" spans="1:4" x14ac:dyDescent="0.25">
      <c r="A2167" t="str">
        <f>"40518174"</f>
        <v>40518174</v>
      </c>
      <c r="B2167" t="s">
        <v>2124</v>
      </c>
      <c r="C2167" s="1">
        <v>2467.3000000000002</v>
      </c>
      <c r="D2167" t="str">
        <f>"278"</f>
        <v>278</v>
      </c>
    </row>
    <row r="2168" spans="1:4" x14ac:dyDescent="0.25">
      <c r="A2168" t="str">
        <f>"40518177  "</f>
        <v xml:space="preserve">40518177  </v>
      </c>
      <c r="B2168" t="s">
        <v>2125</v>
      </c>
      <c r="C2168" s="1">
        <v>2467.3000000000002</v>
      </c>
      <c r="D2168" t="str">
        <f t="shared" ref="D2168:D2173" si="98">"270"</f>
        <v>270</v>
      </c>
    </row>
    <row r="2169" spans="1:4" x14ac:dyDescent="0.25">
      <c r="A2169" t="str">
        <f>"40518185  "</f>
        <v xml:space="preserve">40518185  </v>
      </c>
      <c r="B2169" t="s">
        <v>2126</v>
      </c>
      <c r="C2169">
        <v>33</v>
      </c>
      <c r="D2169" t="str">
        <f t="shared" si="98"/>
        <v>270</v>
      </c>
    </row>
    <row r="2170" spans="1:4" x14ac:dyDescent="0.25">
      <c r="A2170" t="str">
        <f>"40518190"</f>
        <v>40518190</v>
      </c>
      <c r="B2170" t="s">
        <v>2127</v>
      </c>
      <c r="C2170">
        <v>147.4</v>
      </c>
      <c r="D2170" t="str">
        <f t="shared" si="98"/>
        <v>270</v>
      </c>
    </row>
    <row r="2171" spans="1:4" x14ac:dyDescent="0.25">
      <c r="A2171" t="str">
        <f>"40518201  "</f>
        <v xml:space="preserve">40518201  </v>
      </c>
      <c r="B2171" t="s">
        <v>2128</v>
      </c>
      <c r="C2171">
        <v>14.3</v>
      </c>
      <c r="D2171" t="str">
        <f t="shared" si="98"/>
        <v>270</v>
      </c>
    </row>
    <row r="2172" spans="1:4" x14ac:dyDescent="0.25">
      <c r="A2172" t="str">
        <f>"40518219  "</f>
        <v xml:space="preserve">40518219  </v>
      </c>
      <c r="B2172" t="s">
        <v>2129</v>
      </c>
      <c r="C2172">
        <v>638</v>
      </c>
      <c r="D2172" t="str">
        <f t="shared" si="98"/>
        <v>270</v>
      </c>
    </row>
    <row r="2173" spans="1:4" x14ac:dyDescent="0.25">
      <c r="A2173" t="str">
        <f>"40518230"</f>
        <v>40518230</v>
      </c>
      <c r="B2173" t="s">
        <v>2130</v>
      </c>
      <c r="C2173">
        <v>396</v>
      </c>
      <c r="D2173" t="str">
        <f t="shared" si="98"/>
        <v>270</v>
      </c>
    </row>
    <row r="2174" spans="1:4" x14ac:dyDescent="0.25">
      <c r="A2174" t="str">
        <f>"40518243  "</f>
        <v xml:space="preserve">40518243  </v>
      </c>
      <c r="B2174" t="s">
        <v>2131</v>
      </c>
      <c r="C2174">
        <v>559.9</v>
      </c>
      <c r="D2174" t="str">
        <f>"278"</f>
        <v>278</v>
      </c>
    </row>
    <row r="2175" spans="1:4" x14ac:dyDescent="0.25">
      <c r="A2175" t="str">
        <f>"40518250  "</f>
        <v xml:space="preserve">40518250  </v>
      </c>
      <c r="B2175" t="s">
        <v>2132</v>
      </c>
      <c r="C2175">
        <v>60.5</v>
      </c>
      <c r="D2175" t="str">
        <f>"270"</f>
        <v>270</v>
      </c>
    </row>
    <row r="2176" spans="1:4" x14ac:dyDescent="0.25">
      <c r="A2176" t="str">
        <f>"40518276  "</f>
        <v xml:space="preserve">40518276  </v>
      </c>
      <c r="B2176" t="s">
        <v>2133</v>
      </c>
      <c r="C2176">
        <v>646.79999999999995</v>
      </c>
      <c r="D2176" t="str">
        <f>"278"</f>
        <v>278</v>
      </c>
    </row>
    <row r="2177" spans="1:4" x14ac:dyDescent="0.25">
      <c r="A2177" t="str">
        <f>"40518284  "</f>
        <v xml:space="preserve">40518284  </v>
      </c>
      <c r="B2177" t="s">
        <v>2134</v>
      </c>
      <c r="C2177" s="1">
        <v>1074.7</v>
      </c>
      <c r="D2177" t="str">
        <f>"278"</f>
        <v>278</v>
      </c>
    </row>
    <row r="2178" spans="1:4" x14ac:dyDescent="0.25">
      <c r="A2178" t="str">
        <f>"40518292  "</f>
        <v xml:space="preserve">40518292  </v>
      </c>
      <c r="B2178" t="s">
        <v>2135</v>
      </c>
      <c r="C2178">
        <v>29.7</v>
      </c>
      <c r="D2178" t="str">
        <f>"270"</f>
        <v>270</v>
      </c>
    </row>
    <row r="2179" spans="1:4" x14ac:dyDescent="0.25">
      <c r="A2179" t="str">
        <f>"40518300  "</f>
        <v xml:space="preserve">40518300  </v>
      </c>
      <c r="B2179" t="s">
        <v>2136</v>
      </c>
      <c r="C2179">
        <v>58.3</v>
      </c>
      <c r="D2179" t="str">
        <f>"270"</f>
        <v>270</v>
      </c>
    </row>
    <row r="2180" spans="1:4" x14ac:dyDescent="0.25">
      <c r="A2180" t="str">
        <f>"40518359  "</f>
        <v xml:space="preserve">40518359  </v>
      </c>
      <c r="B2180" t="s">
        <v>2137</v>
      </c>
      <c r="C2180">
        <v>356.4</v>
      </c>
      <c r="D2180" t="str">
        <f>"278"</f>
        <v>278</v>
      </c>
    </row>
    <row r="2181" spans="1:4" x14ac:dyDescent="0.25">
      <c r="A2181" t="str">
        <f>"40518367  "</f>
        <v xml:space="preserve">40518367  </v>
      </c>
      <c r="B2181" t="s">
        <v>2138</v>
      </c>
      <c r="C2181" s="1">
        <v>1280.4000000000001</v>
      </c>
      <c r="D2181" t="str">
        <f>"278"</f>
        <v>278</v>
      </c>
    </row>
    <row r="2182" spans="1:4" x14ac:dyDescent="0.25">
      <c r="A2182" t="str">
        <f>"40518375  "</f>
        <v xml:space="preserve">40518375  </v>
      </c>
      <c r="B2182" t="s">
        <v>2139</v>
      </c>
      <c r="C2182">
        <v>566.5</v>
      </c>
      <c r="D2182" t="str">
        <f t="shared" ref="D2182:D2198" si="99">"270"</f>
        <v>270</v>
      </c>
    </row>
    <row r="2183" spans="1:4" x14ac:dyDescent="0.25">
      <c r="A2183" t="str">
        <f>"40518383  "</f>
        <v xml:space="preserve">40518383  </v>
      </c>
      <c r="B2183" t="s">
        <v>2140</v>
      </c>
      <c r="C2183" s="1">
        <v>7174.2</v>
      </c>
      <c r="D2183" t="str">
        <f t="shared" si="99"/>
        <v>270</v>
      </c>
    </row>
    <row r="2184" spans="1:4" x14ac:dyDescent="0.25">
      <c r="A2184" t="str">
        <f>"40518391  "</f>
        <v xml:space="preserve">40518391  </v>
      </c>
      <c r="B2184" t="s">
        <v>2141</v>
      </c>
      <c r="C2184">
        <v>942.7</v>
      </c>
      <c r="D2184" t="str">
        <f t="shared" si="99"/>
        <v>270</v>
      </c>
    </row>
    <row r="2185" spans="1:4" x14ac:dyDescent="0.25">
      <c r="A2185" t="str">
        <f>"40518417  "</f>
        <v xml:space="preserve">40518417  </v>
      </c>
      <c r="B2185" t="s">
        <v>2142</v>
      </c>
      <c r="C2185">
        <v>316.8</v>
      </c>
      <c r="D2185" t="str">
        <f t="shared" si="99"/>
        <v>270</v>
      </c>
    </row>
    <row r="2186" spans="1:4" x14ac:dyDescent="0.25">
      <c r="A2186" t="str">
        <f>"40518425  "</f>
        <v xml:space="preserve">40518425  </v>
      </c>
      <c r="B2186" t="s">
        <v>2143</v>
      </c>
      <c r="C2186">
        <v>36.299999999999997</v>
      </c>
      <c r="D2186" t="str">
        <f t="shared" si="99"/>
        <v>270</v>
      </c>
    </row>
    <row r="2187" spans="1:4" x14ac:dyDescent="0.25">
      <c r="A2187" t="str">
        <f>"40518433  "</f>
        <v xml:space="preserve">40518433  </v>
      </c>
      <c r="B2187" t="s">
        <v>2144</v>
      </c>
      <c r="C2187">
        <v>126.5</v>
      </c>
      <c r="D2187" t="str">
        <f t="shared" si="99"/>
        <v>270</v>
      </c>
    </row>
    <row r="2188" spans="1:4" x14ac:dyDescent="0.25">
      <c r="A2188" t="str">
        <f>"40518441  "</f>
        <v xml:space="preserve">40518441  </v>
      </c>
      <c r="B2188" t="s">
        <v>2145</v>
      </c>
      <c r="C2188">
        <v>124.3</v>
      </c>
      <c r="D2188" t="str">
        <f t="shared" si="99"/>
        <v>270</v>
      </c>
    </row>
    <row r="2189" spans="1:4" x14ac:dyDescent="0.25">
      <c r="A2189" t="str">
        <f>"40518458  "</f>
        <v xml:space="preserve">40518458  </v>
      </c>
      <c r="B2189" t="s">
        <v>2146</v>
      </c>
      <c r="C2189">
        <v>24.2</v>
      </c>
      <c r="D2189" t="str">
        <f t="shared" si="99"/>
        <v>270</v>
      </c>
    </row>
    <row r="2190" spans="1:4" x14ac:dyDescent="0.25">
      <c r="A2190" t="str">
        <f>"40518466  "</f>
        <v xml:space="preserve">40518466  </v>
      </c>
      <c r="B2190" t="s">
        <v>2147</v>
      </c>
      <c r="C2190" s="1">
        <v>1813.9</v>
      </c>
      <c r="D2190" t="str">
        <f t="shared" si="99"/>
        <v>270</v>
      </c>
    </row>
    <row r="2191" spans="1:4" x14ac:dyDescent="0.25">
      <c r="A2191" t="str">
        <f>"40518474  "</f>
        <v xml:space="preserve">40518474  </v>
      </c>
      <c r="B2191" t="s">
        <v>2148</v>
      </c>
      <c r="C2191">
        <v>286</v>
      </c>
      <c r="D2191" t="str">
        <f t="shared" si="99"/>
        <v>270</v>
      </c>
    </row>
    <row r="2192" spans="1:4" x14ac:dyDescent="0.25">
      <c r="A2192" t="str">
        <f>"40518482  "</f>
        <v xml:space="preserve">40518482  </v>
      </c>
      <c r="B2192" t="s">
        <v>2149</v>
      </c>
      <c r="C2192">
        <v>543.4</v>
      </c>
      <c r="D2192" t="str">
        <f t="shared" si="99"/>
        <v>270</v>
      </c>
    </row>
    <row r="2193" spans="1:4" x14ac:dyDescent="0.25">
      <c r="A2193" t="str">
        <f>"40518490  "</f>
        <v xml:space="preserve">40518490  </v>
      </c>
      <c r="B2193" t="s">
        <v>2150</v>
      </c>
      <c r="C2193">
        <v>542.85</v>
      </c>
      <c r="D2193" t="str">
        <f t="shared" si="99"/>
        <v>270</v>
      </c>
    </row>
    <row r="2194" spans="1:4" x14ac:dyDescent="0.25">
      <c r="A2194" t="str">
        <f>"40518508  "</f>
        <v xml:space="preserve">40518508  </v>
      </c>
      <c r="B2194" t="s">
        <v>2151</v>
      </c>
      <c r="C2194">
        <v>28.6</v>
      </c>
      <c r="D2194" t="str">
        <f t="shared" si="99"/>
        <v>270</v>
      </c>
    </row>
    <row r="2195" spans="1:4" x14ac:dyDescent="0.25">
      <c r="A2195" t="str">
        <f>"40518557  "</f>
        <v xml:space="preserve">40518557  </v>
      </c>
      <c r="B2195" t="s">
        <v>2152</v>
      </c>
      <c r="C2195">
        <v>328.9</v>
      </c>
      <c r="D2195" t="str">
        <f t="shared" si="99"/>
        <v>270</v>
      </c>
    </row>
    <row r="2196" spans="1:4" x14ac:dyDescent="0.25">
      <c r="A2196" t="str">
        <f>"40518615  "</f>
        <v xml:space="preserve">40518615  </v>
      </c>
      <c r="B2196" t="s">
        <v>2153</v>
      </c>
      <c r="C2196">
        <v>184.8</v>
      </c>
      <c r="D2196" t="str">
        <f t="shared" si="99"/>
        <v>270</v>
      </c>
    </row>
    <row r="2197" spans="1:4" x14ac:dyDescent="0.25">
      <c r="A2197" t="str">
        <f>"40518623  "</f>
        <v xml:space="preserve">40518623  </v>
      </c>
      <c r="B2197" t="s">
        <v>2154</v>
      </c>
      <c r="C2197">
        <v>86.9</v>
      </c>
      <c r="D2197" t="str">
        <f t="shared" si="99"/>
        <v>270</v>
      </c>
    </row>
    <row r="2198" spans="1:4" x14ac:dyDescent="0.25">
      <c r="A2198" t="str">
        <f>"40518631  "</f>
        <v xml:space="preserve">40518631  </v>
      </c>
      <c r="B2198" t="s">
        <v>2155</v>
      </c>
      <c r="C2198">
        <v>86.9</v>
      </c>
      <c r="D2198" t="str">
        <f t="shared" si="99"/>
        <v>270</v>
      </c>
    </row>
    <row r="2199" spans="1:4" x14ac:dyDescent="0.25">
      <c r="A2199" t="str">
        <f>"40518656  "</f>
        <v xml:space="preserve">40518656  </v>
      </c>
      <c r="B2199" t="s">
        <v>2156</v>
      </c>
      <c r="C2199">
        <v>365.2</v>
      </c>
      <c r="D2199" t="str">
        <f>"272"</f>
        <v>272</v>
      </c>
    </row>
    <row r="2200" spans="1:4" x14ac:dyDescent="0.25">
      <c r="A2200" t="str">
        <f>"40518706  "</f>
        <v xml:space="preserve">40518706  </v>
      </c>
      <c r="B2200" t="s">
        <v>2157</v>
      </c>
      <c r="C2200">
        <v>61.6</v>
      </c>
      <c r="D2200" t="str">
        <f>"270"</f>
        <v>270</v>
      </c>
    </row>
    <row r="2201" spans="1:4" x14ac:dyDescent="0.25">
      <c r="A2201" t="str">
        <f>"40518722  "</f>
        <v xml:space="preserve">40518722  </v>
      </c>
      <c r="B2201" t="s">
        <v>2158</v>
      </c>
      <c r="C2201">
        <v>412.5</v>
      </c>
      <c r="D2201" t="str">
        <f>"270"</f>
        <v>270</v>
      </c>
    </row>
    <row r="2202" spans="1:4" x14ac:dyDescent="0.25">
      <c r="A2202" t="str">
        <f>"40518805  "</f>
        <v xml:space="preserve">40518805  </v>
      </c>
      <c r="B2202" t="s">
        <v>2159</v>
      </c>
      <c r="C2202">
        <v>86.9</v>
      </c>
      <c r="D2202" t="str">
        <f>"278"</f>
        <v>278</v>
      </c>
    </row>
    <row r="2203" spans="1:4" x14ac:dyDescent="0.25">
      <c r="A2203" t="str">
        <f>"40518813  "</f>
        <v xml:space="preserve">40518813  </v>
      </c>
      <c r="B2203" t="s">
        <v>2160</v>
      </c>
      <c r="C2203">
        <v>166.1</v>
      </c>
      <c r="D2203" t="str">
        <f>"278"</f>
        <v>278</v>
      </c>
    </row>
    <row r="2204" spans="1:4" x14ac:dyDescent="0.25">
      <c r="A2204" t="str">
        <f>"40518839  "</f>
        <v xml:space="preserve">40518839  </v>
      </c>
      <c r="B2204" t="s">
        <v>2161</v>
      </c>
      <c r="C2204">
        <v>332.2</v>
      </c>
      <c r="D2204" t="str">
        <f>"270"</f>
        <v>270</v>
      </c>
    </row>
    <row r="2205" spans="1:4" x14ac:dyDescent="0.25">
      <c r="A2205" t="str">
        <f>"40518847  "</f>
        <v xml:space="preserve">40518847  </v>
      </c>
      <c r="B2205" t="s">
        <v>2162</v>
      </c>
      <c r="C2205" s="1">
        <v>1815</v>
      </c>
      <c r="D2205" t="str">
        <f>"270"</f>
        <v>270</v>
      </c>
    </row>
    <row r="2206" spans="1:4" x14ac:dyDescent="0.25">
      <c r="A2206" t="str">
        <f>"40518870  "</f>
        <v xml:space="preserve">40518870  </v>
      </c>
      <c r="B2206" t="s">
        <v>2163</v>
      </c>
      <c r="C2206">
        <v>61.6</v>
      </c>
      <c r="D2206" t="str">
        <f>"270"</f>
        <v>270</v>
      </c>
    </row>
    <row r="2207" spans="1:4" x14ac:dyDescent="0.25">
      <c r="A2207" t="str">
        <f>"40518888  "</f>
        <v xml:space="preserve">40518888  </v>
      </c>
      <c r="B2207" t="s">
        <v>2164</v>
      </c>
      <c r="C2207">
        <v>262.89999999999998</v>
      </c>
      <c r="D2207" t="str">
        <f>"278"</f>
        <v>278</v>
      </c>
    </row>
    <row r="2208" spans="1:4" x14ac:dyDescent="0.25">
      <c r="A2208" t="str">
        <f>"40518896  "</f>
        <v xml:space="preserve">40518896  </v>
      </c>
      <c r="B2208" t="s">
        <v>2165</v>
      </c>
      <c r="C2208">
        <v>305.8</v>
      </c>
      <c r="D2208" t="str">
        <f>"278"</f>
        <v>278</v>
      </c>
    </row>
    <row r="2209" spans="1:4" x14ac:dyDescent="0.25">
      <c r="A2209" t="str">
        <f>"40518904  "</f>
        <v xml:space="preserve">40518904  </v>
      </c>
      <c r="B2209" t="s">
        <v>2166</v>
      </c>
      <c r="C2209">
        <v>61.6</v>
      </c>
      <c r="D2209" t="str">
        <f>"270"</f>
        <v>270</v>
      </c>
    </row>
    <row r="2210" spans="1:4" x14ac:dyDescent="0.25">
      <c r="A2210" t="str">
        <f>"40518920  "</f>
        <v xml:space="preserve">40518920  </v>
      </c>
      <c r="B2210" t="s">
        <v>2167</v>
      </c>
      <c r="C2210">
        <v>493.9</v>
      </c>
      <c r="D2210" t="str">
        <f>"278"</f>
        <v>278</v>
      </c>
    </row>
    <row r="2211" spans="1:4" x14ac:dyDescent="0.25">
      <c r="A2211" t="str">
        <f>"40518990"</f>
        <v>40518990</v>
      </c>
      <c r="B2211" t="s">
        <v>2168</v>
      </c>
      <c r="C2211">
        <v>53.9</v>
      </c>
      <c r="D2211" t="str">
        <f>"270"</f>
        <v>270</v>
      </c>
    </row>
    <row r="2212" spans="1:4" x14ac:dyDescent="0.25">
      <c r="A2212" t="str">
        <f>"40519001  "</f>
        <v xml:space="preserve">40519001  </v>
      </c>
      <c r="B2212" t="s">
        <v>2169</v>
      </c>
      <c r="C2212" s="1">
        <v>14630</v>
      </c>
      <c r="D2212" t="str">
        <f>"278"</f>
        <v>278</v>
      </c>
    </row>
    <row r="2213" spans="1:4" x14ac:dyDescent="0.25">
      <c r="A2213" t="str">
        <f>"40519050  "</f>
        <v xml:space="preserve">40519050  </v>
      </c>
      <c r="B2213" t="s">
        <v>2170</v>
      </c>
      <c r="C2213" s="1">
        <v>1089</v>
      </c>
      <c r="D2213" t="str">
        <f>"271"</f>
        <v>271</v>
      </c>
    </row>
    <row r="2214" spans="1:4" x14ac:dyDescent="0.25">
      <c r="A2214" t="str">
        <f>"40519159  "</f>
        <v xml:space="preserve">40519159  </v>
      </c>
      <c r="B2214" t="s">
        <v>2171</v>
      </c>
      <c r="C2214" s="1">
        <v>16434</v>
      </c>
      <c r="D2214" t="str">
        <f>"278"</f>
        <v>278</v>
      </c>
    </row>
    <row r="2215" spans="1:4" x14ac:dyDescent="0.25">
      <c r="A2215" t="str">
        <f>"40519308  "</f>
        <v xml:space="preserve">40519308  </v>
      </c>
      <c r="B2215" t="s">
        <v>2172</v>
      </c>
      <c r="C2215">
        <v>144.1</v>
      </c>
      <c r="D2215" t="str">
        <f>"270"</f>
        <v>270</v>
      </c>
    </row>
    <row r="2216" spans="1:4" x14ac:dyDescent="0.25">
      <c r="A2216" t="str">
        <f>"40519449  "</f>
        <v xml:space="preserve">40519449  </v>
      </c>
      <c r="B2216" t="s">
        <v>2173</v>
      </c>
      <c r="C2216" s="1">
        <v>2948</v>
      </c>
      <c r="D2216" t="str">
        <f>"270"</f>
        <v>270</v>
      </c>
    </row>
    <row r="2217" spans="1:4" x14ac:dyDescent="0.25">
      <c r="A2217" t="str">
        <f>"40519464  "</f>
        <v xml:space="preserve">40519464  </v>
      </c>
      <c r="B2217" t="s">
        <v>2174</v>
      </c>
      <c r="C2217" s="1">
        <v>1477.3</v>
      </c>
      <c r="D2217" t="str">
        <f>"270"</f>
        <v>270</v>
      </c>
    </row>
    <row r="2218" spans="1:4" x14ac:dyDescent="0.25">
      <c r="A2218" t="str">
        <f>"40521386"</f>
        <v>40521386</v>
      </c>
      <c r="B2218" t="s">
        <v>2175</v>
      </c>
      <c r="C2218">
        <v>935</v>
      </c>
      <c r="D2218" t="str">
        <f t="shared" ref="D2218:D2224" si="100">"278"</f>
        <v>278</v>
      </c>
    </row>
    <row r="2219" spans="1:4" x14ac:dyDescent="0.25">
      <c r="A2219" t="str">
        <f>"40540511"</f>
        <v>40540511</v>
      </c>
      <c r="B2219" t="s">
        <v>2176</v>
      </c>
      <c r="C2219" s="1">
        <v>2640</v>
      </c>
      <c r="D2219" t="str">
        <f t="shared" si="100"/>
        <v>278</v>
      </c>
    </row>
    <row r="2220" spans="1:4" x14ac:dyDescent="0.25">
      <c r="A2220" t="str">
        <f>"40540512"</f>
        <v>40540512</v>
      </c>
      <c r="B2220" t="s">
        <v>2177</v>
      </c>
      <c r="C2220">
        <v>605</v>
      </c>
      <c r="D2220" t="str">
        <f t="shared" si="100"/>
        <v>278</v>
      </c>
    </row>
    <row r="2221" spans="1:4" x14ac:dyDescent="0.25">
      <c r="A2221" t="str">
        <f>"40540513"</f>
        <v>40540513</v>
      </c>
      <c r="B2221" t="s">
        <v>2178</v>
      </c>
      <c r="C2221">
        <v>605</v>
      </c>
      <c r="D2221" t="str">
        <f t="shared" si="100"/>
        <v>278</v>
      </c>
    </row>
    <row r="2222" spans="1:4" x14ac:dyDescent="0.25">
      <c r="A2222" t="str">
        <f>"40540514"</f>
        <v>40540514</v>
      </c>
      <c r="B2222" t="s">
        <v>2179</v>
      </c>
      <c r="C2222">
        <v>715</v>
      </c>
      <c r="D2222" t="str">
        <f t="shared" si="100"/>
        <v>278</v>
      </c>
    </row>
    <row r="2223" spans="1:4" x14ac:dyDescent="0.25">
      <c r="A2223" t="str">
        <f>"40540515"</f>
        <v>40540515</v>
      </c>
      <c r="B2223" t="s">
        <v>2180</v>
      </c>
      <c r="C2223" s="1">
        <v>1017.5</v>
      </c>
      <c r="D2223" t="str">
        <f t="shared" si="100"/>
        <v>278</v>
      </c>
    </row>
    <row r="2224" spans="1:4" x14ac:dyDescent="0.25">
      <c r="A2224" t="str">
        <f>"40540516"</f>
        <v>40540516</v>
      </c>
      <c r="B2224" t="s">
        <v>2181</v>
      </c>
      <c r="C2224">
        <v>660</v>
      </c>
      <c r="D2224" t="str">
        <f t="shared" si="100"/>
        <v>278</v>
      </c>
    </row>
    <row r="2225" spans="1:5" x14ac:dyDescent="0.25">
      <c r="A2225" t="str">
        <f>"40540517"</f>
        <v>40540517</v>
      </c>
      <c r="B2225" t="s">
        <v>2182</v>
      </c>
      <c r="C2225">
        <v>660</v>
      </c>
      <c r="D2225" t="str">
        <f>"270"</f>
        <v>270</v>
      </c>
    </row>
    <row r="2226" spans="1:5" x14ac:dyDescent="0.25">
      <c r="A2226" t="str">
        <f>"40540518"</f>
        <v>40540518</v>
      </c>
      <c r="B2226" t="s">
        <v>2183</v>
      </c>
      <c r="C2226">
        <v>660</v>
      </c>
      <c r="D2226" t="str">
        <f>"270"</f>
        <v>270</v>
      </c>
    </row>
    <row r="2227" spans="1:5" x14ac:dyDescent="0.25">
      <c r="A2227" t="str">
        <f>"40540519"</f>
        <v>40540519</v>
      </c>
      <c r="B2227" t="s">
        <v>2184</v>
      </c>
      <c r="C2227">
        <v>770</v>
      </c>
      <c r="D2227" t="str">
        <f>"278"</f>
        <v>278</v>
      </c>
    </row>
    <row r="2228" spans="1:5" x14ac:dyDescent="0.25">
      <c r="A2228" t="str">
        <f>"40540520"</f>
        <v>40540520</v>
      </c>
      <c r="B2228" t="s">
        <v>2185</v>
      </c>
      <c r="C2228">
        <v>550</v>
      </c>
      <c r="D2228" t="str">
        <f>"270"</f>
        <v>270</v>
      </c>
    </row>
    <row r="2229" spans="1:5" x14ac:dyDescent="0.25">
      <c r="A2229" t="str">
        <f>"40540521"</f>
        <v>40540521</v>
      </c>
      <c r="B2229" t="s">
        <v>2186</v>
      </c>
      <c r="C2229">
        <v>330</v>
      </c>
      <c r="D2229" t="str">
        <f>"270"</f>
        <v>270</v>
      </c>
    </row>
    <row r="2230" spans="1:5" x14ac:dyDescent="0.25">
      <c r="A2230" t="str">
        <f>"40550014  "</f>
        <v xml:space="preserve">40550014  </v>
      </c>
      <c r="B2230" t="s">
        <v>2187</v>
      </c>
      <c r="C2230">
        <v>55</v>
      </c>
      <c r="D2230" t="str">
        <f>"272"</f>
        <v>272</v>
      </c>
      <c r="E2230" t="str">
        <f>"86787"</f>
        <v>86787</v>
      </c>
    </row>
    <row r="2231" spans="1:5" x14ac:dyDescent="0.25">
      <c r="A2231" t="str">
        <f>"40550055  "</f>
        <v xml:space="preserve">40550055  </v>
      </c>
      <c r="B2231" t="s">
        <v>2188</v>
      </c>
      <c r="C2231">
        <v>66</v>
      </c>
      <c r="D2231" t="str">
        <f>"307"</f>
        <v>307</v>
      </c>
    </row>
    <row r="2232" spans="1:5" x14ac:dyDescent="0.25">
      <c r="A2232" t="str">
        <f>"40551004  "</f>
        <v xml:space="preserve">40551004  </v>
      </c>
      <c r="B2232" t="s">
        <v>2189</v>
      </c>
      <c r="C2232">
        <v>55</v>
      </c>
      <c r="D2232" t="str">
        <f>"420"</f>
        <v>420</v>
      </c>
    </row>
    <row r="2233" spans="1:5" x14ac:dyDescent="0.25">
      <c r="A2233" t="str">
        <f>"40552234"</f>
        <v>40552234</v>
      </c>
      <c r="B2233" t="s">
        <v>2190</v>
      </c>
      <c r="C2233">
        <v>53.9</v>
      </c>
      <c r="D2233" t="str">
        <f>"250"</f>
        <v>250</v>
      </c>
    </row>
    <row r="2234" spans="1:5" x14ac:dyDescent="0.25">
      <c r="A2234" t="str">
        <f>"40552243"</f>
        <v>40552243</v>
      </c>
      <c r="B2234" t="s">
        <v>2191</v>
      </c>
      <c r="C2234">
        <v>53.9</v>
      </c>
      <c r="D2234" t="str">
        <f>"250"</f>
        <v>250</v>
      </c>
    </row>
    <row r="2235" spans="1:5" x14ac:dyDescent="0.25">
      <c r="A2235" t="str">
        <f>"40555455"</f>
        <v>40555455</v>
      </c>
      <c r="B2235" t="s">
        <v>2192</v>
      </c>
      <c r="C2235">
        <v>53.9</v>
      </c>
      <c r="D2235" t="str">
        <f>"250"</f>
        <v>250</v>
      </c>
    </row>
    <row r="2236" spans="1:5" x14ac:dyDescent="0.25">
      <c r="A2236" t="str">
        <f>"40570046  "</f>
        <v xml:space="preserve">40570046  </v>
      </c>
      <c r="B2236" t="s">
        <v>2193</v>
      </c>
      <c r="C2236">
        <v>71.5</v>
      </c>
      <c r="D2236" t="str">
        <f>"301"</f>
        <v>301</v>
      </c>
      <c r="E2236" t="str">
        <f>"85307"</f>
        <v>85307</v>
      </c>
    </row>
    <row r="2237" spans="1:5" x14ac:dyDescent="0.25">
      <c r="A2237" t="str">
        <f>"40572001"</f>
        <v>40572001</v>
      </c>
      <c r="B2237" t="s">
        <v>2194</v>
      </c>
      <c r="C2237">
        <v>53.9</v>
      </c>
      <c r="D2237" t="str">
        <f>"250"</f>
        <v>250</v>
      </c>
    </row>
    <row r="2238" spans="1:5" x14ac:dyDescent="0.25">
      <c r="A2238" t="str">
        <f>"40580003  "</f>
        <v xml:space="preserve">40580003  </v>
      </c>
      <c r="B2238" t="s">
        <v>2195</v>
      </c>
      <c r="C2238" s="1">
        <v>1567.5</v>
      </c>
      <c r="D2238" t="str">
        <f t="shared" ref="D2238:D2246" si="101">"278"</f>
        <v>278</v>
      </c>
    </row>
    <row r="2239" spans="1:5" x14ac:dyDescent="0.25">
      <c r="A2239" t="str">
        <f>"40580011  "</f>
        <v xml:space="preserve">40580011  </v>
      </c>
      <c r="B2239" t="s">
        <v>2196</v>
      </c>
      <c r="C2239" s="1">
        <v>4735.5</v>
      </c>
      <c r="D2239" t="str">
        <f t="shared" si="101"/>
        <v>278</v>
      </c>
    </row>
    <row r="2240" spans="1:5" x14ac:dyDescent="0.25">
      <c r="A2240" t="str">
        <f>"40580029  "</f>
        <v xml:space="preserve">40580029  </v>
      </c>
      <c r="B2240" t="s">
        <v>2197</v>
      </c>
      <c r="C2240" s="1">
        <v>2729.1</v>
      </c>
      <c r="D2240" t="str">
        <f t="shared" si="101"/>
        <v>278</v>
      </c>
    </row>
    <row r="2241" spans="1:5" x14ac:dyDescent="0.25">
      <c r="A2241" t="str">
        <f>"40580037  "</f>
        <v xml:space="preserve">40580037  </v>
      </c>
      <c r="B2241" t="s">
        <v>2198</v>
      </c>
      <c r="C2241" s="1">
        <v>6600</v>
      </c>
      <c r="D2241" t="str">
        <f t="shared" si="101"/>
        <v>278</v>
      </c>
    </row>
    <row r="2242" spans="1:5" x14ac:dyDescent="0.25">
      <c r="A2242" t="str">
        <f>"40580045  "</f>
        <v xml:space="preserve">40580045  </v>
      </c>
      <c r="B2242" t="s">
        <v>2199</v>
      </c>
      <c r="C2242">
        <v>581.9</v>
      </c>
      <c r="D2242" t="str">
        <f t="shared" si="101"/>
        <v>278</v>
      </c>
    </row>
    <row r="2243" spans="1:5" x14ac:dyDescent="0.25">
      <c r="A2243" t="str">
        <f>"40580052  "</f>
        <v xml:space="preserve">40580052  </v>
      </c>
      <c r="B2243" t="s">
        <v>2200</v>
      </c>
      <c r="C2243" s="1">
        <v>2174.6999999999998</v>
      </c>
      <c r="D2243" t="str">
        <f t="shared" si="101"/>
        <v>278</v>
      </c>
    </row>
    <row r="2244" spans="1:5" x14ac:dyDescent="0.25">
      <c r="A2244" t="str">
        <f>"40580053"</f>
        <v>40580053</v>
      </c>
      <c r="B2244" t="s">
        <v>2201</v>
      </c>
      <c r="C2244" s="1">
        <v>6142.5</v>
      </c>
      <c r="D2244" t="str">
        <f t="shared" si="101"/>
        <v>278</v>
      </c>
    </row>
    <row r="2245" spans="1:5" x14ac:dyDescent="0.25">
      <c r="A2245" t="str">
        <f>"40580054"</f>
        <v>40580054</v>
      </c>
      <c r="B2245" t="s">
        <v>2202</v>
      </c>
      <c r="C2245" s="1">
        <v>3197.25</v>
      </c>
      <c r="D2245" t="str">
        <f t="shared" si="101"/>
        <v>278</v>
      </c>
    </row>
    <row r="2246" spans="1:5" x14ac:dyDescent="0.25">
      <c r="A2246" t="str">
        <f>"40580055"</f>
        <v>40580055</v>
      </c>
      <c r="B2246" t="s">
        <v>2203</v>
      </c>
      <c r="C2246" s="1">
        <v>1496.25</v>
      </c>
      <c r="D2246" t="str">
        <f t="shared" si="101"/>
        <v>278</v>
      </c>
    </row>
    <row r="2247" spans="1:5" x14ac:dyDescent="0.25">
      <c r="A2247" t="str">
        <f>"40588770"</f>
        <v>40588770</v>
      </c>
      <c r="B2247" t="s">
        <v>2204</v>
      </c>
      <c r="C2247">
        <v>53.9</v>
      </c>
      <c r="D2247" t="str">
        <f>"270"</f>
        <v>270</v>
      </c>
    </row>
    <row r="2248" spans="1:5" x14ac:dyDescent="0.25">
      <c r="A2248" t="str">
        <f>"40590002  "</f>
        <v xml:space="preserve">40590002  </v>
      </c>
      <c r="B2248" t="s">
        <v>2205</v>
      </c>
      <c r="C2248">
        <v>178.04</v>
      </c>
      <c r="D2248" t="str">
        <f>"307"</f>
        <v>307</v>
      </c>
      <c r="E2248" t="str">
        <f>"80101"</f>
        <v>80101</v>
      </c>
    </row>
    <row r="2249" spans="1:5" x14ac:dyDescent="0.25">
      <c r="A2249" t="str">
        <f>"40599009"</f>
        <v>40599009</v>
      </c>
      <c r="B2249" t="s">
        <v>2206</v>
      </c>
      <c r="C2249">
        <v>1.1000000000000001</v>
      </c>
      <c r="D2249" t="str">
        <f>"270"</f>
        <v>270</v>
      </c>
    </row>
    <row r="2250" spans="1:5" x14ac:dyDescent="0.25">
      <c r="A2250" t="str">
        <f>"9999999999"</f>
        <v>9999999999</v>
      </c>
      <c r="B2250" t="s">
        <v>2207</v>
      </c>
      <c r="C2250">
        <v>0</v>
      </c>
      <c r="D2250" t="str">
        <f>"271"</f>
        <v>271</v>
      </c>
    </row>
    <row r="2251" spans="1:5" x14ac:dyDescent="0.25">
      <c r="A2251" t="str">
        <f>"40600009  "</f>
        <v xml:space="preserve">40600009  </v>
      </c>
      <c r="B2251" t="s">
        <v>2208</v>
      </c>
      <c r="C2251">
        <v>165</v>
      </c>
      <c r="D2251" t="str">
        <f>"301"</f>
        <v>301</v>
      </c>
      <c r="E2251" t="str">
        <f>"80305"</f>
        <v>80305</v>
      </c>
    </row>
    <row r="2252" spans="1:5" x14ac:dyDescent="0.25">
      <c r="A2252" t="str">
        <f>"40600010"</f>
        <v>40600010</v>
      </c>
      <c r="B2252" t="s">
        <v>2209</v>
      </c>
      <c r="C2252">
        <v>165</v>
      </c>
      <c r="D2252" t="str">
        <f>"301"</f>
        <v>301</v>
      </c>
      <c r="E2252" t="str">
        <f>"81403"</f>
        <v>81403</v>
      </c>
    </row>
    <row r="2253" spans="1:5" x14ac:dyDescent="0.25">
      <c r="A2253" t="str">
        <f>"40600010"</f>
        <v>40600010</v>
      </c>
      <c r="B2253" t="s">
        <v>2209</v>
      </c>
      <c r="C2253">
        <v>165</v>
      </c>
      <c r="D2253" t="str">
        <f>"301"</f>
        <v>301</v>
      </c>
      <c r="E2253" t="str">
        <f>"81403"</f>
        <v>81403</v>
      </c>
    </row>
    <row r="2254" spans="1:5" x14ac:dyDescent="0.25">
      <c r="A2254" t="str">
        <f>"40600108  "</f>
        <v xml:space="preserve">40600108  </v>
      </c>
      <c r="B2254" t="s">
        <v>2210</v>
      </c>
      <c r="C2254">
        <v>12.1</v>
      </c>
      <c r="D2254" t="str">
        <f>"300"</f>
        <v>300</v>
      </c>
      <c r="E2254" t="str">
        <f>"82977"</f>
        <v>82977</v>
      </c>
    </row>
    <row r="2255" spans="1:5" x14ac:dyDescent="0.25">
      <c r="A2255" t="str">
        <f>"40600157  "</f>
        <v xml:space="preserve">40600157  </v>
      </c>
      <c r="B2255" t="s">
        <v>2211</v>
      </c>
      <c r="C2255">
        <v>132</v>
      </c>
      <c r="D2255" t="str">
        <f>"300"</f>
        <v>300</v>
      </c>
      <c r="E2255" t="str">
        <f>"84479"</f>
        <v>84479</v>
      </c>
    </row>
    <row r="2256" spans="1:5" x14ac:dyDescent="0.25">
      <c r="A2256" t="str">
        <f>"40600256  "</f>
        <v xml:space="preserve">40600256  </v>
      </c>
      <c r="B2256" t="s">
        <v>2212</v>
      </c>
      <c r="C2256">
        <v>73.7</v>
      </c>
      <c r="D2256" t="str">
        <f>"300"</f>
        <v>300</v>
      </c>
      <c r="E2256" t="str">
        <f>"82024"</f>
        <v>82024</v>
      </c>
    </row>
    <row r="2257" spans="1:5" x14ac:dyDescent="0.25">
      <c r="A2257" t="str">
        <f>"40600322"</f>
        <v>40600322</v>
      </c>
      <c r="B2257" t="s">
        <v>2213</v>
      </c>
      <c r="C2257">
        <v>79.48</v>
      </c>
      <c r="D2257" t="str">
        <f>"301"</f>
        <v>301</v>
      </c>
      <c r="E2257" t="str">
        <f>"86235"</f>
        <v>86235</v>
      </c>
    </row>
    <row r="2258" spans="1:5" x14ac:dyDescent="0.25">
      <c r="A2258" t="str">
        <f>"40600355  "</f>
        <v xml:space="preserve">40600355  </v>
      </c>
      <c r="B2258" t="s">
        <v>2214</v>
      </c>
      <c r="C2258">
        <v>30.53</v>
      </c>
      <c r="D2258" t="str">
        <f t="shared" ref="D2258:D2284" si="102">"300"</f>
        <v>300</v>
      </c>
      <c r="E2258" t="str">
        <f>"84153"</f>
        <v>84153</v>
      </c>
    </row>
    <row r="2259" spans="1:5" x14ac:dyDescent="0.25">
      <c r="A2259" t="str">
        <f>"40600362"</f>
        <v>40600362</v>
      </c>
      <c r="B2259" t="s">
        <v>2215</v>
      </c>
      <c r="C2259">
        <v>79.48</v>
      </c>
      <c r="D2259" t="str">
        <f t="shared" si="102"/>
        <v>300</v>
      </c>
      <c r="E2259" t="str">
        <f>"83880"</f>
        <v>83880</v>
      </c>
    </row>
    <row r="2260" spans="1:5" x14ac:dyDescent="0.25">
      <c r="A2260" t="str">
        <f>"40600405  "</f>
        <v xml:space="preserve">40600405  </v>
      </c>
      <c r="B2260" t="s">
        <v>2216</v>
      </c>
      <c r="C2260">
        <v>65.23</v>
      </c>
      <c r="D2260" t="str">
        <f t="shared" si="102"/>
        <v>300</v>
      </c>
      <c r="E2260" t="str">
        <f>"82040"</f>
        <v>82040</v>
      </c>
    </row>
    <row r="2261" spans="1:5" x14ac:dyDescent="0.25">
      <c r="A2261" t="str">
        <f>"40600454  "</f>
        <v xml:space="preserve">40600454  </v>
      </c>
      <c r="B2261" t="s">
        <v>2217</v>
      </c>
      <c r="C2261">
        <v>44</v>
      </c>
      <c r="D2261" t="str">
        <f t="shared" si="102"/>
        <v>300</v>
      </c>
      <c r="E2261" t="str">
        <f>"80320"</f>
        <v>80320</v>
      </c>
    </row>
    <row r="2262" spans="1:5" x14ac:dyDescent="0.25">
      <c r="A2262" t="str">
        <f>"40600504  "</f>
        <v xml:space="preserve">40600504  </v>
      </c>
      <c r="B2262" t="s">
        <v>2218</v>
      </c>
      <c r="C2262">
        <v>34.93</v>
      </c>
      <c r="D2262" t="str">
        <f t="shared" si="102"/>
        <v>300</v>
      </c>
      <c r="E2262" t="str">
        <f>"82085"</f>
        <v>82085</v>
      </c>
    </row>
    <row r="2263" spans="1:5" x14ac:dyDescent="0.25">
      <c r="A2263" t="str">
        <f>"40600553  "</f>
        <v xml:space="preserve">40600553  </v>
      </c>
      <c r="B2263" t="s">
        <v>2219</v>
      </c>
      <c r="C2263">
        <v>87.18</v>
      </c>
      <c r="D2263" t="str">
        <f t="shared" si="102"/>
        <v>300</v>
      </c>
      <c r="E2263" t="str">
        <f>"82088"</f>
        <v>82088</v>
      </c>
    </row>
    <row r="2264" spans="1:5" x14ac:dyDescent="0.25">
      <c r="A2264" t="str">
        <f>"40600603  "</f>
        <v xml:space="preserve">40600603  </v>
      </c>
      <c r="B2264" t="s">
        <v>2220</v>
      </c>
      <c r="C2264">
        <v>86.24</v>
      </c>
      <c r="D2264" t="str">
        <f t="shared" si="102"/>
        <v>300</v>
      </c>
      <c r="E2264" t="str">
        <f>"84075"</f>
        <v>84075</v>
      </c>
    </row>
    <row r="2265" spans="1:5" x14ac:dyDescent="0.25">
      <c r="A2265" t="str">
        <f>"40600652  "</f>
        <v xml:space="preserve">40600652  </v>
      </c>
      <c r="B2265" t="s">
        <v>2221</v>
      </c>
      <c r="C2265">
        <v>136.4</v>
      </c>
      <c r="D2265" t="str">
        <f t="shared" si="102"/>
        <v>300</v>
      </c>
      <c r="E2265" t="str">
        <f>"80150"</f>
        <v>80150</v>
      </c>
    </row>
    <row r="2266" spans="1:5" x14ac:dyDescent="0.25">
      <c r="A2266" t="str">
        <f>"40600660  "</f>
        <v xml:space="preserve">40600660  </v>
      </c>
      <c r="B2266" t="s">
        <v>2222</v>
      </c>
      <c r="C2266">
        <v>55</v>
      </c>
      <c r="D2266" t="str">
        <f t="shared" si="102"/>
        <v>300</v>
      </c>
      <c r="E2266" t="str">
        <f>"84080"</f>
        <v>84080</v>
      </c>
    </row>
    <row r="2267" spans="1:5" x14ac:dyDescent="0.25">
      <c r="A2267" t="str">
        <f>"40600700"</f>
        <v>40600700</v>
      </c>
      <c r="B2267" t="s">
        <v>2223</v>
      </c>
      <c r="C2267">
        <v>132</v>
      </c>
      <c r="D2267" t="str">
        <f t="shared" si="102"/>
        <v>300</v>
      </c>
      <c r="E2267" t="str">
        <f>"87804"</f>
        <v>87804</v>
      </c>
    </row>
    <row r="2268" spans="1:5" x14ac:dyDescent="0.25">
      <c r="A2268" t="str">
        <f>"40600702  "</f>
        <v xml:space="preserve">40600702  </v>
      </c>
      <c r="B2268" t="s">
        <v>2224</v>
      </c>
      <c r="C2268">
        <v>115.5</v>
      </c>
      <c r="D2268" t="str">
        <f t="shared" si="102"/>
        <v>300</v>
      </c>
      <c r="E2268" t="str">
        <f>"82140"</f>
        <v>82140</v>
      </c>
    </row>
    <row r="2269" spans="1:5" x14ac:dyDescent="0.25">
      <c r="A2269" t="str">
        <f>"40600801  "</f>
        <v xml:space="preserve">40600801  </v>
      </c>
      <c r="B2269" t="s">
        <v>2225</v>
      </c>
      <c r="C2269">
        <v>66</v>
      </c>
      <c r="D2269" t="str">
        <f t="shared" si="102"/>
        <v>300</v>
      </c>
      <c r="E2269" t="str">
        <f>"82030"</f>
        <v>82030</v>
      </c>
    </row>
    <row r="2270" spans="1:5" x14ac:dyDescent="0.25">
      <c r="A2270" t="str">
        <f>"40600900  "</f>
        <v xml:space="preserve">40600900  </v>
      </c>
      <c r="B2270" t="s">
        <v>2226</v>
      </c>
      <c r="C2270">
        <v>90.75</v>
      </c>
      <c r="D2270" t="str">
        <f t="shared" si="102"/>
        <v>300</v>
      </c>
      <c r="E2270" t="str">
        <f>"82150"</f>
        <v>82150</v>
      </c>
    </row>
    <row r="2271" spans="1:5" x14ac:dyDescent="0.25">
      <c r="A2271" t="str">
        <f>"40600959  "</f>
        <v xml:space="preserve">40600959  </v>
      </c>
      <c r="B2271" t="s">
        <v>2227</v>
      </c>
      <c r="C2271">
        <v>69.03</v>
      </c>
      <c r="D2271" t="str">
        <f t="shared" si="102"/>
        <v>300</v>
      </c>
      <c r="E2271" t="str">
        <f>"82157"</f>
        <v>82157</v>
      </c>
    </row>
    <row r="2272" spans="1:5" x14ac:dyDescent="0.25">
      <c r="A2272" t="str">
        <f>"40601007  "</f>
        <v xml:space="preserve">40601007  </v>
      </c>
      <c r="B2272" t="s">
        <v>2228</v>
      </c>
      <c r="C2272">
        <v>49.5</v>
      </c>
      <c r="D2272" t="str">
        <f t="shared" si="102"/>
        <v>300</v>
      </c>
      <c r="E2272" t="str">
        <f>"86710"</f>
        <v>86710</v>
      </c>
    </row>
    <row r="2273" spans="1:5" x14ac:dyDescent="0.25">
      <c r="A2273" t="str">
        <f>"40601056  "</f>
        <v xml:space="preserve">40601056  </v>
      </c>
      <c r="B2273" t="s">
        <v>2229</v>
      </c>
      <c r="C2273">
        <v>49.5</v>
      </c>
      <c r="D2273" t="str">
        <f t="shared" si="102"/>
        <v>300</v>
      </c>
      <c r="E2273" t="str">
        <f>"86710"</f>
        <v>86710</v>
      </c>
    </row>
    <row r="2274" spans="1:5" x14ac:dyDescent="0.25">
      <c r="A2274" t="str">
        <f>"40601106  "</f>
        <v xml:space="preserve">40601106  </v>
      </c>
      <c r="B2274" t="s">
        <v>2230</v>
      </c>
      <c r="C2274">
        <v>24.2</v>
      </c>
      <c r="D2274" t="str">
        <f t="shared" si="102"/>
        <v>300</v>
      </c>
      <c r="E2274" t="str">
        <f>"80300"</f>
        <v>80300</v>
      </c>
    </row>
    <row r="2275" spans="1:5" x14ac:dyDescent="0.25">
      <c r="A2275" t="str">
        <f>"40601205  "</f>
        <v xml:space="preserve">40601205  </v>
      </c>
      <c r="B2275" t="s">
        <v>2231</v>
      </c>
      <c r="C2275">
        <v>63.48</v>
      </c>
      <c r="D2275" t="str">
        <f t="shared" si="102"/>
        <v>300</v>
      </c>
      <c r="E2275" t="str">
        <f>"82232"</f>
        <v>82232</v>
      </c>
    </row>
    <row r="2276" spans="1:5" x14ac:dyDescent="0.25">
      <c r="A2276" t="str">
        <f>"40601254  "</f>
        <v xml:space="preserve">40601254  </v>
      </c>
      <c r="B2276" t="s">
        <v>2232</v>
      </c>
      <c r="C2276">
        <v>8.06</v>
      </c>
      <c r="D2276" t="str">
        <f t="shared" si="102"/>
        <v>300</v>
      </c>
      <c r="E2276" t="str">
        <f>"82248"</f>
        <v>82248</v>
      </c>
    </row>
    <row r="2277" spans="1:5" x14ac:dyDescent="0.25">
      <c r="A2277" t="str">
        <f>"40601304  "</f>
        <v xml:space="preserve">40601304  </v>
      </c>
      <c r="B2277" t="s">
        <v>2233</v>
      </c>
      <c r="C2277">
        <v>96.8</v>
      </c>
      <c r="D2277" t="str">
        <f t="shared" si="102"/>
        <v>300</v>
      </c>
      <c r="E2277" t="str">
        <f>"82247"</f>
        <v>82247</v>
      </c>
    </row>
    <row r="2278" spans="1:5" x14ac:dyDescent="0.25">
      <c r="A2278" t="str">
        <f>"40601320  "</f>
        <v xml:space="preserve">40601320  </v>
      </c>
      <c r="B2278" t="s">
        <v>2234</v>
      </c>
      <c r="C2278">
        <v>117.7</v>
      </c>
      <c r="D2278" t="str">
        <f t="shared" si="102"/>
        <v>300</v>
      </c>
      <c r="E2278" t="str">
        <f>"87802"</f>
        <v>87802</v>
      </c>
    </row>
    <row r="2279" spans="1:5" x14ac:dyDescent="0.25">
      <c r="A2279" t="str">
        <f>"40601551  "</f>
        <v xml:space="preserve">40601551  </v>
      </c>
      <c r="B2279" t="s">
        <v>2235</v>
      </c>
      <c r="C2279">
        <v>81.73</v>
      </c>
      <c r="D2279" t="str">
        <f t="shared" si="102"/>
        <v>300</v>
      </c>
      <c r="E2279" t="str">
        <f>"84520"</f>
        <v>84520</v>
      </c>
    </row>
    <row r="2280" spans="1:5" x14ac:dyDescent="0.25">
      <c r="A2280" t="str">
        <f>"40601650  "</f>
        <v xml:space="preserve">40601650  </v>
      </c>
      <c r="B2280" t="s">
        <v>2236</v>
      </c>
      <c r="C2280">
        <v>81.73</v>
      </c>
      <c r="D2280" t="str">
        <f t="shared" si="102"/>
        <v>300</v>
      </c>
      <c r="E2280" t="str">
        <f>"82310"</f>
        <v>82310</v>
      </c>
    </row>
    <row r="2281" spans="1:5" x14ac:dyDescent="0.25">
      <c r="A2281" t="str">
        <f>"40601700  "</f>
        <v xml:space="preserve">40601700  </v>
      </c>
      <c r="B2281" t="s">
        <v>2237</v>
      </c>
      <c r="C2281">
        <v>34.76</v>
      </c>
      <c r="D2281" t="str">
        <f t="shared" si="102"/>
        <v>300</v>
      </c>
      <c r="E2281" t="str">
        <f>"82340"</f>
        <v>82340</v>
      </c>
    </row>
    <row r="2282" spans="1:5" x14ac:dyDescent="0.25">
      <c r="A2282" t="str">
        <f>"40601759  "</f>
        <v xml:space="preserve">40601759  </v>
      </c>
      <c r="B2282" t="s">
        <v>2238</v>
      </c>
      <c r="C2282">
        <v>101.2</v>
      </c>
      <c r="D2282" t="str">
        <f t="shared" si="102"/>
        <v>300</v>
      </c>
      <c r="E2282" t="str">
        <f>"82360"</f>
        <v>82360</v>
      </c>
    </row>
    <row r="2283" spans="1:5" x14ac:dyDescent="0.25">
      <c r="A2283" t="str">
        <f>"40601858  "</f>
        <v xml:space="preserve">40601858  </v>
      </c>
      <c r="B2283" t="s">
        <v>2239</v>
      </c>
      <c r="C2283">
        <v>65.34</v>
      </c>
      <c r="D2283" t="str">
        <f t="shared" si="102"/>
        <v>300</v>
      </c>
      <c r="E2283" t="str">
        <f>"82374"</f>
        <v>82374</v>
      </c>
    </row>
    <row r="2284" spans="1:5" x14ac:dyDescent="0.25">
      <c r="A2284" t="str">
        <f>"40602005  "</f>
        <v xml:space="preserve">40602005  </v>
      </c>
      <c r="B2284" t="s">
        <v>2240</v>
      </c>
      <c r="C2284">
        <v>50.36</v>
      </c>
      <c r="D2284" t="str">
        <f t="shared" si="102"/>
        <v>300</v>
      </c>
      <c r="E2284" t="str">
        <f>"82380"</f>
        <v>82380</v>
      </c>
    </row>
    <row r="2285" spans="1:5" x14ac:dyDescent="0.25">
      <c r="A2285" t="str">
        <f>"40602013  "</f>
        <v xml:space="preserve">40602013  </v>
      </c>
      <c r="B2285" t="s">
        <v>2241</v>
      </c>
      <c r="C2285">
        <v>50.6</v>
      </c>
      <c r="D2285" t="str">
        <f>"307"</f>
        <v>307</v>
      </c>
      <c r="E2285" t="str">
        <f>"84155"</f>
        <v>84155</v>
      </c>
    </row>
    <row r="2286" spans="1:5" x14ac:dyDescent="0.25">
      <c r="A2286" t="str">
        <f>"40602054  "</f>
        <v xml:space="preserve">40602054  </v>
      </c>
      <c r="B2286" t="s">
        <v>2242</v>
      </c>
      <c r="C2286">
        <v>62.7</v>
      </c>
      <c r="D2286" t="str">
        <f>"300"</f>
        <v>300</v>
      </c>
      <c r="E2286" t="str">
        <f>"82384"</f>
        <v>82384</v>
      </c>
    </row>
    <row r="2287" spans="1:5" x14ac:dyDescent="0.25">
      <c r="A2287" t="str">
        <f>"40602153  "</f>
        <v xml:space="preserve">40602153  </v>
      </c>
      <c r="B2287" t="s">
        <v>2243</v>
      </c>
      <c r="C2287">
        <v>81.73</v>
      </c>
      <c r="D2287" t="str">
        <f>"300"</f>
        <v>300</v>
      </c>
      <c r="E2287" t="str">
        <f>"82435"</f>
        <v>82435</v>
      </c>
    </row>
    <row r="2288" spans="1:5" x14ac:dyDescent="0.25">
      <c r="A2288" t="str">
        <f>"40602203  "</f>
        <v xml:space="preserve">40602203  </v>
      </c>
      <c r="B2288" t="s">
        <v>2244</v>
      </c>
      <c r="C2288">
        <v>11</v>
      </c>
      <c r="D2288" t="str">
        <f>"300"</f>
        <v>300</v>
      </c>
      <c r="E2288" t="str">
        <f>"82438"</f>
        <v>82438</v>
      </c>
    </row>
    <row r="2289" spans="1:5" x14ac:dyDescent="0.25">
      <c r="A2289" t="str">
        <f>"40602252  "</f>
        <v xml:space="preserve">40602252  </v>
      </c>
      <c r="B2289" t="s">
        <v>2245</v>
      </c>
      <c r="C2289">
        <v>51.54</v>
      </c>
      <c r="D2289" t="str">
        <f>"300"</f>
        <v>300</v>
      </c>
      <c r="E2289" t="str">
        <f>"82436"</f>
        <v>82436</v>
      </c>
    </row>
    <row r="2290" spans="1:5" x14ac:dyDescent="0.25">
      <c r="A2290" t="str">
        <f>"40602351  "</f>
        <v xml:space="preserve">40602351  </v>
      </c>
      <c r="B2290" t="s">
        <v>2246</v>
      </c>
      <c r="C2290">
        <v>81.73</v>
      </c>
      <c r="D2290" t="str">
        <f>"301"</f>
        <v>301</v>
      </c>
      <c r="E2290" t="str">
        <f>"82465"</f>
        <v>82465</v>
      </c>
    </row>
    <row r="2291" spans="1:5" x14ac:dyDescent="0.25">
      <c r="A2291" t="str">
        <f>"40602500  "</f>
        <v xml:space="preserve">40602500  </v>
      </c>
      <c r="B2291" t="s">
        <v>2247</v>
      </c>
      <c r="C2291">
        <v>38.5</v>
      </c>
      <c r="D2291" t="str">
        <f>"300"</f>
        <v>300</v>
      </c>
      <c r="E2291" t="str">
        <f>"82482"</f>
        <v>82482</v>
      </c>
    </row>
    <row r="2292" spans="1:5" x14ac:dyDescent="0.25">
      <c r="A2292" t="str">
        <f>"40602807  "</f>
        <v xml:space="preserve">40602807  </v>
      </c>
      <c r="B2292" t="s">
        <v>2248</v>
      </c>
      <c r="C2292">
        <v>220</v>
      </c>
      <c r="D2292" t="str">
        <f>"301"</f>
        <v>301</v>
      </c>
      <c r="E2292" t="str">
        <f>"80061"</f>
        <v>80061</v>
      </c>
    </row>
    <row r="2293" spans="1:5" x14ac:dyDescent="0.25">
      <c r="A2293" t="str">
        <f>"40602856  "</f>
        <v xml:space="preserve">40602856  </v>
      </c>
      <c r="B2293" t="s">
        <v>2249</v>
      </c>
      <c r="C2293">
        <v>43.18</v>
      </c>
      <c r="D2293" t="str">
        <f t="shared" ref="D2293:D2325" si="103">"300"</f>
        <v>300</v>
      </c>
      <c r="E2293" t="str">
        <f>"82533"</f>
        <v>82533</v>
      </c>
    </row>
    <row r="2294" spans="1:5" x14ac:dyDescent="0.25">
      <c r="A2294" t="str">
        <f>"40602955  "</f>
        <v xml:space="preserve">40602955  </v>
      </c>
      <c r="B2294" t="s">
        <v>2250</v>
      </c>
      <c r="C2294">
        <v>86.24</v>
      </c>
      <c r="D2294" t="str">
        <f t="shared" si="103"/>
        <v>300</v>
      </c>
      <c r="E2294" t="str">
        <f>"82550"</f>
        <v>82550</v>
      </c>
    </row>
    <row r="2295" spans="1:5" x14ac:dyDescent="0.25">
      <c r="A2295" t="str">
        <f>"40603003  "</f>
        <v xml:space="preserve">40603003  </v>
      </c>
      <c r="B2295" t="s">
        <v>2251</v>
      </c>
      <c r="C2295">
        <v>46.84</v>
      </c>
      <c r="D2295" t="str">
        <f t="shared" si="103"/>
        <v>300</v>
      </c>
      <c r="E2295" t="str">
        <f>"82552"</f>
        <v>82552</v>
      </c>
    </row>
    <row r="2296" spans="1:5" x14ac:dyDescent="0.25">
      <c r="A2296" t="str">
        <f>"40603151  "</f>
        <v xml:space="preserve">40603151  </v>
      </c>
      <c r="B2296" t="s">
        <v>2252</v>
      </c>
      <c r="C2296">
        <v>81.73</v>
      </c>
      <c r="D2296" t="str">
        <f t="shared" si="103"/>
        <v>300</v>
      </c>
      <c r="E2296" t="str">
        <f>"82565"</f>
        <v>82565</v>
      </c>
    </row>
    <row r="2297" spans="1:5" x14ac:dyDescent="0.25">
      <c r="A2297" t="str">
        <f>"40603250  "</f>
        <v xml:space="preserve">40603250  </v>
      </c>
      <c r="B2297" t="s">
        <v>2253</v>
      </c>
      <c r="C2297">
        <v>15.68</v>
      </c>
      <c r="D2297" t="str">
        <f t="shared" si="103"/>
        <v>300</v>
      </c>
      <c r="E2297" t="str">
        <f>"82575"</f>
        <v>82575</v>
      </c>
    </row>
    <row r="2298" spans="1:5" x14ac:dyDescent="0.25">
      <c r="A2298" t="str">
        <f>"40603409  "</f>
        <v xml:space="preserve">40603409  </v>
      </c>
      <c r="B2298" t="s">
        <v>2254</v>
      </c>
      <c r="C2298">
        <v>12.1</v>
      </c>
      <c r="D2298" t="str">
        <f t="shared" si="103"/>
        <v>300</v>
      </c>
      <c r="E2298" t="str">
        <f>"82615"</f>
        <v>82615</v>
      </c>
    </row>
    <row r="2299" spans="1:5" x14ac:dyDescent="0.25">
      <c r="A2299" t="str">
        <f>"40603458  "</f>
        <v xml:space="preserve">40603458  </v>
      </c>
      <c r="B2299" t="s">
        <v>2255</v>
      </c>
      <c r="C2299">
        <v>136.4</v>
      </c>
      <c r="D2299" t="str">
        <f t="shared" si="103"/>
        <v>300</v>
      </c>
      <c r="E2299" t="str">
        <f>"80202"</f>
        <v>80202</v>
      </c>
    </row>
    <row r="2300" spans="1:5" x14ac:dyDescent="0.25">
      <c r="A2300" t="str">
        <f>"40603532  "</f>
        <v xml:space="preserve">40603532  </v>
      </c>
      <c r="B2300" t="s">
        <v>2256</v>
      </c>
      <c r="C2300">
        <v>12.1</v>
      </c>
      <c r="D2300" t="str">
        <f t="shared" si="103"/>
        <v>300</v>
      </c>
      <c r="E2300" t="str">
        <f>"80347"</f>
        <v>80347</v>
      </c>
    </row>
    <row r="2301" spans="1:5" x14ac:dyDescent="0.25">
      <c r="A2301" t="str">
        <f>"40603557  "</f>
        <v xml:space="preserve">40603557  </v>
      </c>
      <c r="B2301" t="s">
        <v>2257</v>
      </c>
      <c r="C2301">
        <v>33</v>
      </c>
      <c r="D2301" t="str">
        <f t="shared" si="103"/>
        <v>300</v>
      </c>
      <c r="E2301" t="str">
        <f>"82150"</f>
        <v>82150</v>
      </c>
    </row>
    <row r="2302" spans="1:5" x14ac:dyDescent="0.25">
      <c r="A2302" t="str">
        <f>"40603656  "</f>
        <v xml:space="preserve">40603656  </v>
      </c>
      <c r="B2302" t="s">
        <v>2258</v>
      </c>
      <c r="C2302">
        <v>165</v>
      </c>
      <c r="D2302" t="str">
        <f t="shared" si="103"/>
        <v>300</v>
      </c>
      <c r="E2302" t="str">
        <f>"80162"</f>
        <v>80162</v>
      </c>
    </row>
    <row r="2303" spans="1:5" x14ac:dyDescent="0.25">
      <c r="A2303" t="str">
        <f>"40603706  "</f>
        <v xml:space="preserve">40603706  </v>
      </c>
      <c r="B2303" t="s">
        <v>2259</v>
      </c>
      <c r="C2303">
        <v>192.5</v>
      </c>
      <c r="D2303" t="str">
        <f t="shared" si="103"/>
        <v>300</v>
      </c>
      <c r="E2303" t="str">
        <f>"80185"</f>
        <v>80185</v>
      </c>
    </row>
    <row r="2304" spans="1:5" x14ac:dyDescent="0.25">
      <c r="A2304" t="str">
        <f>"40603771  "</f>
        <v xml:space="preserve">40603771  </v>
      </c>
      <c r="B2304" t="s">
        <v>2260</v>
      </c>
      <c r="C2304">
        <v>45.1</v>
      </c>
      <c r="D2304" t="str">
        <f t="shared" si="103"/>
        <v>300</v>
      </c>
      <c r="E2304" t="str">
        <f>"80300"</f>
        <v>80300</v>
      </c>
    </row>
    <row r="2305" spans="1:5" x14ac:dyDescent="0.25">
      <c r="A2305" t="str">
        <f>"40603797  "</f>
        <v xml:space="preserve">40603797  </v>
      </c>
      <c r="B2305" t="s">
        <v>2261</v>
      </c>
      <c r="C2305">
        <v>255.2</v>
      </c>
      <c r="D2305" t="str">
        <f t="shared" si="103"/>
        <v>300</v>
      </c>
      <c r="E2305" t="str">
        <f>"80100"</f>
        <v>80100</v>
      </c>
    </row>
    <row r="2306" spans="1:5" x14ac:dyDescent="0.25">
      <c r="A2306" t="str">
        <f>"40603805  "</f>
        <v xml:space="preserve">40603805  </v>
      </c>
      <c r="B2306" t="s">
        <v>2262</v>
      </c>
      <c r="C2306">
        <v>165</v>
      </c>
      <c r="D2306" t="str">
        <f t="shared" si="103"/>
        <v>300</v>
      </c>
      <c r="E2306" t="str">
        <f>"80051"</f>
        <v>80051</v>
      </c>
    </row>
    <row r="2307" spans="1:5" x14ac:dyDescent="0.25">
      <c r="A2307" t="str">
        <f>"40603839  "</f>
        <v xml:space="preserve">40603839  </v>
      </c>
      <c r="B2307" t="s">
        <v>2263</v>
      </c>
      <c r="C2307">
        <v>45.1</v>
      </c>
      <c r="D2307" t="str">
        <f t="shared" si="103"/>
        <v>300</v>
      </c>
      <c r="E2307" t="str">
        <f>"80300"</f>
        <v>80300</v>
      </c>
    </row>
    <row r="2308" spans="1:5" x14ac:dyDescent="0.25">
      <c r="A2308" t="str">
        <f>"40603904  "</f>
        <v xml:space="preserve">40603904  </v>
      </c>
      <c r="B2308" t="s">
        <v>2264</v>
      </c>
      <c r="C2308">
        <v>68.2</v>
      </c>
      <c r="D2308" t="str">
        <f t="shared" si="103"/>
        <v>300</v>
      </c>
      <c r="E2308" t="str">
        <f>"82670"</f>
        <v>82670</v>
      </c>
    </row>
    <row r="2309" spans="1:5" x14ac:dyDescent="0.25">
      <c r="A2309" t="str">
        <f>"40603953  "</f>
        <v xml:space="preserve">40603953  </v>
      </c>
      <c r="B2309" t="s">
        <v>2265</v>
      </c>
      <c r="C2309">
        <v>105.6</v>
      </c>
      <c r="D2309" t="str">
        <f t="shared" si="103"/>
        <v>300</v>
      </c>
      <c r="E2309" t="str">
        <f>"82677"</f>
        <v>82677</v>
      </c>
    </row>
    <row r="2310" spans="1:5" x14ac:dyDescent="0.25">
      <c r="A2310" t="str">
        <f>"40604001  "</f>
        <v xml:space="preserve">40604001  </v>
      </c>
      <c r="B2310" t="s">
        <v>2266</v>
      </c>
      <c r="C2310">
        <v>59.4</v>
      </c>
      <c r="D2310" t="str">
        <f t="shared" si="103"/>
        <v>300</v>
      </c>
      <c r="E2310" t="str">
        <f>"82671"</f>
        <v>82671</v>
      </c>
    </row>
    <row r="2311" spans="1:5" x14ac:dyDescent="0.25">
      <c r="A2311" t="str">
        <f>"40604019  "</f>
        <v xml:space="preserve">40604019  </v>
      </c>
      <c r="B2311" t="s">
        <v>2267</v>
      </c>
      <c r="C2311">
        <v>56.65</v>
      </c>
      <c r="D2311" t="str">
        <f t="shared" si="103"/>
        <v>300</v>
      </c>
      <c r="E2311" t="str">
        <f>"82672"</f>
        <v>82672</v>
      </c>
    </row>
    <row r="2312" spans="1:5" x14ac:dyDescent="0.25">
      <c r="A2312" t="str">
        <f>"40604050  "</f>
        <v xml:space="preserve">40604050  </v>
      </c>
      <c r="B2312" t="s">
        <v>2268</v>
      </c>
      <c r="C2312">
        <v>137.5</v>
      </c>
      <c r="D2312" t="str">
        <f t="shared" si="103"/>
        <v>300</v>
      </c>
      <c r="E2312" t="str">
        <f>"82947"</f>
        <v>82947</v>
      </c>
    </row>
    <row r="2313" spans="1:5" x14ac:dyDescent="0.25">
      <c r="A2313" t="str">
        <f>"40604100  "</f>
        <v xml:space="preserve">40604100  </v>
      </c>
      <c r="B2313" t="s">
        <v>2269</v>
      </c>
      <c r="C2313">
        <v>67.650000000000006</v>
      </c>
      <c r="D2313" t="str">
        <f t="shared" si="103"/>
        <v>300</v>
      </c>
      <c r="E2313" t="str">
        <f>"82705"</f>
        <v>82705</v>
      </c>
    </row>
    <row r="2314" spans="1:5" x14ac:dyDescent="0.25">
      <c r="A2314" t="str">
        <f>"40604159  "</f>
        <v xml:space="preserve">40604159  </v>
      </c>
      <c r="B2314" t="s">
        <v>2270</v>
      </c>
      <c r="C2314">
        <v>55</v>
      </c>
      <c r="D2314" t="str">
        <f t="shared" si="103"/>
        <v>300</v>
      </c>
      <c r="E2314" t="str">
        <f>"82710"</f>
        <v>82710</v>
      </c>
    </row>
    <row r="2315" spans="1:5" x14ac:dyDescent="0.25">
      <c r="A2315" t="str">
        <f>"40604209  "</f>
        <v xml:space="preserve">40604209  </v>
      </c>
      <c r="B2315" t="s">
        <v>2271</v>
      </c>
      <c r="C2315">
        <v>26.4</v>
      </c>
      <c r="D2315" t="str">
        <f t="shared" si="103"/>
        <v>300</v>
      </c>
      <c r="E2315" t="str">
        <f>"82725"</f>
        <v>82725</v>
      </c>
    </row>
    <row r="2316" spans="1:5" x14ac:dyDescent="0.25">
      <c r="A2316" t="str">
        <f>"40604258  "</f>
        <v xml:space="preserve">40604258  </v>
      </c>
      <c r="B2316" t="s">
        <v>2272</v>
      </c>
      <c r="C2316">
        <v>22.55</v>
      </c>
      <c r="D2316" t="str">
        <f t="shared" si="103"/>
        <v>300</v>
      </c>
      <c r="E2316" t="str">
        <f>"82728"</f>
        <v>82728</v>
      </c>
    </row>
    <row r="2317" spans="1:5" x14ac:dyDescent="0.25">
      <c r="A2317" t="str">
        <f>"40604407  "</f>
        <v xml:space="preserve">40604407  </v>
      </c>
      <c r="B2317" t="s">
        <v>2273</v>
      </c>
      <c r="C2317">
        <v>26.13</v>
      </c>
      <c r="D2317" t="str">
        <f t="shared" si="103"/>
        <v>300</v>
      </c>
      <c r="E2317" t="str">
        <f>"82746"</f>
        <v>82746</v>
      </c>
    </row>
    <row r="2318" spans="1:5" x14ac:dyDescent="0.25">
      <c r="A2318" t="str">
        <f>"40604555  "</f>
        <v xml:space="preserve">40604555  </v>
      </c>
      <c r="B2318" t="s">
        <v>2274</v>
      </c>
      <c r="C2318">
        <v>30.8</v>
      </c>
      <c r="D2318" t="str">
        <f t="shared" si="103"/>
        <v>300</v>
      </c>
      <c r="E2318" t="str">
        <f>"83001"</f>
        <v>83001</v>
      </c>
    </row>
    <row r="2319" spans="1:5" x14ac:dyDescent="0.25">
      <c r="A2319" t="str">
        <f>"40604605  "</f>
        <v xml:space="preserve">40604605  </v>
      </c>
      <c r="B2319" t="s">
        <v>2275</v>
      </c>
      <c r="C2319">
        <v>37.4</v>
      </c>
      <c r="D2319" t="str">
        <f t="shared" si="103"/>
        <v>300</v>
      </c>
      <c r="E2319" t="str">
        <f>"82760"</f>
        <v>82760</v>
      </c>
    </row>
    <row r="2320" spans="1:5" x14ac:dyDescent="0.25">
      <c r="A2320" t="str">
        <f>"40604753  "</f>
        <v xml:space="preserve">40604753  </v>
      </c>
      <c r="B2320" t="s">
        <v>2276</v>
      </c>
      <c r="C2320">
        <v>104.5</v>
      </c>
      <c r="D2320" t="str">
        <f t="shared" si="103"/>
        <v>300</v>
      </c>
      <c r="E2320" t="str">
        <f>"82941"</f>
        <v>82941</v>
      </c>
    </row>
    <row r="2321" spans="1:5" x14ac:dyDescent="0.25">
      <c r="A2321" t="str">
        <f>"40604811  "</f>
        <v xml:space="preserve">40604811  </v>
      </c>
      <c r="B2321" t="s">
        <v>2277</v>
      </c>
      <c r="C2321">
        <v>78.930000000000007</v>
      </c>
      <c r="D2321" t="str">
        <f t="shared" si="103"/>
        <v>300</v>
      </c>
      <c r="E2321" t="str">
        <f>"80074"</f>
        <v>80074</v>
      </c>
    </row>
    <row r="2322" spans="1:5" x14ac:dyDescent="0.25">
      <c r="A2322" t="str">
        <f>"40604852  "</f>
        <v xml:space="preserve">40604852  </v>
      </c>
      <c r="B2322" t="s">
        <v>2278</v>
      </c>
      <c r="C2322">
        <v>220</v>
      </c>
      <c r="D2322" t="str">
        <f t="shared" si="103"/>
        <v>300</v>
      </c>
      <c r="E2322" t="str">
        <f>"80170"</f>
        <v>80170</v>
      </c>
    </row>
    <row r="2323" spans="1:5" x14ac:dyDescent="0.25">
      <c r="A2323" t="str">
        <f>"40604860  "</f>
        <v xml:space="preserve">40604860  </v>
      </c>
      <c r="B2323" t="s">
        <v>2279</v>
      </c>
      <c r="C2323">
        <v>30.8</v>
      </c>
      <c r="D2323" t="str">
        <f t="shared" si="103"/>
        <v>300</v>
      </c>
      <c r="E2323" t="str">
        <f>"86803"</f>
        <v>86803</v>
      </c>
    </row>
    <row r="2324" spans="1:5" x14ac:dyDescent="0.25">
      <c r="A2324" t="str">
        <f>"40604951  "</f>
        <v xml:space="preserve">40604951  </v>
      </c>
      <c r="B2324" t="s">
        <v>2280</v>
      </c>
      <c r="C2324">
        <v>56.1</v>
      </c>
      <c r="D2324" t="str">
        <f t="shared" si="103"/>
        <v>300</v>
      </c>
      <c r="E2324" t="str">
        <f>"82943"</f>
        <v>82943</v>
      </c>
    </row>
    <row r="2325" spans="1:5" x14ac:dyDescent="0.25">
      <c r="A2325" t="str">
        <f>"40605008  "</f>
        <v xml:space="preserve">40605008  </v>
      </c>
      <c r="B2325" t="s">
        <v>2281</v>
      </c>
      <c r="C2325">
        <v>55</v>
      </c>
      <c r="D2325" t="str">
        <f t="shared" si="103"/>
        <v>300</v>
      </c>
      <c r="E2325" t="str">
        <f>"86735"</f>
        <v>86735</v>
      </c>
    </row>
    <row r="2326" spans="1:5" x14ac:dyDescent="0.25">
      <c r="A2326" t="str">
        <f>"40605016  "</f>
        <v xml:space="preserve">40605016  </v>
      </c>
      <c r="B2326" t="s">
        <v>2282</v>
      </c>
      <c r="C2326">
        <v>220</v>
      </c>
      <c r="D2326" t="str">
        <f>"301"</f>
        <v>301</v>
      </c>
      <c r="E2326" t="str">
        <f>"80048"</f>
        <v>80048</v>
      </c>
    </row>
    <row r="2327" spans="1:5" x14ac:dyDescent="0.25">
      <c r="A2327" t="str">
        <f>"40605057  "</f>
        <v xml:space="preserve">40605057  </v>
      </c>
      <c r="B2327" t="s">
        <v>2283</v>
      </c>
      <c r="C2327">
        <v>72.599999999999994</v>
      </c>
      <c r="D2327" t="str">
        <f t="shared" ref="D2327:D2354" si="104">"300"</f>
        <v>300</v>
      </c>
      <c r="E2327" t="str">
        <f>"82948"</f>
        <v>82948</v>
      </c>
    </row>
    <row r="2328" spans="1:5" x14ac:dyDescent="0.25">
      <c r="A2328" t="str">
        <f>"40605107  "</f>
        <v xml:space="preserve">40605107  </v>
      </c>
      <c r="B2328" t="s">
        <v>2284</v>
      </c>
      <c r="C2328">
        <v>245.08</v>
      </c>
      <c r="D2328" t="str">
        <f t="shared" si="104"/>
        <v>300</v>
      </c>
      <c r="E2328" t="str">
        <f>"82951"</f>
        <v>82951</v>
      </c>
    </row>
    <row r="2329" spans="1:5" x14ac:dyDescent="0.25">
      <c r="A2329" t="str">
        <f>"40605206  "</f>
        <v xml:space="preserve">40605206  </v>
      </c>
      <c r="B2329" t="s">
        <v>2285</v>
      </c>
      <c r="C2329">
        <v>408.43</v>
      </c>
      <c r="D2329" t="str">
        <f t="shared" si="104"/>
        <v>300</v>
      </c>
      <c r="E2329" t="str">
        <f>"82952"</f>
        <v>82952</v>
      </c>
    </row>
    <row r="2330" spans="1:5" x14ac:dyDescent="0.25">
      <c r="A2330" t="str">
        <f>"40605305  "</f>
        <v xml:space="preserve">40605305  </v>
      </c>
      <c r="B2330" t="s">
        <v>2286</v>
      </c>
      <c r="C2330">
        <v>53.9</v>
      </c>
      <c r="D2330" t="str">
        <f t="shared" si="104"/>
        <v>300</v>
      </c>
      <c r="E2330" t="str">
        <f>"82955"</f>
        <v>82955</v>
      </c>
    </row>
    <row r="2331" spans="1:5" x14ac:dyDescent="0.25">
      <c r="A2331" t="str">
        <f>"40605354  "</f>
        <v xml:space="preserve">40605354  </v>
      </c>
      <c r="B2331" t="s">
        <v>2287</v>
      </c>
      <c r="C2331">
        <v>33</v>
      </c>
      <c r="D2331" t="str">
        <f t="shared" si="104"/>
        <v>300</v>
      </c>
      <c r="E2331" t="str">
        <f>"83036"</f>
        <v>83036</v>
      </c>
    </row>
    <row r="2332" spans="1:5" x14ac:dyDescent="0.25">
      <c r="A2332" t="str">
        <f>"40605701  "</f>
        <v xml:space="preserve">40605701  </v>
      </c>
      <c r="B2332" t="s">
        <v>2288</v>
      </c>
      <c r="C2332">
        <v>37.4</v>
      </c>
      <c r="D2332" t="str">
        <f t="shared" si="104"/>
        <v>300</v>
      </c>
      <c r="E2332" t="str">
        <f>"83010"</f>
        <v>83010</v>
      </c>
    </row>
    <row r="2333" spans="1:5" x14ac:dyDescent="0.25">
      <c r="A2333" t="str">
        <f>"40605750  "</f>
        <v xml:space="preserve">40605750  </v>
      </c>
      <c r="B2333" t="s">
        <v>2289</v>
      </c>
      <c r="C2333">
        <v>154</v>
      </c>
      <c r="D2333" t="str">
        <f t="shared" si="104"/>
        <v>300</v>
      </c>
      <c r="E2333" t="str">
        <f>"86225"</f>
        <v>86225</v>
      </c>
    </row>
    <row r="2334" spans="1:5" x14ac:dyDescent="0.25">
      <c r="A2334" t="str">
        <f>"40605800  "</f>
        <v xml:space="preserve">40605800  </v>
      </c>
      <c r="B2334" t="s">
        <v>2290</v>
      </c>
      <c r="C2334">
        <v>99</v>
      </c>
      <c r="D2334" t="str">
        <f t="shared" si="104"/>
        <v>300</v>
      </c>
      <c r="E2334" t="str">
        <f>"82175"</f>
        <v>82175</v>
      </c>
    </row>
    <row r="2335" spans="1:5" x14ac:dyDescent="0.25">
      <c r="A2335" t="str">
        <f>"40605859  "</f>
        <v xml:space="preserve">40605859  </v>
      </c>
      <c r="B2335" t="s">
        <v>2291</v>
      </c>
      <c r="C2335">
        <v>82.5</v>
      </c>
      <c r="D2335" t="str">
        <f t="shared" si="104"/>
        <v>300</v>
      </c>
      <c r="E2335" t="str">
        <f>"83020"</f>
        <v>83020</v>
      </c>
    </row>
    <row r="2336" spans="1:5" x14ac:dyDescent="0.25">
      <c r="A2336" t="str">
        <f>"40605909  "</f>
        <v xml:space="preserve">40605909  </v>
      </c>
      <c r="B2336" t="s">
        <v>2292</v>
      </c>
      <c r="C2336">
        <v>34.32</v>
      </c>
      <c r="D2336" t="str">
        <f t="shared" si="104"/>
        <v>300</v>
      </c>
      <c r="E2336" t="str">
        <f>"83070"</f>
        <v>83070</v>
      </c>
    </row>
    <row r="2337" spans="1:5" x14ac:dyDescent="0.25">
      <c r="A2337" t="str">
        <f>"40606204  "</f>
        <v xml:space="preserve">40606204  </v>
      </c>
      <c r="B2337" t="s">
        <v>2293</v>
      </c>
      <c r="C2337">
        <v>140.80000000000001</v>
      </c>
      <c r="D2337" t="str">
        <f t="shared" si="104"/>
        <v>300</v>
      </c>
      <c r="E2337" t="str">
        <f>"86701"</f>
        <v>86701</v>
      </c>
    </row>
    <row r="2338" spans="1:5" x14ac:dyDescent="0.25">
      <c r="A2338" t="str">
        <f>"40606244"</f>
        <v>40606244</v>
      </c>
      <c r="B2338" t="s">
        <v>2294</v>
      </c>
      <c r="C2338">
        <v>165</v>
      </c>
      <c r="D2338" t="str">
        <f t="shared" si="104"/>
        <v>300</v>
      </c>
      <c r="E2338" t="str">
        <f>"80178"</f>
        <v>80178</v>
      </c>
    </row>
    <row r="2339" spans="1:5" x14ac:dyDescent="0.25">
      <c r="A2339" t="str">
        <f>"40606303  "</f>
        <v xml:space="preserve">40606303  </v>
      </c>
      <c r="B2339" t="s">
        <v>2295</v>
      </c>
      <c r="C2339">
        <v>66</v>
      </c>
      <c r="D2339" t="str">
        <f t="shared" si="104"/>
        <v>300</v>
      </c>
      <c r="E2339" t="str">
        <f>"82785"</f>
        <v>82785</v>
      </c>
    </row>
    <row r="2340" spans="1:5" x14ac:dyDescent="0.25">
      <c r="A2340" t="str">
        <f>"40606402  "</f>
        <v xml:space="preserve">40606402  </v>
      </c>
      <c r="B2340" t="s">
        <v>2296</v>
      </c>
      <c r="C2340">
        <v>44</v>
      </c>
      <c r="D2340" t="str">
        <f t="shared" si="104"/>
        <v>300</v>
      </c>
      <c r="E2340" t="str">
        <f>"83525"</f>
        <v>83525</v>
      </c>
    </row>
    <row r="2341" spans="1:5" x14ac:dyDescent="0.25">
      <c r="A2341" t="str">
        <f>"40606444  "</f>
        <v xml:space="preserve">40606444  </v>
      </c>
      <c r="B2341" t="s">
        <v>2297</v>
      </c>
      <c r="C2341">
        <v>4.4000000000000004</v>
      </c>
      <c r="D2341" t="str">
        <f t="shared" si="104"/>
        <v>300</v>
      </c>
      <c r="E2341" t="str">
        <f>"83550"</f>
        <v>83550</v>
      </c>
    </row>
    <row r="2342" spans="1:5" x14ac:dyDescent="0.25">
      <c r="A2342" t="str">
        <f>"40606451  "</f>
        <v xml:space="preserve">40606451  </v>
      </c>
      <c r="B2342" t="s">
        <v>2298</v>
      </c>
      <c r="C2342">
        <v>10.41</v>
      </c>
      <c r="D2342" t="str">
        <f t="shared" si="104"/>
        <v>300</v>
      </c>
      <c r="E2342" t="str">
        <f>"83540"</f>
        <v>83540</v>
      </c>
    </row>
    <row r="2343" spans="1:5" x14ac:dyDescent="0.25">
      <c r="A2343" t="str">
        <f>"40606469  "</f>
        <v xml:space="preserve">40606469  </v>
      </c>
      <c r="B2343" t="s">
        <v>2299</v>
      </c>
      <c r="C2343">
        <v>97.08</v>
      </c>
      <c r="D2343" t="str">
        <f t="shared" si="104"/>
        <v>300</v>
      </c>
      <c r="E2343" t="str">
        <f>"87252"</f>
        <v>87252</v>
      </c>
    </row>
    <row r="2344" spans="1:5" x14ac:dyDescent="0.25">
      <c r="A2344" t="str">
        <f>"40606808  "</f>
        <v xml:space="preserve">40606808  </v>
      </c>
      <c r="B2344" t="s">
        <v>2300</v>
      </c>
      <c r="C2344">
        <v>34.1</v>
      </c>
      <c r="D2344" t="str">
        <f t="shared" si="104"/>
        <v>300</v>
      </c>
      <c r="E2344" t="str">
        <f>"83605"</f>
        <v>83605</v>
      </c>
    </row>
    <row r="2345" spans="1:5" x14ac:dyDescent="0.25">
      <c r="A2345" t="str">
        <f>"40606857  "</f>
        <v xml:space="preserve">40606857  </v>
      </c>
      <c r="B2345" t="s">
        <v>2301</v>
      </c>
      <c r="C2345">
        <v>8.8000000000000007</v>
      </c>
      <c r="D2345" t="str">
        <f t="shared" si="104"/>
        <v>300</v>
      </c>
      <c r="E2345" t="str">
        <f>"83634"</f>
        <v>83634</v>
      </c>
    </row>
    <row r="2346" spans="1:5" x14ac:dyDescent="0.25">
      <c r="A2346" t="str">
        <f>"40607004  "</f>
        <v xml:space="preserve">40607004  </v>
      </c>
      <c r="B2346" t="s">
        <v>2302</v>
      </c>
      <c r="C2346">
        <v>14.3</v>
      </c>
      <c r="D2346" t="str">
        <f t="shared" si="104"/>
        <v>300</v>
      </c>
      <c r="E2346" t="str">
        <f>"87206"</f>
        <v>87206</v>
      </c>
    </row>
    <row r="2347" spans="1:5" x14ac:dyDescent="0.25">
      <c r="A2347" t="str">
        <f>"40607053  "</f>
        <v xml:space="preserve">40607053  </v>
      </c>
      <c r="B2347" t="s">
        <v>2303</v>
      </c>
      <c r="C2347">
        <v>86.24</v>
      </c>
      <c r="D2347" t="str">
        <f t="shared" si="104"/>
        <v>300</v>
      </c>
      <c r="E2347" t="str">
        <f>"83615"</f>
        <v>83615</v>
      </c>
    </row>
    <row r="2348" spans="1:5" x14ac:dyDescent="0.25">
      <c r="A2348" t="str">
        <f>"40607103  "</f>
        <v xml:space="preserve">40607103  </v>
      </c>
      <c r="B2348" t="s">
        <v>2304</v>
      </c>
      <c r="C2348">
        <v>100.1</v>
      </c>
      <c r="D2348" t="str">
        <f t="shared" si="104"/>
        <v>300</v>
      </c>
      <c r="E2348" t="str">
        <f>"83625"</f>
        <v>83625</v>
      </c>
    </row>
    <row r="2349" spans="1:5" x14ac:dyDescent="0.25">
      <c r="A2349" t="str">
        <f>"40607152  "</f>
        <v xml:space="preserve">40607152  </v>
      </c>
      <c r="B2349" t="s">
        <v>2305</v>
      </c>
      <c r="C2349">
        <v>20.63</v>
      </c>
      <c r="D2349" t="str">
        <f t="shared" si="104"/>
        <v>300</v>
      </c>
      <c r="E2349" t="str">
        <f>"83655"</f>
        <v>83655</v>
      </c>
    </row>
    <row r="2350" spans="1:5" x14ac:dyDescent="0.25">
      <c r="A2350" t="str">
        <f>"40607251  "</f>
        <v xml:space="preserve">40607251  </v>
      </c>
      <c r="B2350" t="s">
        <v>2306</v>
      </c>
      <c r="C2350">
        <v>30.8</v>
      </c>
      <c r="D2350" t="str">
        <f t="shared" si="104"/>
        <v>300</v>
      </c>
      <c r="E2350" t="str">
        <f>"83002"</f>
        <v>83002</v>
      </c>
    </row>
    <row r="2351" spans="1:5" x14ac:dyDescent="0.25">
      <c r="A2351" t="str">
        <f>"40607301  "</f>
        <v xml:space="preserve">40607301  </v>
      </c>
      <c r="B2351" t="s">
        <v>2307</v>
      </c>
      <c r="C2351">
        <v>12.1</v>
      </c>
      <c r="D2351" t="str">
        <f t="shared" si="104"/>
        <v>300</v>
      </c>
      <c r="E2351" t="str">
        <f>"80176"</f>
        <v>80176</v>
      </c>
    </row>
    <row r="2352" spans="1:5" x14ac:dyDescent="0.25">
      <c r="A2352" t="str">
        <f>"40607350  "</f>
        <v xml:space="preserve">40607350  </v>
      </c>
      <c r="B2352" t="s">
        <v>2308</v>
      </c>
      <c r="C2352">
        <v>11.55</v>
      </c>
      <c r="D2352" t="str">
        <f t="shared" si="104"/>
        <v>300</v>
      </c>
      <c r="E2352" t="str">
        <f>"83690"</f>
        <v>83690</v>
      </c>
    </row>
    <row r="2353" spans="1:5" x14ac:dyDescent="0.25">
      <c r="A2353" t="str">
        <f>"40607509  "</f>
        <v xml:space="preserve">40607509  </v>
      </c>
      <c r="B2353" t="s">
        <v>2309</v>
      </c>
      <c r="C2353">
        <v>42.08</v>
      </c>
      <c r="D2353" t="str">
        <f t="shared" si="104"/>
        <v>300</v>
      </c>
      <c r="E2353" t="str">
        <f>"83700"</f>
        <v>83700</v>
      </c>
    </row>
    <row r="2354" spans="1:5" x14ac:dyDescent="0.25">
      <c r="A2354" t="str">
        <f>"40607558  "</f>
        <v xml:space="preserve">40607558  </v>
      </c>
      <c r="B2354" t="s">
        <v>2310</v>
      </c>
      <c r="C2354">
        <v>39.880000000000003</v>
      </c>
      <c r="D2354" t="str">
        <f t="shared" si="104"/>
        <v>300</v>
      </c>
      <c r="E2354" t="str">
        <f>"80178"</f>
        <v>80178</v>
      </c>
    </row>
    <row r="2355" spans="1:5" x14ac:dyDescent="0.25">
      <c r="A2355" t="str">
        <f>"40607566  "</f>
        <v xml:space="preserve">40607566  </v>
      </c>
      <c r="B2355" t="s">
        <v>2311</v>
      </c>
      <c r="C2355">
        <v>275</v>
      </c>
      <c r="D2355" t="str">
        <f>"301"</f>
        <v>301</v>
      </c>
      <c r="E2355" t="str">
        <f>"80076"</f>
        <v>80076</v>
      </c>
    </row>
    <row r="2356" spans="1:5" x14ac:dyDescent="0.25">
      <c r="A2356" t="str">
        <f>"40607608  "</f>
        <v xml:space="preserve">40607608  </v>
      </c>
      <c r="B2356" t="s">
        <v>2312</v>
      </c>
      <c r="C2356">
        <v>11.28</v>
      </c>
      <c r="D2356" t="str">
        <f t="shared" ref="D2356:D2374" si="105">"300"</f>
        <v>300</v>
      </c>
      <c r="E2356" t="str">
        <f>"83735"</f>
        <v>83735</v>
      </c>
    </row>
    <row r="2357" spans="1:5" x14ac:dyDescent="0.25">
      <c r="A2357" t="str">
        <f>"40607707  "</f>
        <v xml:space="preserve">40607707  </v>
      </c>
      <c r="B2357" t="s">
        <v>2313</v>
      </c>
      <c r="C2357">
        <v>14.3</v>
      </c>
      <c r="D2357" t="str">
        <f t="shared" si="105"/>
        <v>300</v>
      </c>
      <c r="E2357" t="str">
        <f>"83805"</f>
        <v>83805</v>
      </c>
    </row>
    <row r="2358" spans="1:5" x14ac:dyDescent="0.25">
      <c r="A2358" t="str">
        <f>"40607806  "</f>
        <v xml:space="preserve">40607806  </v>
      </c>
      <c r="B2358" t="s">
        <v>2314</v>
      </c>
      <c r="C2358">
        <v>220</v>
      </c>
      <c r="D2358" t="str">
        <f t="shared" si="105"/>
        <v>300</v>
      </c>
      <c r="E2358" t="str">
        <f>"83835"</f>
        <v>83835</v>
      </c>
    </row>
    <row r="2359" spans="1:5" x14ac:dyDescent="0.25">
      <c r="A2359" t="str">
        <f>"40607954  "</f>
        <v xml:space="preserve">40607954  </v>
      </c>
      <c r="B2359" t="s">
        <v>2315</v>
      </c>
      <c r="C2359">
        <v>51.7</v>
      </c>
      <c r="D2359" t="str">
        <f t="shared" si="105"/>
        <v>300</v>
      </c>
      <c r="E2359" t="str">
        <f>"83874"</f>
        <v>83874</v>
      </c>
    </row>
    <row r="2360" spans="1:5" x14ac:dyDescent="0.25">
      <c r="A2360" t="str">
        <f>"40608002  "</f>
        <v xml:space="preserve">40608002  </v>
      </c>
      <c r="B2360" t="s">
        <v>2316</v>
      </c>
      <c r="C2360">
        <v>56.1</v>
      </c>
      <c r="D2360" t="str">
        <f t="shared" si="105"/>
        <v>300</v>
      </c>
      <c r="E2360" t="str">
        <f>"80188"</f>
        <v>80188</v>
      </c>
    </row>
    <row r="2361" spans="1:5" x14ac:dyDescent="0.25">
      <c r="A2361" t="str">
        <f>"40608051  "</f>
        <v xml:space="preserve">40608051  </v>
      </c>
      <c r="B2361" t="s">
        <v>2317</v>
      </c>
      <c r="C2361">
        <v>60.5</v>
      </c>
      <c r="D2361" t="str">
        <f t="shared" si="105"/>
        <v>300</v>
      </c>
      <c r="E2361" t="str">
        <f>"83915"</f>
        <v>83915</v>
      </c>
    </row>
    <row r="2362" spans="1:5" x14ac:dyDescent="0.25">
      <c r="A2362" t="str">
        <f>"40608150  "</f>
        <v xml:space="preserve">40608150  </v>
      </c>
      <c r="B2362" t="s">
        <v>2318</v>
      </c>
      <c r="C2362">
        <v>33</v>
      </c>
      <c r="D2362" t="str">
        <f t="shared" si="105"/>
        <v>300</v>
      </c>
      <c r="E2362" t="str">
        <f>"83930"</f>
        <v>83930</v>
      </c>
    </row>
    <row r="2363" spans="1:5" x14ac:dyDescent="0.25">
      <c r="A2363" t="str">
        <f>"40608200  "</f>
        <v xml:space="preserve">40608200  </v>
      </c>
      <c r="B2363" t="s">
        <v>2319</v>
      </c>
      <c r="C2363">
        <v>33.549999999999997</v>
      </c>
      <c r="D2363" t="str">
        <f t="shared" si="105"/>
        <v>300</v>
      </c>
      <c r="E2363" t="str">
        <f>"83935"</f>
        <v>83935</v>
      </c>
    </row>
    <row r="2364" spans="1:5" x14ac:dyDescent="0.25">
      <c r="A2364" t="str">
        <f>"40608259  "</f>
        <v xml:space="preserve">40608259  </v>
      </c>
      <c r="B2364" t="s">
        <v>2320</v>
      </c>
      <c r="C2364">
        <v>12.1</v>
      </c>
      <c r="D2364" t="str">
        <f t="shared" si="105"/>
        <v>300</v>
      </c>
      <c r="E2364" t="str">
        <f>"83992"</f>
        <v>83992</v>
      </c>
    </row>
    <row r="2365" spans="1:5" x14ac:dyDescent="0.25">
      <c r="A2365" t="str">
        <f>"40608408  "</f>
        <v xml:space="preserve">40608408  </v>
      </c>
      <c r="B2365" t="s">
        <v>2321</v>
      </c>
      <c r="C2365">
        <v>50.6</v>
      </c>
      <c r="D2365" t="str">
        <f t="shared" si="105"/>
        <v>300</v>
      </c>
      <c r="E2365" t="str">
        <f>"82800"</f>
        <v>82800</v>
      </c>
    </row>
    <row r="2366" spans="1:5" x14ac:dyDescent="0.25">
      <c r="A2366" t="str">
        <f>"40608507  "</f>
        <v xml:space="preserve">40608507  </v>
      </c>
      <c r="B2366" t="s">
        <v>2322</v>
      </c>
      <c r="C2366">
        <v>79.48</v>
      </c>
      <c r="D2366" t="str">
        <f t="shared" si="105"/>
        <v>300</v>
      </c>
      <c r="E2366" t="str">
        <f>"86618"</f>
        <v>86618</v>
      </c>
    </row>
    <row r="2367" spans="1:5" x14ac:dyDescent="0.25">
      <c r="A2367" t="str">
        <f>"40608556  "</f>
        <v xml:space="preserve">40608556  </v>
      </c>
      <c r="B2367" t="s">
        <v>2323</v>
      </c>
      <c r="C2367">
        <v>7.62</v>
      </c>
      <c r="D2367" t="str">
        <f t="shared" si="105"/>
        <v>300</v>
      </c>
      <c r="E2367" t="str">
        <f>"84100"</f>
        <v>84100</v>
      </c>
    </row>
    <row r="2368" spans="1:5" x14ac:dyDescent="0.25">
      <c r="A2368" t="str">
        <f>"40608606  "</f>
        <v xml:space="preserve">40608606  </v>
      </c>
      <c r="B2368" t="s">
        <v>2324</v>
      </c>
      <c r="C2368">
        <v>29.95</v>
      </c>
      <c r="D2368" t="str">
        <f t="shared" si="105"/>
        <v>300</v>
      </c>
      <c r="E2368" t="str">
        <f>"84105"</f>
        <v>84105</v>
      </c>
    </row>
    <row r="2369" spans="1:5" x14ac:dyDescent="0.25">
      <c r="A2369" t="str">
        <f>"40608705  "</f>
        <v xml:space="preserve">40608705  </v>
      </c>
      <c r="B2369" t="s">
        <v>2325</v>
      </c>
      <c r="C2369">
        <v>60.5</v>
      </c>
      <c r="D2369" t="str">
        <f t="shared" si="105"/>
        <v>300</v>
      </c>
      <c r="E2369" t="str">
        <f>"84120"</f>
        <v>84120</v>
      </c>
    </row>
    <row r="2370" spans="1:5" x14ac:dyDescent="0.25">
      <c r="A2370" t="str">
        <f>"40608754  "</f>
        <v xml:space="preserve">40608754  </v>
      </c>
      <c r="B2370" t="s">
        <v>2326</v>
      </c>
      <c r="C2370">
        <v>66.55</v>
      </c>
      <c r="D2370" t="str">
        <f t="shared" si="105"/>
        <v>300</v>
      </c>
      <c r="E2370" t="str">
        <f>"84132"</f>
        <v>84132</v>
      </c>
    </row>
    <row r="2371" spans="1:5" x14ac:dyDescent="0.25">
      <c r="A2371" t="str">
        <f>"40608804  "</f>
        <v xml:space="preserve">40608804  </v>
      </c>
      <c r="B2371" t="s">
        <v>2327</v>
      </c>
      <c r="C2371">
        <v>28.61</v>
      </c>
      <c r="D2371" t="str">
        <f t="shared" si="105"/>
        <v>300</v>
      </c>
      <c r="E2371" t="str">
        <f>"84133"</f>
        <v>84133</v>
      </c>
    </row>
    <row r="2372" spans="1:5" x14ac:dyDescent="0.25">
      <c r="A2372" t="str">
        <f>"40608903  "</f>
        <v xml:space="preserve">40608903  </v>
      </c>
      <c r="B2372" t="s">
        <v>2328</v>
      </c>
      <c r="C2372">
        <v>47.3</v>
      </c>
      <c r="D2372" t="str">
        <f t="shared" si="105"/>
        <v>300</v>
      </c>
      <c r="E2372" t="str">
        <f>"84135"</f>
        <v>84135</v>
      </c>
    </row>
    <row r="2373" spans="1:5" x14ac:dyDescent="0.25">
      <c r="A2373" t="str">
        <f>"40608952  "</f>
        <v xml:space="preserve">40608952  </v>
      </c>
      <c r="B2373" t="s">
        <v>2329</v>
      </c>
      <c r="C2373">
        <v>27.5</v>
      </c>
      <c r="D2373" t="str">
        <f t="shared" si="105"/>
        <v>300</v>
      </c>
      <c r="E2373" t="str">
        <f>"84138"</f>
        <v>84138</v>
      </c>
    </row>
    <row r="2374" spans="1:5" x14ac:dyDescent="0.25">
      <c r="A2374" t="str">
        <f>"40609000  "</f>
        <v xml:space="preserve">40609000  </v>
      </c>
      <c r="B2374" t="s">
        <v>2330</v>
      </c>
      <c r="C2374">
        <v>34.65</v>
      </c>
      <c r="D2374" t="str">
        <f t="shared" si="105"/>
        <v>300</v>
      </c>
      <c r="E2374" t="str">
        <f>"84144"</f>
        <v>84144</v>
      </c>
    </row>
    <row r="2375" spans="1:5" x14ac:dyDescent="0.25">
      <c r="A2375" t="str">
        <f>"40609018  "</f>
        <v xml:space="preserve">40609018  </v>
      </c>
      <c r="B2375" t="s">
        <v>2331</v>
      </c>
      <c r="C2375">
        <v>66</v>
      </c>
      <c r="D2375" t="str">
        <f>"301"</f>
        <v>301</v>
      </c>
      <c r="E2375" t="str">
        <f>"86300"</f>
        <v>86300</v>
      </c>
    </row>
    <row r="2376" spans="1:5" x14ac:dyDescent="0.25">
      <c r="A2376" t="str">
        <f>"40609059  "</f>
        <v xml:space="preserve">40609059  </v>
      </c>
      <c r="B2376" t="s">
        <v>2332</v>
      </c>
      <c r="C2376">
        <v>32.18</v>
      </c>
      <c r="D2376" t="str">
        <f t="shared" ref="D2376:D2392" si="106">"300"</f>
        <v>300</v>
      </c>
      <c r="E2376" t="str">
        <f>"84146"</f>
        <v>84146</v>
      </c>
    </row>
    <row r="2377" spans="1:5" x14ac:dyDescent="0.25">
      <c r="A2377" t="str">
        <f>"40609158  "</f>
        <v xml:space="preserve">40609158  </v>
      </c>
      <c r="B2377" t="s">
        <v>2333</v>
      </c>
      <c r="C2377">
        <v>12.1</v>
      </c>
      <c r="D2377" t="str">
        <f t="shared" si="106"/>
        <v>300</v>
      </c>
      <c r="E2377" t="str">
        <f>"84110"</f>
        <v>84110</v>
      </c>
    </row>
    <row r="2378" spans="1:5" x14ac:dyDescent="0.25">
      <c r="A2378" t="str">
        <f>"40609166  "</f>
        <v xml:space="preserve">40609166  </v>
      </c>
      <c r="B2378" t="s">
        <v>2334</v>
      </c>
      <c r="C2378">
        <v>22</v>
      </c>
      <c r="D2378" t="str">
        <f t="shared" si="106"/>
        <v>300</v>
      </c>
      <c r="E2378" t="str">
        <f>"84120"</f>
        <v>84120</v>
      </c>
    </row>
    <row r="2379" spans="1:5" x14ac:dyDescent="0.25">
      <c r="A2379" t="str">
        <f>"40609307  "</f>
        <v xml:space="preserve">40609307  </v>
      </c>
      <c r="B2379" t="s">
        <v>2335</v>
      </c>
      <c r="C2379">
        <v>12.1</v>
      </c>
      <c r="D2379" t="str">
        <f t="shared" si="106"/>
        <v>300</v>
      </c>
      <c r="E2379" t="str">
        <f>"84155"</f>
        <v>84155</v>
      </c>
    </row>
    <row r="2380" spans="1:5" x14ac:dyDescent="0.25">
      <c r="A2380" t="str">
        <f>"40609356  "</f>
        <v xml:space="preserve">40609356  </v>
      </c>
      <c r="B2380" t="s">
        <v>2336</v>
      </c>
      <c r="C2380">
        <v>78.650000000000006</v>
      </c>
      <c r="D2380" t="str">
        <f t="shared" si="106"/>
        <v>300</v>
      </c>
      <c r="E2380" t="str">
        <f>"85305"</f>
        <v>85305</v>
      </c>
    </row>
    <row r="2381" spans="1:5" x14ac:dyDescent="0.25">
      <c r="A2381" t="str">
        <f>"40609406  "</f>
        <v xml:space="preserve">40609406  </v>
      </c>
      <c r="B2381" t="s">
        <v>2337</v>
      </c>
      <c r="C2381">
        <v>49.5</v>
      </c>
      <c r="D2381" t="str">
        <f t="shared" si="106"/>
        <v>300</v>
      </c>
      <c r="E2381" t="str">
        <f>"84155"</f>
        <v>84155</v>
      </c>
    </row>
    <row r="2382" spans="1:5" x14ac:dyDescent="0.25">
      <c r="A2382" t="str">
        <f>"40609455  "</f>
        <v xml:space="preserve">40609455  </v>
      </c>
      <c r="B2382" t="s">
        <v>2338</v>
      </c>
      <c r="C2382">
        <v>116.6</v>
      </c>
      <c r="D2382" t="str">
        <f t="shared" si="106"/>
        <v>300</v>
      </c>
      <c r="E2382" t="str">
        <f>"83970"</f>
        <v>83970</v>
      </c>
    </row>
    <row r="2383" spans="1:5" x14ac:dyDescent="0.25">
      <c r="A2383" t="str">
        <f>"40609463  "</f>
        <v xml:space="preserve">40609463  </v>
      </c>
      <c r="B2383" t="s">
        <v>2339</v>
      </c>
      <c r="C2383">
        <v>116.6</v>
      </c>
      <c r="D2383" t="str">
        <f t="shared" si="106"/>
        <v>300</v>
      </c>
      <c r="E2383" t="str">
        <f>"83970"</f>
        <v>83970</v>
      </c>
    </row>
    <row r="2384" spans="1:5" x14ac:dyDescent="0.25">
      <c r="A2384" t="str">
        <f>"40609505  "</f>
        <v xml:space="preserve">40609505  </v>
      </c>
      <c r="B2384" t="s">
        <v>2340</v>
      </c>
      <c r="C2384">
        <v>39.6</v>
      </c>
      <c r="D2384" t="str">
        <f t="shared" si="106"/>
        <v>300</v>
      </c>
      <c r="E2384" t="str">
        <f>"84210"</f>
        <v>84210</v>
      </c>
    </row>
    <row r="2385" spans="1:5" x14ac:dyDescent="0.25">
      <c r="A2385" t="str">
        <f>"40609554  "</f>
        <v xml:space="preserve">40609554  </v>
      </c>
      <c r="B2385" t="s">
        <v>2341</v>
      </c>
      <c r="C2385">
        <v>24.2</v>
      </c>
      <c r="D2385" t="str">
        <f t="shared" si="106"/>
        <v>300</v>
      </c>
      <c r="E2385" t="str">
        <f>"80194"</f>
        <v>80194</v>
      </c>
    </row>
    <row r="2386" spans="1:5" x14ac:dyDescent="0.25">
      <c r="A2386" t="str">
        <f>"40609604  "</f>
        <v xml:space="preserve">40609604  </v>
      </c>
      <c r="B2386" t="s">
        <v>2342</v>
      </c>
      <c r="C2386">
        <v>51.15</v>
      </c>
      <c r="D2386" t="str">
        <f t="shared" si="106"/>
        <v>300</v>
      </c>
      <c r="E2386" t="str">
        <f>"84244"</f>
        <v>84244</v>
      </c>
    </row>
    <row r="2387" spans="1:5" x14ac:dyDescent="0.25">
      <c r="A2387" t="str">
        <f>"40609703  "</f>
        <v xml:space="preserve">40609703  </v>
      </c>
      <c r="B2387" t="s">
        <v>2343</v>
      </c>
      <c r="C2387">
        <v>93.5</v>
      </c>
      <c r="D2387" t="str">
        <f t="shared" si="106"/>
        <v>300</v>
      </c>
      <c r="E2387" t="str">
        <f>"80301"</f>
        <v>80301</v>
      </c>
    </row>
    <row r="2388" spans="1:5" x14ac:dyDescent="0.25">
      <c r="A2388" t="str">
        <f>"40609802  "</f>
        <v xml:space="preserve">40609802  </v>
      </c>
      <c r="B2388" t="s">
        <v>2344</v>
      </c>
      <c r="C2388">
        <v>130.9</v>
      </c>
      <c r="D2388" t="str">
        <f t="shared" si="106"/>
        <v>300</v>
      </c>
      <c r="E2388" t="str">
        <f>"84260"</f>
        <v>84260</v>
      </c>
    </row>
    <row r="2389" spans="1:5" x14ac:dyDescent="0.25">
      <c r="A2389" t="str">
        <f>"40609851  "</f>
        <v xml:space="preserve">40609851  </v>
      </c>
      <c r="B2389" t="s">
        <v>2345</v>
      </c>
      <c r="C2389">
        <v>84.7</v>
      </c>
      <c r="D2389" t="str">
        <f t="shared" si="106"/>
        <v>300</v>
      </c>
      <c r="E2389" t="str">
        <f>"84450"</f>
        <v>84450</v>
      </c>
    </row>
    <row r="2390" spans="1:5" x14ac:dyDescent="0.25">
      <c r="A2390" t="str">
        <f>"40609901  "</f>
        <v xml:space="preserve">40609901  </v>
      </c>
      <c r="B2390" t="s">
        <v>2346</v>
      </c>
      <c r="C2390">
        <v>84.7</v>
      </c>
      <c r="D2390" t="str">
        <f t="shared" si="106"/>
        <v>300</v>
      </c>
      <c r="E2390" t="str">
        <f>"84460"</f>
        <v>84460</v>
      </c>
    </row>
    <row r="2391" spans="1:5" x14ac:dyDescent="0.25">
      <c r="A2391" t="str">
        <f>"40610009"</f>
        <v>40610009</v>
      </c>
      <c r="B2391" t="s">
        <v>2347</v>
      </c>
      <c r="C2391">
        <v>91.03</v>
      </c>
      <c r="D2391" t="str">
        <f t="shared" si="106"/>
        <v>300</v>
      </c>
      <c r="E2391" t="str">
        <f>"86376"</f>
        <v>86376</v>
      </c>
    </row>
    <row r="2392" spans="1:5" x14ac:dyDescent="0.25">
      <c r="A2392" t="str">
        <f>"40610010"</f>
        <v>40610010</v>
      </c>
      <c r="B2392" t="s">
        <v>2348</v>
      </c>
      <c r="C2392">
        <v>104.5</v>
      </c>
      <c r="D2392" t="str">
        <f t="shared" si="106"/>
        <v>300</v>
      </c>
      <c r="E2392" t="str">
        <f>"84445"</f>
        <v>84445</v>
      </c>
    </row>
    <row r="2393" spans="1:5" x14ac:dyDescent="0.25">
      <c r="A2393" t="str">
        <f>"40610016  "</f>
        <v xml:space="preserve">40610016  </v>
      </c>
      <c r="B2393" t="s">
        <v>2349</v>
      </c>
      <c r="C2393">
        <v>36.299999999999997</v>
      </c>
      <c r="D2393" t="str">
        <f>"307"</f>
        <v>307</v>
      </c>
      <c r="E2393" t="str">
        <f>"84165"</f>
        <v>84165</v>
      </c>
    </row>
    <row r="2394" spans="1:5" x14ac:dyDescent="0.25">
      <c r="A2394" t="str">
        <f>"40610107  "</f>
        <v xml:space="preserve">40610107  </v>
      </c>
      <c r="B2394" t="s">
        <v>2350</v>
      </c>
      <c r="C2394">
        <v>330</v>
      </c>
      <c r="D2394" t="str">
        <f t="shared" ref="D2394:D2410" si="107">"300"</f>
        <v>300</v>
      </c>
      <c r="E2394" t="str">
        <f>"80053"</f>
        <v>80053</v>
      </c>
    </row>
    <row r="2395" spans="1:5" x14ac:dyDescent="0.25">
      <c r="A2395" t="str">
        <f>"40610255  "</f>
        <v xml:space="preserve">40610255  </v>
      </c>
      <c r="B2395" t="s">
        <v>2351</v>
      </c>
      <c r="C2395">
        <v>65.34</v>
      </c>
      <c r="D2395" t="str">
        <f t="shared" si="107"/>
        <v>300</v>
      </c>
      <c r="E2395" t="str">
        <f>"84295"</f>
        <v>84295</v>
      </c>
    </row>
    <row r="2396" spans="1:5" x14ac:dyDescent="0.25">
      <c r="A2396" t="str">
        <f>"40610305  "</f>
        <v xml:space="preserve">40610305  </v>
      </c>
      <c r="B2396" t="s">
        <v>2352</v>
      </c>
      <c r="C2396">
        <v>31.9</v>
      </c>
      <c r="D2396" t="str">
        <f t="shared" si="107"/>
        <v>300</v>
      </c>
      <c r="E2396" t="str">
        <f>"84300"</f>
        <v>84300</v>
      </c>
    </row>
    <row r="2397" spans="1:5" x14ac:dyDescent="0.25">
      <c r="A2397" t="str">
        <f>"40610453  "</f>
        <v xml:space="preserve">40610453  </v>
      </c>
      <c r="B2397" t="s">
        <v>2353</v>
      </c>
      <c r="C2397">
        <v>28.05</v>
      </c>
      <c r="D2397" t="str">
        <f t="shared" si="107"/>
        <v>300</v>
      </c>
      <c r="E2397" t="str">
        <f>"84443"</f>
        <v>84443</v>
      </c>
    </row>
    <row r="2398" spans="1:5" x14ac:dyDescent="0.25">
      <c r="A2398" t="str">
        <f>"40610503  "</f>
        <v xml:space="preserve">40610503  </v>
      </c>
      <c r="B2398" t="s">
        <v>2354</v>
      </c>
      <c r="C2398">
        <v>132</v>
      </c>
      <c r="D2398" t="str">
        <f t="shared" si="107"/>
        <v>300</v>
      </c>
      <c r="E2398" t="str">
        <f>"84436"</f>
        <v>84436</v>
      </c>
    </row>
    <row r="2399" spans="1:5" x14ac:dyDescent="0.25">
      <c r="A2399" t="str">
        <f>"40610552  "</f>
        <v xml:space="preserve">40610552  </v>
      </c>
      <c r="B2399" t="s">
        <v>2355</v>
      </c>
      <c r="C2399">
        <v>132</v>
      </c>
      <c r="D2399" t="str">
        <f t="shared" si="107"/>
        <v>300</v>
      </c>
      <c r="E2399" t="str">
        <f>"84480"</f>
        <v>84480</v>
      </c>
    </row>
    <row r="2400" spans="1:5" x14ac:dyDescent="0.25">
      <c r="A2400" t="str">
        <f>"40610602  "</f>
        <v xml:space="preserve">40610602  </v>
      </c>
      <c r="B2400" t="s">
        <v>2356</v>
      </c>
      <c r="C2400">
        <v>165</v>
      </c>
      <c r="D2400" t="str">
        <f t="shared" si="107"/>
        <v>300</v>
      </c>
      <c r="E2400" t="str">
        <f>"80156"</f>
        <v>80156</v>
      </c>
    </row>
    <row r="2401" spans="1:5" x14ac:dyDescent="0.25">
      <c r="A2401" t="str">
        <f>"40610651  "</f>
        <v xml:space="preserve">40610651  </v>
      </c>
      <c r="B2401" t="s">
        <v>2357</v>
      </c>
      <c r="C2401">
        <v>47.3</v>
      </c>
      <c r="D2401" t="str">
        <f t="shared" si="107"/>
        <v>300</v>
      </c>
      <c r="E2401" t="str">
        <f>"84403"</f>
        <v>84403</v>
      </c>
    </row>
    <row r="2402" spans="1:5" x14ac:dyDescent="0.25">
      <c r="A2402" t="str">
        <f>"40610701  "</f>
        <v xml:space="preserve">40610701  </v>
      </c>
      <c r="B2402" t="s">
        <v>2358</v>
      </c>
      <c r="C2402">
        <v>114.95</v>
      </c>
      <c r="D2402" t="str">
        <f t="shared" si="107"/>
        <v>300</v>
      </c>
      <c r="E2402" t="str">
        <f>"80198"</f>
        <v>80198</v>
      </c>
    </row>
    <row r="2403" spans="1:5" x14ac:dyDescent="0.25">
      <c r="A2403" t="str">
        <f>"40610750  "</f>
        <v xml:space="preserve">40610750  </v>
      </c>
      <c r="B2403" t="s">
        <v>2359</v>
      </c>
      <c r="C2403">
        <v>60.5</v>
      </c>
      <c r="D2403" t="str">
        <f t="shared" si="107"/>
        <v>300</v>
      </c>
      <c r="E2403" t="str">
        <f>"84432"</f>
        <v>84432</v>
      </c>
    </row>
    <row r="2404" spans="1:5" x14ac:dyDescent="0.25">
      <c r="A2404" t="str">
        <f>"40610768  "</f>
        <v xml:space="preserve">40610768  </v>
      </c>
      <c r="B2404" t="s">
        <v>2360</v>
      </c>
      <c r="C2404">
        <v>51.15</v>
      </c>
      <c r="D2404" t="str">
        <f t="shared" si="107"/>
        <v>300</v>
      </c>
      <c r="E2404" t="str">
        <f>"86800"</f>
        <v>86800</v>
      </c>
    </row>
    <row r="2405" spans="1:5" x14ac:dyDescent="0.25">
      <c r="A2405" t="str">
        <f>"40610909  "</f>
        <v xml:space="preserve">40610909  </v>
      </c>
      <c r="B2405" t="s">
        <v>2361</v>
      </c>
      <c r="C2405">
        <v>135.30000000000001</v>
      </c>
      <c r="D2405" t="str">
        <f t="shared" si="107"/>
        <v>300</v>
      </c>
      <c r="E2405" t="str">
        <f>"80200"</f>
        <v>80200</v>
      </c>
    </row>
    <row r="2406" spans="1:5" x14ac:dyDescent="0.25">
      <c r="A2406" t="str">
        <f>"40610958  "</f>
        <v xml:space="preserve">40610958  </v>
      </c>
      <c r="B2406" t="s">
        <v>2362</v>
      </c>
      <c r="C2406">
        <v>26.4</v>
      </c>
      <c r="D2406" t="str">
        <f t="shared" si="107"/>
        <v>300</v>
      </c>
      <c r="E2406" t="str">
        <f>"82672"</f>
        <v>82672</v>
      </c>
    </row>
    <row r="2407" spans="1:5" x14ac:dyDescent="0.25">
      <c r="A2407" t="str">
        <f>"40611006  "</f>
        <v xml:space="preserve">40611006  </v>
      </c>
      <c r="B2407" t="s">
        <v>2363</v>
      </c>
      <c r="C2407">
        <v>81.73</v>
      </c>
      <c r="D2407" t="str">
        <f t="shared" si="107"/>
        <v>300</v>
      </c>
      <c r="E2407" t="str">
        <f>"84478"</f>
        <v>84478</v>
      </c>
    </row>
    <row r="2408" spans="1:5" x14ac:dyDescent="0.25">
      <c r="A2408" t="str">
        <f>"40611105  "</f>
        <v xml:space="preserve">40611105  </v>
      </c>
      <c r="B2408" t="s">
        <v>2364</v>
      </c>
      <c r="C2408">
        <v>36.299999999999997</v>
      </c>
      <c r="D2408" t="str">
        <f t="shared" si="107"/>
        <v>300</v>
      </c>
      <c r="E2408" t="str">
        <f>"80301"</f>
        <v>80301</v>
      </c>
    </row>
    <row r="2409" spans="1:5" x14ac:dyDescent="0.25">
      <c r="A2409" t="str">
        <f>"40611154  "</f>
        <v xml:space="preserve">40611154  </v>
      </c>
      <c r="B2409" t="s">
        <v>2365</v>
      </c>
      <c r="C2409">
        <v>65.34</v>
      </c>
      <c r="D2409" t="str">
        <f t="shared" si="107"/>
        <v>300</v>
      </c>
      <c r="E2409" t="str">
        <f>"84550"</f>
        <v>84550</v>
      </c>
    </row>
    <row r="2410" spans="1:5" x14ac:dyDescent="0.25">
      <c r="A2410" t="str">
        <f>"40611195"</f>
        <v>40611195</v>
      </c>
      <c r="B2410" t="s">
        <v>2366</v>
      </c>
      <c r="C2410">
        <v>143</v>
      </c>
      <c r="D2410" t="str">
        <f t="shared" si="107"/>
        <v>300</v>
      </c>
      <c r="E2410" t="str">
        <f>"80150"</f>
        <v>80150</v>
      </c>
    </row>
    <row r="2411" spans="1:5" x14ac:dyDescent="0.25">
      <c r="A2411" t="str">
        <f>"40611221"</f>
        <v>40611221</v>
      </c>
      <c r="B2411" t="s">
        <v>2367</v>
      </c>
      <c r="C2411">
        <v>22</v>
      </c>
      <c r="D2411" t="str">
        <f>"309"</f>
        <v>309</v>
      </c>
      <c r="E2411" t="str">
        <f>"P9604"</f>
        <v>P9604</v>
      </c>
    </row>
    <row r="2412" spans="1:5" x14ac:dyDescent="0.25">
      <c r="A2412" t="str">
        <f>"40611299"</f>
        <v>40611299</v>
      </c>
      <c r="B2412" t="s">
        <v>2368</v>
      </c>
      <c r="C2412">
        <v>49.5</v>
      </c>
      <c r="D2412" t="str">
        <f t="shared" ref="D2412:D2419" si="108">"300"</f>
        <v>300</v>
      </c>
      <c r="E2412" t="str">
        <f>"84425"</f>
        <v>84425</v>
      </c>
    </row>
    <row r="2413" spans="1:5" x14ac:dyDescent="0.25">
      <c r="A2413" t="str">
        <f>"40611300"</f>
        <v>40611300</v>
      </c>
      <c r="B2413" t="s">
        <v>2369</v>
      </c>
      <c r="C2413">
        <v>60.5</v>
      </c>
      <c r="D2413" t="str">
        <f t="shared" si="108"/>
        <v>300</v>
      </c>
      <c r="E2413" t="str">
        <f>"82180"</f>
        <v>82180</v>
      </c>
    </row>
    <row r="2414" spans="1:5" x14ac:dyDescent="0.25">
      <c r="A2414" t="str">
        <f>"40611301"</f>
        <v>40611301</v>
      </c>
      <c r="B2414" t="s">
        <v>2370</v>
      </c>
      <c r="C2414">
        <v>62.7</v>
      </c>
      <c r="D2414" t="str">
        <f t="shared" si="108"/>
        <v>300</v>
      </c>
      <c r="E2414" t="str">
        <f>"84207"</f>
        <v>84207</v>
      </c>
    </row>
    <row r="2415" spans="1:5" x14ac:dyDescent="0.25">
      <c r="A2415" t="str">
        <f>"40611302"</f>
        <v>40611302</v>
      </c>
      <c r="B2415" t="s">
        <v>2371</v>
      </c>
      <c r="C2415">
        <v>103.4</v>
      </c>
      <c r="D2415" t="str">
        <f t="shared" si="108"/>
        <v>300</v>
      </c>
      <c r="E2415" t="str">
        <f>"81256"</f>
        <v>81256</v>
      </c>
    </row>
    <row r="2416" spans="1:5" x14ac:dyDescent="0.25">
      <c r="A2416" t="str">
        <f>"40611303  "</f>
        <v xml:space="preserve">40611303  </v>
      </c>
      <c r="B2416" t="s">
        <v>2372</v>
      </c>
      <c r="C2416">
        <v>14.3</v>
      </c>
      <c r="D2416" t="str">
        <f t="shared" si="108"/>
        <v>300</v>
      </c>
      <c r="E2416" t="str">
        <f>"84577"</f>
        <v>84577</v>
      </c>
    </row>
    <row r="2417" spans="1:5" x14ac:dyDescent="0.25">
      <c r="A2417" t="str">
        <f>"40611324"</f>
        <v>40611324</v>
      </c>
      <c r="B2417" t="s">
        <v>2373</v>
      </c>
      <c r="C2417">
        <v>77</v>
      </c>
      <c r="D2417" t="str">
        <f t="shared" si="108"/>
        <v>300</v>
      </c>
      <c r="E2417" t="str">
        <f>"86757"</f>
        <v>86757</v>
      </c>
    </row>
    <row r="2418" spans="1:5" x14ac:dyDescent="0.25">
      <c r="A2418" t="str">
        <f>"40611352  "</f>
        <v xml:space="preserve">40611352  </v>
      </c>
      <c r="B2418" t="s">
        <v>2374</v>
      </c>
      <c r="C2418">
        <v>53.9</v>
      </c>
      <c r="D2418" t="str">
        <f t="shared" si="108"/>
        <v>300</v>
      </c>
      <c r="E2418" t="str">
        <f>"84585"</f>
        <v>84585</v>
      </c>
    </row>
    <row r="2419" spans="1:5" x14ac:dyDescent="0.25">
      <c r="A2419" t="str">
        <f>"40611402  "</f>
        <v xml:space="preserve">40611402  </v>
      </c>
      <c r="B2419" t="s">
        <v>2375</v>
      </c>
      <c r="C2419">
        <v>26.68</v>
      </c>
      <c r="D2419" t="str">
        <f t="shared" si="108"/>
        <v>300</v>
      </c>
      <c r="E2419" t="str">
        <f>"82607"</f>
        <v>82607</v>
      </c>
    </row>
    <row r="2420" spans="1:5" x14ac:dyDescent="0.25">
      <c r="A2420" t="str">
        <f>"40611432"</f>
        <v>40611432</v>
      </c>
      <c r="B2420" t="s">
        <v>2376</v>
      </c>
      <c r="C2420">
        <v>51.7</v>
      </c>
      <c r="D2420" t="str">
        <f>"301"</f>
        <v>301</v>
      </c>
      <c r="E2420" t="str">
        <f>"87205"</f>
        <v>87205</v>
      </c>
    </row>
    <row r="2421" spans="1:5" x14ac:dyDescent="0.25">
      <c r="A2421" t="str">
        <f>"40611501  "</f>
        <v xml:space="preserve">40611501  </v>
      </c>
      <c r="B2421" t="s">
        <v>2377</v>
      </c>
      <c r="C2421">
        <v>40.700000000000003</v>
      </c>
      <c r="D2421" t="str">
        <f>"300"</f>
        <v>300</v>
      </c>
      <c r="E2421" t="str">
        <f>"84620"</f>
        <v>84620</v>
      </c>
    </row>
    <row r="2422" spans="1:5" x14ac:dyDescent="0.25">
      <c r="A2422" t="str">
        <f>"40611709  "</f>
        <v xml:space="preserve">40611709  </v>
      </c>
      <c r="B2422" t="s">
        <v>2378</v>
      </c>
      <c r="C2422">
        <v>61.85</v>
      </c>
      <c r="D2422" t="str">
        <f>"300"</f>
        <v>300</v>
      </c>
      <c r="E2422" t="str">
        <f>"84630"</f>
        <v>84630</v>
      </c>
    </row>
    <row r="2423" spans="1:5" x14ac:dyDescent="0.25">
      <c r="A2423" t="str">
        <f>"40611808  "</f>
        <v xml:space="preserve">40611808  </v>
      </c>
      <c r="B2423" t="s">
        <v>2379</v>
      </c>
      <c r="C2423">
        <v>77</v>
      </c>
      <c r="D2423" t="str">
        <f>"300"</f>
        <v>300</v>
      </c>
      <c r="E2423" t="str">
        <f>"83491"</f>
        <v>83491</v>
      </c>
    </row>
    <row r="2424" spans="1:5" x14ac:dyDescent="0.25">
      <c r="A2424" t="str">
        <f>"40611907  "</f>
        <v xml:space="preserve">40611907  </v>
      </c>
      <c r="B2424" t="s">
        <v>2380</v>
      </c>
      <c r="C2424">
        <v>33</v>
      </c>
      <c r="D2424" t="str">
        <f>"300"</f>
        <v>300</v>
      </c>
      <c r="E2424" t="str">
        <f>"83497"</f>
        <v>83497</v>
      </c>
    </row>
    <row r="2425" spans="1:5" x14ac:dyDescent="0.25">
      <c r="A2425" t="str">
        <f>"40611910"</f>
        <v>40611910</v>
      </c>
      <c r="B2425" t="s">
        <v>2381</v>
      </c>
      <c r="C2425">
        <v>52.58</v>
      </c>
      <c r="D2425" t="str">
        <f>"300"</f>
        <v>300</v>
      </c>
      <c r="E2425" t="str">
        <f>"87491"</f>
        <v>87491</v>
      </c>
    </row>
    <row r="2426" spans="1:5" x14ac:dyDescent="0.25">
      <c r="A2426" t="str">
        <f>"40611990"</f>
        <v>40611990</v>
      </c>
      <c r="B2426" t="s">
        <v>2206</v>
      </c>
      <c r="C2426">
        <v>559.57000000000005</v>
      </c>
      <c r="D2426" t="str">
        <f>"301"</f>
        <v>301</v>
      </c>
    </row>
    <row r="2427" spans="1:5" x14ac:dyDescent="0.25">
      <c r="A2427" t="str">
        <f>"40612004  "</f>
        <v xml:space="preserve">40612004  </v>
      </c>
      <c r="B2427" t="s">
        <v>2382</v>
      </c>
      <c r="C2427">
        <v>66.55</v>
      </c>
      <c r="D2427" t="str">
        <f t="shared" ref="D2427:D2456" si="109">"300"</f>
        <v>300</v>
      </c>
      <c r="E2427" t="str">
        <f>"85002"</f>
        <v>85002</v>
      </c>
    </row>
    <row r="2428" spans="1:5" x14ac:dyDescent="0.25">
      <c r="A2428" t="str">
        <f>"40612053  "</f>
        <v xml:space="preserve">40612053  </v>
      </c>
      <c r="B2428" t="s">
        <v>2383</v>
      </c>
      <c r="C2428">
        <v>66.55</v>
      </c>
      <c r="D2428" t="str">
        <f t="shared" si="109"/>
        <v>300</v>
      </c>
      <c r="E2428" t="str">
        <f>"85002"</f>
        <v>85002</v>
      </c>
    </row>
    <row r="2429" spans="1:5" x14ac:dyDescent="0.25">
      <c r="A2429" t="str">
        <f>"40612152  "</f>
        <v xml:space="preserve">40612152  </v>
      </c>
      <c r="B2429" t="s">
        <v>2384</v>
      </c>
      <c r="C2429">
        <v>74.14</v>
      </c>
      <c r="D2429" t="str">
        <f t="shared" si="109"/>
        <v>300</v>
      </c>
      <c r="E2429" t="str">
        <f>"85025"</f>
        <v>85025</v>
      </c>
    </row>
    <row r="2430" spans="1:5" x14ac:dyDescent="0.25">
      <c r="A2430" t="str">
        <f>"40612331"</f>
        <v>40612331</v>
      </c>
      <c r="B2430" t="s">
        <v>2385</v>
      </c>
      <c r="C2430">
        <v>440</v>
      </c>
      <c r="D2430" t="str">
        <f t="shared" si="109"/>
        <v>300</v>
      </c>
    </row>
    <row r="2431" spans="1:5" x14ac:dyDescent="0.25">
      <c r="A2431" t="str">
        <f>"40612456"</f>
        <v>40612456</v>
      </c>
      <c r="B2431" t="s">
        <v>2386</v>
      </c>
      <c r="C2431">
        <v>110</v>
      </c>
      <c r="D2431" t="str">
        <f t="shared" si="109"/>
        <v>300</v>
      </c>
      <c r="E2431" t="str">
        <f>"80159"</f>
        <v>80159</v>
      </c>
    </row>
    <row r="2432" spans="1:5" x14ac:dyDescent="0.25">
      <c r="A2432" t="str">
        <f>"40612459  "</f>
        <v xml:space="preserve">40612459  </v>
      </c>
      <c r="B2432" t="s">
        <v>2387</v>
      </c>
      <c r="C2432">
        <v>42.57</v>
      </c>
      <c r="D2432" t="str">
        <f t="shared" si="109"/>
        <v>300</v>
      </c>
      <c r="E2432" t="str">
        <f>"87205"</f>
        <v>87205</v>
      </c>
    </row>
    <row r="2433" spans="1:5" x14ac:dyDescent="0.25">
      <c r="A2433" t="str">
        <f>"40612509  "</f>
        <v xml:space="preserve">40612509  </v>
      </c>
      <c r="B2433" t="s">
        <v>2388</v>
      </c>
      <c r="C2433">
        <v>134.19999999999999</v>
      </c>
      <c r="D2433" t="str">
        <f t="shared" si="109"/>
        <v>300</v>
      </c>
      <c r="E2433" t="str">
        <f>"85240"</f>
        <v>85240</v>
      </c>
    </row>
    <row r="2434" spans="1:5" x14ac:dyDescent="0.25">
      <c r="A2434" t="str">
        <f>"40612517  "</f>
        <v xml:space="preserve">40612517  </v>
      </c>
      <c r="B2434" t="s">
        <v>2389</v>
      </c>
      <c r="C2434">
        <v>133.1</v>
      </c>
      <c r="D2434" t="str">
        <f t="shared" si="109"/>
        <v>300</v>
      </c>
      <c r="E2434" t="str">
        <f>"85230"</f>
        <v>85230</v>
      </c>
    </row>
    <row r="2435" spans="1:5" x14ac:dyDescent="0.25">
      <c r="A2435" t="str">
        <f>"40612558  "</f>
        <v xml:space="preserve">40612558  </v>
      </c>
      <c r="B2435" t="s">
        <v>2390</v>
      </c>
      <c r="C2435">
        <v>103.4</v>
      </c>
      <c r="D2435" t="str">
        <f t="shared" si="109"/>
        <v>300</v>
      </c>
      <c r="E2435" t="str">
        <f>"85362"</f>
        <v>85362</v>
      </c>
    </row>
    <row r="2436" spans="1:5" x14ac:dyDescent="0.25">
      <c r="A2436" t="str">
        <f>"40612707  "</f>
        <v xml:space="preserve">40612707  </v>
      </c>
      <c r="B2436" t="s">
        <v>2391</v>
      </c>
      <c r="C2436">
        <v>143</v>
      </c>
      <c r="D2436" t="str">
        <f t="shared" si="109"/>
        <v>300</v>
      </c>
      <c r="E2436" t="str">
        <f>"85384"</f>
        <v>85384</v>
      </c>
    </row>
    <row r="2437" spans="1:5" x14ac:dyDescent="0.25">
      <c r="A2437" t="str">
        <f>"40612905  "</f>
        <v xml:space="preserve">40612905  </v>
      </c>
      <c r="B2437" t="s">
        <v>2392</v>
      </c>
      <c r="C2437">
        <v>71.5</v>
      </c>
      <c r="D2437" t="str">
        <f t="shared" si="109"/>
        <v>300</v>
      </c>
      <c r="E2437" t="str">
        <f>"86701"</f>
        <v>86701</v>
      </c>
    </row>
    <row r="2438" spans="1:5" x14ac:dyDescent="0.25">
      <c r="A2438" t="str">
        <f>"40613051  "</f>
        <v xml:space="preserve">40613051  </v>
      </c>
      <c r="B2438" t="s">
        <v>2393</v>
      </c>
      <c r="C2438">
        <v>121</v>
      </c>
      <c r="D2438" t="str">
        <f t="shared" si="109"/>
        <v>300</v>
      </c>
      <c r="E2438" t="str">
        <f>"87255"</f>
        <v>87255</v>
      </c>
    </row>
    <row r="2439" spans="1:5" x14ac:dyDescent="0.25">
      <c r="A2439" t="str">
        <f>"40613101  "</f>
        <v xml:space="preserve">40613101  </v>
      </c>
      <c r="B2439" t="s">
        <v>2394</v>
      </c>
      <c r="C2439">
        <v>12.1</v>
      </c>
      <c r="D2439" t="str">
        <f t="shared" si="109"/>
        <v>300</v>
      </c>
      <c r="E2439" t="str">
        <f>"85540"</f>
        <v>85540</v>
      </c>
    </row>
    <row r="2440" spans="1:5" x14ac:dyDescent="0.25">
      <c r="A2440" t="str">
        <f>"40613200  "</f>
        <v xml:space="preserve">40613200  </v>
      </c>
      <c r="B2440" t="s">
        <v>2395</v>
      </c>
      <c r="C2440">
        <v>62.92</v>
      </c>
      <c r="D2440" t="str">
        <f t="shared" si="109"/>
        <v>300</v>
      </c>
      <c r="E2440" t="str">
        <f>"85049"</f>
        <v>85049</v>
      </c>
    </row>
    <row r="2441" spans="1:5" x14ac:dyDescent="0.25">
      <c r="A2441" t="str">
        <f>"40613259  "</f>
        <v xml:space="preserve">40613259  </v>
      </c>
      <c r="B2441" t="s">
        <v>2396</v>
      </c>
      <c r="C2441">
        <v>55</v>
      </c>
      <c r="D2441" t="str">
        <f t="shared" si="109"/>
        <v>300</v>
      </c>
      <c r="E2441" t="str">
        <f>"85366"</f>
        <v>85366</v>
      </c>
    </row>
    <row r="2442" spans="1:5" x14ac:dyDescent="0.25">
      <c r="A2442" t="str">
        <f>"40613358  "</f>
        <v xml:space="preserve">40613358  </v>
      </c>
      <c r="B2442" t="s">
        <v>2397</v>
      </c>
      <c r="C2442">
        <v>72.599999999999994</v>
      </c>
      <c r="D2442" t="str">
        <f t="shared" si="109"/>
        <v>300</v>
      </c>
      <c r="E2442" t="str">
        <f>"85610"</f>
        <v>85610</v>
      </c>
    </row>
    <row r="2443" spans="1:5" x14ac:dyDescent="0.25">
      <c r="A2443" t="str">
        <f>"40613408  "</f>
        <v xml:space="preserve">40613408  </v>
      </c>
      <c r="B2443" t="s">
        <v>2398</v>
      </c>
      <c r="C2443">
        <v>7.7</v>
      </c>
      <c r="D2443" t="str">
        <f t="shared" si="109"/>
        <v>300</v>
      </c>
      <c r="E2443" t="str">
        <f>"85613"</f>
        <v>85613</v>
      </c>
    </row>
    <row r="2444" spans="1:5" x14ac:dyDescent="0.25">
      <c r="A2444" t="str">
        <f>"40613457  "</f>
        <v xml:space="preserve">40613457  </v>
      </c>
      <c r="B2444" t="s">
        <v>2399</v>
      </c>
      <c r="C2444">
        <v>72.599999999999994</v>
      </c>
      <c r="D2444" t="str">
        <f t="shared" si="109"/>
        <v>300</v>
      </c>
      <c r="E2444" t="str">
        <f>"85730"</f>
        <v>85730</v>
      </c>
    </row>
    <row r="2445" spans="1:5" x14ac:dyDescent="0.25">
      <c r="A2445" t="str">
        <f>"40613556  "</f>
        <v xml:space="preserve">40613556  </v>
      </c>
      <c r="B2445" t="s">
        <v>2400</v>
      </c>
      <c r="C2445">
        <v>11</v>
      </c>
      <c r="D2445" t="str">
        <f t="shared" si="109"/>
        <v>300</v>
      </c>
      <c r="E2445" t="str">
        <f>"85557"</f>
        <v>85557</v>
      </c>
    </row>
    <row r="2446" spans="1:5" x14ac:dyDescent="0.25">
      <c r="A2446" t="str">
        <f>"40613705  "</f>
        <v xml:space="preserve">40613705  </v>
      </c>
      <c r="B2446" t="s">
        <v>2401</v>
      </c>
      <c r="C2446">
        <v>51.48</v>
      </c>
      <c r="D2446" t="str">
        <f t="shared" si="109"/>
        <v>300</v>
      </c>
      <c r="E2446" t="str">
        <f>"85651"</f>
        <v>85651</v>
      </c>
    </row>
    <row r="2447" spans="1:5" x14ac:dyDescent="0.25">
      <c r="A2447" t="str">
        <f>"40613754  "</f>
        <v xml:space="preserve">40613754  </v>
      </c>
      <c r="B2447" t="s">
        <v>2402</v>
      </c>
      <c r="C2447">
        <v>51.48</v>
      </c>
      <c r="D2447" t="str">
        <f t="shared" si="109"/>
        <v>300</v>
      </c>
      <c r="E2447" t="str">
        <f>"85044"</f>
        <v>85044</v>
      </c>
    </row>
    <row r="2448" spans="1:5" x14ac:dyDescent="0.25">
      <c r="A2448" t="str">
        <f>"40613804  "</f>
        <v xml:space="preserve">40613804  </v>
      </c>
      <c r="B2448" t="s">
        <v>2403</v>
      </c>
      <c r="C2448">
        <v>33</v>
      </c>
      <c r="D2448" t="str">
        <f t="shared" si="109"/>
        <v>300</v>
      </c>
      <c r="E2448" t="str">
        <f>"85660"</f>
        <v>85660</v>
      </c>
    </row>
    <row r="2449" spans="1:5" x14ac:dyDescent="0.25">
      <c r="A2449" t="str">
        <f>"40613903  "</f>
        <v xml:space="preserve">40613903  </v>
      </c>
      <c r="B2449" t="s">
        <v>2404</v>
      </c>
      <c r="C2449">
        <v>16.5</v>
      </c>
      <c r="D2449" t="str">
        <f t="shared" si="109"/>
        <v>300</v>
      </c>
      <c r="E2449" t="str">
        <f>"85670"</f>
        <v>85670</v>
      </c>
    </row>
    <row r="2450" spans="1:5" x14ac:dyDescent="0.25">
      <c r="A2450" t="str">
        <f>"40613952  "</f>
        <v xml:space="preserve">40613952  </v>
      </c>
      <c r="B2450" t="s">
        <v>2405</v>
      </c>
      <c r="C2450">
        <v>12.1</v>
      </c>
      <c r="D2450" t="str">
        <f t="shared" si="109"/>
        <v>300</v>
      </c>
      <c r="E2450" t="str">
        <f>"85007"</f>
        <v>85007</v>
      </c>
    </row>
    <row r="2451" spans="1:5" x14ac:dyDescent="0.25">
      <c r="A2451" t="str">
        <f>"40614109  "</f>
        <v xml:space="preserve">40614109  </v>
      </c>
      <c r="B2451" t="s">
        <v>2406</v>
      </c>
      <c r="C2451">
        <v>96.8</v>
      </c>
      <c r="D2451" t="str">
        <f t="shared" si="109"/>
        <v>300</v>
      </c>
      <c r="E2451" t="str">
        <f>"86901"</f>
        <v>86901</v>
      </c>
    </row>
    <row r="2452" spans="1:5" x14ac:dyDescent="0.25">
      <c r="A2452" t="str">
        <f>"40614158  "</f>
        <v xml:space="preserve">40614158  </v>
      </c>
      <c r="B2452" t="s">
        <v>2407</v>
      </c>
      <c r="C2452">
        <v>60.5</v>
      </c>
      <c r="D2452" t="str">
        <f t="shared" si="109"/>
        <v>300</v>
      </c>
      <c r="E2452" t="str">
        <f>"86900"</f>
        <v>86900</v>
      </c>
    </row>
    <row r="2453" spans="1:5" x14ac:dyDescent="0.25">
      <c r="A2453" t="str">
        <f>"40614208  "</f>
        <v xml:space="preserve">40614208  </v>
      </c>
      <c r="B2453" t="s">
        <v>2408</v>
      </c>
      <c r="C2453">
        <v>52.8</v>
      </c>
      <c r="D2453" t="str">
        <f t="shared" si="109"/>
        <v>300</v>
      </c>
      <c r="E2453" t="str">
        <f>"82105"</f>
        <v>82105</v>
      </c>
    </row>
    <row r="2454" spans="1:5" x14ac:dyDescent="0.25">
      <c r="A2454" t="str">
        <f>"40614216  "</f>
        <v xml:space="preserve">40614216  </v>
      </c>
      <c r="B2454" t="s">
        <v>2409</v>
      </c>
      <c r="C2454">
        <v>54.45</v>
      </c>
      <c r="D2454" t="str">
        <f t="shared" si="109"/>
        <v>300</v>
      </c>
      <c r="E2454" t="str">
        <f>"82106"</f>
        <v>82106</v>
      </c>
    </row>
    <row r="2455" spans="1:5" x14ac:dyDescent="0.25">
      <c r="A2455" t="str">
        <f>"40614257  "</f>
        <v xml:space="preserve">40614257  </v>
      </c>
      <c r="B2455" t="s">
        <v>2410</v>
      </c>
      <c r="C2455">
        <v>39.6</v>
      </c>
      <c r="D2455" t="str">
        <f t="shared" si="109"/>
        <v>300</v>
      </c>
      <c r="E2455" t="str">
        <f>"82103"</f>
        <v>82103</v>
      </c>
    </row>
    <row r="2456" spans="1:5" x14ac:dyDescent="0.25">
      <c r="A2456" t="str">
        <f>"40614307  "</f>
        <v xml:space="preserve">40614307  </v>
      </c>
      <c r="B2456" t="s">
        <v>2411</v>
      </c>
      <c r="C2456">
        <v>20.079999999999998</v>
      </c>
      <c r="D2456" t="str">
        <f t="shared" si="109"/>
        <v>300</v>
      </c>
      <c r="E2456" t="str">
        <f>"86038"</f>
        <v>86038</v>
      </c>
    </row>
    <row r="2457" spans="1:5" x14ac:dyDescent="0.25">
      <c r="A2457" t="str">
        <f>"40614455  "</f>
        <v xml:space="preserve">40614455  </v>
      </c>
      <c r="B2457" t="s">
        <v>2412</v>
      </c>
      <c r="C2457">
        <v>44</v>
      </c>
      <c r="D2457" t="str">
        <f>"301"</f>
        <v>301</v>
      </c>
      <c r="E2457" t="str">
        <f>"86255"</f>
        <v>86255</v>
      </c>
    </row>
    <row r="2458" spans="1:5" x14ac:dyDescent="0.25">
      <c r="A2458" t="str">
        <f>"40614505  "</f>
        <v xml:space="preserve">40614505  </v>
      </c>
      <c r="B2458" t="s">
        <v>2413</v>
      </c>
      <c r="C2458">
        <v>44</v>
      </c>
      <c r="D2458" t="str">
        <f t="shared" ref="D2458:D2500" si="110">"300"</f>
        <v>300</v>
      </c>
      <c r="E2458" t="str">
        <f>"86255"</f>
        <v>86255</v>
      </c>
    </row>
    <row r="2459" spans="1:5" x14ac:dyDescent="0.25">
      <c r="A2459" t="str">
        <f>"40614554  "</f>
        <v xml:space="preserve">40614554  </v>
      </c>
      <c r="B2459" t="s">
        <v>2414</v>
      </c>
      <c r="C2459">
        <v>85.14</v>
      </c>
      <c r="D2459" t="str">
        <f t="shared" si="110"/>
        <v>300</v>
      </c>
      <c r="E2459" t="str">
        <f>"86060"</f>
        <v>86060</v>
      </c>
    </row>
    <row r="2460" spans="1:5" x14ac:dyDescent="0.25">
      <c r="A2460" t="str">
        <f>"40614653  "</f>
        <v xml:space="preserve">40614653  </v>
      </c>
      <c r="B2460" t="s">
        <v>2415</v>
      </c>
      <c r="C2460">
        <v>278.3</v>
      </c>
      <c r="D2460" t="str">
        <f t="shared" si="110"/>
        <v>300</v>
      </c>
      <c r="E2460" t="str">
        <f>"86870"</f>
        <v>86870</v>
      </c>
    </row>
    <row r="2461" spans="1:5" x14ac:dyDescent="0.25">
      <c r="A2461" t="str">
        <f>"40614703  "</f>
        <v xml:space="preserve">40614703  </v>
      </c>
      <c r="B2461" t="s">
        <v>2416</v>
      </c>
      <c r="C2461">
        <v>90.75</v>
      </c>
      <c r="D2461" t="str">
        <f t="shared" si="110"/>
        <v>300</v>
      </c>
      <c r="E2461" t="str">
        <f>"86850"</f>
        <v>86850</v>
      </c>
    </row>
    <row r="2462" spans="1:5" x14ac:dyDescent="0.25">
      <c r="A2462" t="str">
        <f>"40614901  "</f>
        <v xml:space="preserve">40614901  </v>
      </c>
      <c r="B2462" t="s">
        <v>2417</v>
      </c>
      <c r="C2462">
        <v>12.1</v>
      </c>
      <c r="D2462" t="str">
        <f t="shared" si="110"/>
        <v>300</v>
      </c>
      <c r="E2462" t="str">
        <f>"86384"</f>
        <v>86384</v>
      </c>
    </row>
    <row r="2463" spans="1:5" x14ac:dyDescent="0.25">
      <c r="A2463" t="str">
        <f>"40614950  "</f>
        <v xml:space="preserve">40614950  </v>
      </c>
      <c r="B2463" t="s">
        <v>2418</v>
      </c>
      <c r="C2463">
        <v>30.25</v>
      </c>
      <c r="D2463" t="str">
        <f t="shared" si="110"/>
        <v>300</v>
      </c>
      <c r="E2463" t="str">
        <f>"82378"</f>
        <v>82378</v>
      </c>
    </row>
    <row r="2464" spans="1:5" x14ac:dyDescent="0.25">
      <c r="A2464" t="str">
        <f>"40615304  "</f>
        <v xml:space="preserve">40615304  </v>
      </c>
      <c r="B2464" t="s">
        <v>2419</v>
      </c>
      <c r="C2464">
        <v>35.200000000000003</v>
      </c>
      <c r="D2464" t="str">
        <f t="shared" si="110"/>
        <v>300</v>
      </c>
      <c r="E2464" t="str">
        <f>"86157"</f>
        <v>86157</v>
      </c>
    </row>
    <row r="2465" spans="1:5" x14ac:dyDescent="0.25">
      <c r="A2465" t="str">
        <f>"40615353  "</f>
        <v xml:space="preserve">40615353  </v>
      </c>
      <c r="B2465" t="s">
        <v>2420</v>
      </c>
      <c r="C2465">
        <v>48.13</v>
      </c>
      <c r="D2465" t="str">
        <f t="shared" si="110"/>
        <v>300</v>
      </c>
      <c r="E2465" t="str">
        <f>"86162"</f>
        <v>86162</v>
      </c>
    </row>
    <row r="2466" spans="1:5" x14ac:dyDescent="0.25">
      <c r="A2466" t="str">
        <f>"40615403  "</f>
        <v xml:space="preserve">40615403  </v>
      </c>
      <c r="B2466" t="s">
        <v>2421</v>
      </c>
      <c r="C2466">
        <v>72.599999999999994</v>
      </c>
      <c r="D2466" t="str">
        <f t="shared" si="110"/>
        <v>300</v>
      </c>
      <c r="E2466" t="str">
        <f>"86885"</f>
        <v>86885</v>
      </c>
    </row>
    <row r="2467" spans="1:5" x14ac:dyDescent="0.25">
      <c r="A2467" t="str">
        <f>"40615452  "</f>
        <v xml:space="preserve">40615452  </v>
      </c>
      <c r="B2467" t="s">
        <v>2422</v>
      </c>
      <c r="C2467">
        <v>72.599999999999994</v>
      </c>
      <c r="D2467" t="str">
        <f t="shared" si="110"/>
        <v>300</v>
      </c>
      <c r="E2467" t="str">
        <f>"86880"</f>
        <v>86880</v>
      </c>
    </row>
    <row r="2468" spans="1:5" x14ac:dyDescent="0.25">
      <c r="A2468" t="str">
        <f>"40615502  "</f>
        <v xml:space="preserve">40615502  </v>
      </c>
      <c r="B2468" t="s">
        <v>2423</v>
      </c>
      <c r="C2468">
        <v>59.29</v>
      </c>
      <c r="D2468" t="str">
        <f t="shared" si="110"/>
        <v>300</v>
      </c>
      <c r="E2468" t="str">
        <f>"86140"</f>
        <v>86140</v>
      </c>
    </row>
    <row r="2469" spans="1:5" x14ac:dyDescent="0.25">
      <c r="A2469" t="str">
        <f>"40615551  "</f>
        <v xml:space="preserve">40615551  </v>
      </c>
      <c r="B2469" t="s">
        <v>2424</v>
      </c>
      <c r="C2469">
        <v>18.7</v>
      </c>
      <c r="D2469" t="str">
        <f t="shared" si="110"/>
        <v>300</v>
      </c>
      <c r="E2469" t="str">
        <f>"86603"</f>
        <v>86603</v>
      </c>
    </row>
    <row r="2470" spans="1:5" x14ac:dyDescent="0.25">
      <c r="A2470" t="str">
        <f>"40615569  "</f>
        <v xml:space="preserve">40615569  </v>
      </c>
      <c r="B2470" t="s">
        <v>2425</v>
      </c>
      <c r="C2470">
        <v>105.16</v>
      </c>
      <c r="D2470" t="str">
        <f t="shared" si="110"/>
        <v>300</v>
      </c>
      <c r="E2470" t="str">
        <f>"86632"</f>
        <v>86632</v>
      </c>
    </row>
    <row r="2471" spans="1:5" x14ac:dyDescent="0.25">
      <c r="A2471" t="str">
        <f>"40615601  "</f>
        <v xml:space="preserve">40615601  </v>
      </c>
      <c r="B2471" t="s">
        <v>2426</v>
      </c>
      <c r="C2471">
        <v>73.19</v>
      </c>
      <c r="D2471" t="str">
        <f t="shared" si="110"/>
        <v>300</v>
      </c>
      <c r="E2471" t="str">
        <f>"86160"</f>
        <v>86160</v>
      </c>
    </row>
    <row r="2472" spans="1:5" x14ac:dyDescent="0.25">
      <c r="A2472" t="str">
        <f>"40615650  "</f>
        <v xml:space="preserve">40615650  </v>
      </c>
      <c r="B2472" t="s">
        <v>2427</v>
      </c>
      <c r="C2472">
        <v>37.950000000000003</v>
      </c>
      <c r="D2472" t="str">
        <f t="shared" si="110"/>
        <v>300</v>
      </c>
      <c r="E2472" t="str">
        <f>"86160"</f>
        <v>86160</v>
      </c>
    </row>
    <row r="2473" spans="1:5" x14ac:dyDescent="0.25">
      <c r="A2473" t="str">
        <f>"40615759  "</f>
        <v xml:space="preserve">40615759  </v>
      </c>
      <c r="B2473" t="s">
        <v>2428</v>
      </c>
      <c r="C2473">
        <v>297</v>
      </c>
      <c r="D2473" t="str">
        <f t="shared" si="110"/>
        <v>300</v>
      </c>
      <c r="E2473" t="str">
        <f>"86000"</f>
        <v>86000</v>
      </c>
    </row>
    <row r="2474" spans="1:5" x14ac:dyDescent="0.25">
      <c r="A2474" t="str">
        <f>"40615858  "</f>
        <v xml:space="preserve">40615858  </v>
      </c>
      <c r="B2474" t="s">
        <v>2429</v>
      </c>
      <c r="C2474">
        <v>21.27</v>
      </c>
      <c r="D2474" t="str">
        <f t="shared" si="110"/>
        <v>300</v>
      </c>
      <c r="E2474" t="str">
        <f>"86780"</f>
        <v>86780</v>
      </c>
    </row>
    <row r="2475" spans="1:5" x14ac:dyDescent="0.25">
      <c r="A2475" t="str">
        <f>"40615957  "</f>
        <v xml:space="preserve">40615957  </v>
      </c>
      <c r="B2475" t="s">
        <v>2430</v>
      </c>
      <c r="C2475">
        <v>55</v>
      </c>
      <c r="D2475" t="str">
        <f t="shared" si="110"/>
        <v>300</v>
      </c>
      <c r="E2475" t="str">
        <f>"87299"</f>
        <v>87299</v>
      </c>
    </row>
    <row r="2476" spans="1:5" x14ac:dyDescent="0.25">
      <c r="A2476" t="str">
        <f>"40616005  "</f>
        <v xml:space="preserve">40616005  </v>
      </c>
      <c r="B2476" t="s">
        <v>2431</v>
      </c>
      <c r="C2476">
        <v>47.3</v>
      </c>
      <c r="D2476" t="str">
        <f t="shared" si="110"/>
        <v>300</v>
      </c>
      <c r="E2476" t="str">
        <f>"87350"</f>
        <v>87350</v>
      </c>
    </row>
    <row r="2477" spans="1:5" x14ac:dyDescent="0.25">
      <c r="A2477" t="str">
        <f>"40616104  "</f>
        <v xml:space="preserve">40616104  </v>
      </c>
      <c r="B2477" t="s">
        <v>2432</v>
      </c>
      <c r="C2477">
        <v>20.63</v>
      </c>
      <c r="D2477" t="str">
        <f t="shared" si="110"/>
        <v>300</v>
      </c>
      <c r="E2477" t="str">
        <f>"86709"</f>
        <v>86709</v>
      </c>
    </row>
    <row r="2478" spans="1:5" x14ac:dyDescent="0.25">
      <c r="A2478" t="str">
        <f>"40616120  "</f>
        <v xml:space="preserve">40616120  </v>
      </c>
      <c r="B2478" t="s">
        <v>2433</v>
      </c>
      <c r="C2478">
        <v>25.3</v>
      </c>
      <c r="D2478" t="str">
        <f t="shared" si="110"/>
        <v>300</v>
      </c>
      <c r="E2478" t="str">
        <f>"86701"</f>
        <v>86701</v>
      </c>
    </row>
    <row r="2479" spans="1:5" x14ac:dyDescent="0.25">
      <c r="A2479" t="str">
        <f>"40616146  "</f>
        <v xml:space="preserve">40616146  </v>
      </c>
      <c r="B2479" t="s">
        <v>2434</v>
      </c>
      <c r="C2479">
        <v>79.2</v>
      </c>
      <c r="D2479" t="str">
        <f t="shared" si="110"/>
        <v>300</v>
      </c>
      <c r="E2479" t="str">
        <f>"87390"</f>
        <v>87390</v>
      </c>
    </row>
    <row r="2480" spans="1:5" x14ac:dyDescent="0.25">
      <c r="A2480" t="str">
        <f>"40616153  "</f>
        <v xml:space="preserve">40616153  </v>
      </c>
      <c r="B2480" t="s">
        <v>2435</v>
      </c>
      <c r="C2480">
        <v>62.7</v>
      </c>
      <c r="D2480" t="str">
        <f t="shared" si="110"/>
        <v>300</v>
      </c>
      <c r="E2480" t="str">
        <f>"86698"</f>
        <v>86698</v>
      </c>
    </row>
    <row r="2481" spans="1:5" x14ac:dyDescent="0.25">
      <c r="A2481" t="str">
        <f>"40616203  "</f>
        <v xml:space="preserve">40616203  </v>
      </c>
      <c r="B2481" t="s">
        <v>2436</v>
      </c>
      <c r="C2481">
        <v>93.5</v>
      </c>
      <c r="D2481" t="str">
        <f t="shared" si="110"/>
        <v>300</v>
      </c>
      <c r="E2481" t="str">
        <f>"86334"</f>
        <v>86334</v>
      </c>
    </row>
    <row r="2482" spans="1:5" x14ac:dyDescent="0.25">
      <c r="A2482" t="str">
        <f>"40616252  "</f>
        <v xml:space="preserve">40616252  </v>
      </c>
      <c r="B2482" t="s">
        <v>2437</v>
      </c>
      <c r="C2482">
        <v>82.5</v>
      </c>
      <c r="D2482" t="str">
        <f t="shared" si="110"/>
        <v>300</v>
      </c>
      <c r="E2482" t="str">
        <f>"82784"</f>
        <v>82784</v>
      </c>
    </row>
    <row r="2483" spans="1:5" x14ac:dyDescent="0.25">
      <c r="A2483" t="str">
        <f>"40616286  "</f>
        <v xml:space="preserve">40616286  </v>
      </c>
      <c r="B2483" t="s">
        <v>2438</v>
      </c>
      <c r="C2483">
        <v>44</v>
      </c>
      <c r="D2483" t="str">
        <f t="shared" si="110"/>
        <v>300</v>
      </c>
      <c r="E2483" t="str">
        <f>"82784"</f>
        <v>82784</v>
      </c>
    </row>
    <row r="2484" spans="1:5" x14ac:dyDescent="0.25">
      <c r="A2484" t="str">
        <f>"40616302  "</f>
        <v xml:space="preserve">40616302  </v>
      </c>
      <c r="B2484" t="s">
        <v>2439</v>
      </c>
      <c r="C2484">
        <v>66</v>
      </c>
      <c r="D2484" t="str">
        <f t="shared" si="110"/>
        <v>300</v>
      </c>
      <c r="E2484" t="str">
        <f>"82785"</f>
        <v>82785</v>
      </c>
    </row>
    <row r="2485" spans="1:5" x14ac:dyDescent="0.25">
      <c r="A2485" t="str">
        <f>"40616450  "</f>
        <v xml:space="preserve">40616450  </v>
      </c>
      <c r="B2485" t="s">
        <v>2440</v>
      </c>
      <c r="C2485">
        <v>52.8</v>
      </c>
      <c r="D2485" t="str">
        <f t="shared" si="110"/>
        <v>300</v>
      </c>
      <c r="E2485" t="str">
        <f>"86359"</f>
        <v>86359</v>
      </c>
    </row>
    <row r="2486" spans="1:5" x14ac:dyDescent="0.25">
      <c r="A2486" t="str">
        <f>"40616484  "</f>
        <v xml:space="preserve">40616484  </v>
      </c>
      <c r="B2486" t="s">
        <v>2441</v>
      </c>
      <c r="C2486">
        <v>110</v>
      </c>
      <c r="D2486" t="str">
        <f t="shared" si="110"/>
        <v>300</v>
      </c>
      <c r="E2486" t="str">
        <f>"86147"</f>
        <v>86147</v>
      </c>
    </row>
    <row r="2487" spans="1:5" x14ac:dyDescent="0.25">
      <c r="A2487" t="str">
        <f>"40616500  "</f>
        <v xml:space="preserve">40616500  </v>
      </c>
      <c r="B2487" t="s">
        <v>2442</v>
      </c>
      <c r="C2487">
        <v>58.3</v>
      </c>
      <c r="D2487" t="str">
        <f t="shared" si="110"/>
        <v>300</v>
      </c>
      <c r="E2487" t="str">
        <f>"86359"</f>
        <v>86359</v>
      </c>
    </row>
    <row r="2488" spans="1:5" x14ac:dyDescent="0.25">
      <c r="A2488" t="str">
        <f>"40616559  "</f>
        <v xml:space="preserve">40616559  </v>
      </c>
      <c r="B2488" t="s">
        <v>2443</v>
      </c>
      <c r="C2488">
        <v>34.1</v>
      </c>
      <c r="D2488" t="str">
        <f t="shared" si="110"/>
        <v>300</v>
      </c>
      <c r="E2488" t="str">
        <f>"86308"</f>
        <v>86308</v>
      </c>
    </row>
    <row r="2489" spans="1:5" x14ac:dyDescent="0.25">
      <c r="A2489" t="str">
        <f>"40616609  "</f>
        <v xml:space="preserve">40616609  </v>
      </c>
      <c r="B2489" t="s">
        <v>2444</v>
      </c>
      <c r="C2489">
        <v>49.5</v>
      </c>
      <c r="D2489" t="str">
        <f t="shared" si="110"/>
        <v>300</v>
      </c>
      <c r="E2489" t="str">
        <f>"86022"</f>
        <v>86022</v>
      </c>
    </row>
    <row r="2490" spans="1:5" x14ac:dyDescent="0.25">
      <c r="A2490" t="str">
        <f>"40616708  "</f>
        <v xml:space="preserve">40616708  </v>
      </c>
      <c r="B2490" t="s">
        <v>2445</v>
      </c>
      <c r="C2490">
        <v>102.85</v>
      </c>
      <c r="D2490" t="str">
        <f t="shared" si="110"/>
        <v>300</v>
      </c>
      <c r="E2490" t="str">
        <f>"84703"</f>
        <v>84703</v>
      </c>
    </row>
    <row r="2491" spans="1:5" x14ac:dyDescent="0.25">
      <c r="A2491" t="str">
        <f>"40616955  "</f>
        <v xml:space="preserve">40616955  </v>
      </c>
      <c r="B2491" t="s">
        <v>2446</v>
      </c>
      <c r="C2491">
        <v>91.85</v>
      </c>
      <c r="D2491" t="str">
        <f t="shared" si="110"/>
        <v>300</v>
      </c>
      <c r="E2491" t="str">
        <f>"86431"</f>
        <v>86431</v>
      </c>
    </row>
    <row r="2492" spans="1:5" x14ac:dyDescent="0.25">
      <c r="A2492" t="str">
        <f>"40617003  "</f>
        <v xml:space="preserve">40617003  </v>
      </c>
      <c r="B2492" t="s">
        <v>2447</v>
      </c>
      <c r="C2492">
        <v>62.92</v>
      </c>
      <c r="D2492" t="str">
        <f t="shared" si="110"/>
        <v>300</v>
      </c>
      <c r="E2492" t="str">
        <f>"86430"</f>
        <v>86430</v>
      </c>
    </row>
    <row r="2493" spans="1:5" x14ac:dyDescent="0.25">
      <c r="A2493" t="str">
        <f>"40617102  "</f>
        <v xml:space="preserve">40617102  </v>
      </c>
      <c r="B2493" t="s">
        <v>2448</v>
      </c>
      <c r="C2493">
        <v>51.92</v>
      </c>
      <c r="D2493" t="str">
        <f t="shared" si="110"/>
        <v>300</v>
      </c>
      <c r="E2493" t="str">
        <f>"86901"</f>
        <v>86901</v>
      </c>
    </row>
    <row r="2494" spans="1:5" x14ac:dyDescent="0.25">
      <c r="A2494" t="str">
        <f>"40617201  "</f>
        <v xml:space="preserve">40617201  </v>
      </c>
      <c r="B2494" t="s">
        <v>2449</v>
      </c>
      <c r="C2494">
        <v>53.24</v>
      </c>
      <c r="D2494" t="str">
        <f t="shared" si="110"/>
        <v>300</v>
      </c>
      <c r="E2494" t="str">
        <f>"86905"</f>
        <v>86905</v>
      </c>
    </row>
    <row r="2495" spans="1:5" x14ac:dyDescent="0.25">
      <c r="A2495" t="str">
        <f>"40617219  "</f>
        <v xml:space="preserve">40617219  </v>
      </c>
      <c r="B2495" t="s">
        <v>2450</v>
      </c>
      <c r="C2495">
        <v>181.5</v>
      </c>
      <c r="D2495" t="str">
        <f t="shared" si="110"/>
        <v>300</v>
      </c>
      <c r="E2495" t="str">
        <f>"86905"</f>
        <v>86905</v>
      </c>
    </row>
    <row r="2496" spans="1:5" x14ac:dyDescent="0.25">
      <c r="A2496" t="str">
        <f>"40617219  "</f>
        <v xml:space="preserve">40617219  </v>
      </c>
      <c r="B2496" t="s">
        <v>2450</v>
      </c>
      <c r="C2496">
        <v>181.5</v>
      </c>
      <c r="D2496" t="str">
        <f t="shared" si="110"/>
        <v>300</v>
      </c>
      <c r="E2496" t="str">
        <f>"90399"</f>
        <v>90399</v>
      </c>
    </row>
    <row r="2497" spans="1:5" x14ac:dyDescent="0.25">
      <c r="A2497" t="str">
        <f>"40617250  "</f>
        <v xml:space="preserve">40617250  </v>
      </c>
      <c r="B2497" t="s">
        <v>2451</v>
      </c>
      <c r="C2497">
        <v>7.98</v>
      </c>
      <c r="D2497" t="str">
        <f t="shared" si="110"/>
        <v>300</v>
      </c>
      <c r="E2497" t="str">
        <f>"86592"</f>
        <v>86592</v>
      </c>
    </row>
    <row r="2498" spans="1:5" x14ac:dyDescent="0.25">
      <c r="A2498" t="str">
        <f>"40617409  "</f>
        <v xml:space="preserve">40617409  </v>
      </c>
      <c r="B2498" t="s">
        <v>2452</v>
      </c>
      <c r="C2498">
        <v>39.880000000000003</v>
      </c>
      <c r="D2498" t="str">
        <f t="shared" si="110"/>
        <v>300</v>
      </c>
      <c r="E2498" t="str">
        <f>"86762"</f>
        <v>86762</v>
      </c>
    </row>
    <row r="2499" spans="1:5" x14ac:dyDescent="0.25">
      <c r="A2499" t="str">
        <f>"40617854  "</f>
        <v xml:space="preserve">40617854  </v>
      </c>
      <c r="B2499" t="s">
        <v>2453</v>
      </c>
      <c r="C2499">
        <v>118.03</v>
      </c>
      <c r="D2499" t="str">
        <f t="shared" si="110"/>
        <v>300</v>
      </c>
      <c r="E2499" t="str">
        <f>"86886"</f>
        <v>86886</v>
      </c>
    </row>
    <row r="2500" spans="1:5" x14ac:dyDescent="0.25">
      <c r="A2500" t="str">
        <f>"40617953  "</f>
        <v xml:space="preserve">40617953  </v>
      </c>
      <c r="B2500" t="s">
        <v>2454</v>
      </c>
      <c r="C2500">
        <v>130.35</v>
      </c>
      <c r="D2500" t="str">
        <f t="shared" si="110"/>
        <v>300</v>
      </c>
      <c r="E2500" t="str">
        <f>"86778"</f>
        <v>86778</v>
      </c>
    </row>
    <row r="2501" spans="1:5" x14ac:dyDescent="0.25">
      <c r="A2501" t="str">
        <f>"40618001  "</f>
        <v xml:space="preserve">40618001  </v>
      </c>
      <c r="B2501" t="s">
        <v>2455</v>
      </c>
      <c r="C2501">
        <v>114.95</v>
      </c>
      <c r="D2501" t="str">
        <f>"390"</f>
        <v>390</v>
      </c>
      <c r="E2501" t="str">
        <f>"86920"</f>
        <v>86920</v>
      </c>
    </row>
    <row r="2502" spans="1:5" x14ac:dyDescent="0.25">
      <c r="A2502" t="str">
        <f>"40618357  "</f>
        <v xml:space="preserve">40618357  </v>
      </c>
      <c r="B2502" t="s">
        <v>2456</v>
      </c>
      <c r="C2502">
        <v>24.2</v>
      </c>
      <c r="D2502" t="str">
        <f t="shared" ref="D2502:D2508" si="111">"300"</f>
        <v>300</v>
      </c>
      <c r="E2502" t="str">
        <f>"99001"</f>
        <v>99001</v>
      </c>
    </row>
    <row r="2503" spans="1:5" x14ac:dyDescent="0.25">
      <c r="A2503" t="str">
        <f>"40618407  "</f>
        <v xml:space="preserve">40618407  </v>
      </c>
      <c r="B2503" t="s">
        <v>2457</v>
      </c>
      <c r="C2503">
        <v>11</v>
      </c>
      <c r="D2503" t="str">
        <f t="shared" si="111"/>
        <v>300</v>
      </c>
      <c r="E2503" t="str">
        <f>"87046"</f>
        <v>87046</v>
      </c>
    </row>
    <row r="2504" spans="1:5" x14ac:dyDescent="0.25">
      <c r="A2504" t="str">
        <f>"40618456  "</f>
        <v xml:space="preserve">40618456  </v>
      </c>
      <c r="B2504" t="s">
        <v>2458</v>
      </c>
      <c r="C2504">
        <v>45.38</v>
      </c>
      <c r="D2504" t="str">
        <f t="shared" si="111"/>
        <v>300</v>
      </c>
      <c r="E2504" t="str">
        <f>"87116"</f>
        <v>87116</v>
      </c>
    </row>
    <row r="2505" spans="1:5" x14ac:dyDescent="0.25">
      <c r="A2505" t="str">
        <f>"40618506  "</f>
        <v xml:space="preserve">40618506  </v>
      </c>
      <c r="B2505" t="s">
        <v>2459</v>
      </c>
      <c r="C2505">
        <v>33</v>
      </c>
      <c r="D2505" t="str">
        <f t="shared" si="111"/>
        <v>300</v>
      </c>
      <c r="E2505" t="str">
        <f>"87015"</f>
        <v>87015</v>
      </c>
    </row>
    <row r="2506" spans="1:5" x14ac:dyDescent="0.25">
      <c r="A2506" t="str">
        <f>"40618555  "</f>
        <v xml:space="preserve">40618555  </v>
      </c>
      <c r="B2506" t="s">
        <v>2460</v>
      </c>
      <c r="C2506">
        <v>133.1</v>
      </c>
      <c r="D2506" t="str">
        <f t="shared" si="111"/>
        <v>300</v>
      </c>
      <c r="E2506" t="str">
        <f>"87075"</f>
        <v>87075</v>
      </c>
    </row>
    <row r="2507" spans="1:5" x14ac:dyDescent="0.25">
      <c r="A2507" t="str">
        <f>"40618654  "</f>
        <v xml:space="preserve">40618654  </v>
      </c>
      <c r="B2507" t="s">
        <v>2461</v>
      </c>
      <c r="C2507">
        <v>136.72999999999999</v>
      </c>
      <c r="D2507" t="str">
        <f t="shared" si="111"/>
        <v>300</v>
      </c>
      <c r="E2507" t="str">
        <f>"87040"</f>
        <v>87040</v>
      </c>
    </row>
    <row r="2508" spans="1:5" x14ac:dyDescent="0.25">
      <c r="A2508" t="str">
        <f>"40618704  "</f>
        <v xml:space="preserve">40618704  </v>
      </c>
      <c r="B2508" t="s">
        <v>2462</v>
      </c>
      <c r="C2508">
        <v>120.45</v>
      </c>
      <c r="D2508" t="str">
        <f t="shared" si="111"/>
        <v>300</v>
      </c>
      <c r="E2508" t="str">
        <f>"87046"</f>
        <v>87046</v>
      </c>
    </row>
    <row r="2509" spans="1:5" x14ac:dyDescent="0.25">
      <c r="A2509" t="str">
        <f>"40618800"</f>
        <v>40618800</v>
      </c>
      <c r="B2509" t="s">
        <v>2463</v>
      </c>
      <c r="C2509">
        <v>8.32</v>
      </c>
      <c r="D2509" t="str">
        <f>"301"</f>
        <v>301</v>
      </c>
      <c r="E2509" t="str">
        <f>"82570"</f>
        <v>82570</v>
      </c>
    </row>
    <row r="2510" spans="1:5" x14ac:dyDescent="0.25">
      <c r="A2510" t="str">
        <f>"40618803  "</f>
        <v xml:space="preserve">40618803  </v>
      </c>
      <c r="B2510" t="s">
        <v>2464</v>
      </c>
      <c r="C2510">
        <v>165</v>
      </c>
      <c r="D2510" t="str">
        <f>"300"</f>
        <v>300</v>
      </c>
      <c r="E2510" t="str">
        <f>"87086"</f>
        <v>87086</v>
      </c>
    </row>
    <row r="2511" spans="1:5" x14ac:dyDescent="0.25">
      <c r="A2511" t="str">
        <f>"40618951  "</f>
        <v xml:space="preserve">40618951  </v>
      </c>
      <c r="B2511" t="s">
        <v>2465</v>
      </c>
      <c r="C2511">
        <v>132</v>
      </c>
      <c r="D2511" t="str">
        <f>"300"</f>
        <v>300</v>
      </c>
      <c r="E2511" t="str">
        <f>"87045"</f>
        <v>87045</v>
      </c>
    </row>
    <row r="2512" spans="1:5" x14ac:dyDescent="0.25">
      <c r="A2512" t="str">
        <f>"40619009  "</f>
        <v xml:space="preserve">40619009  </v>
      </c>
      <c r="B2512" t="s">
        <v>2466</v>
      </c>
      <c r="C2512">
        <v>39.880000000000003</v>
      </c>
      <c r="D2512" t="str">
        <f>"300"</f>
        <v>300</v>
      </c>
      <c r="E2512" t="str">
        <f>"87101"</f>
        <v>87101</v>
      </c>
    </row>
    <row r="2513" spans="1:5" x14ac:dyDescent="0.25">
      <c r="A2513" t="str">
        <f>"40619017  "</f>
        <v xml:space="preserve">40619017  </v>
      </c>
      <c r="B2513" t="s">
        <v>2467</v>
      </c>
      <c r="C2513">
        <v>31.9</v>
      </c>
      <c r="D2513" t="str">
        <f>"302"</f>
        <v>302</v>
      </c>
      <c r="E2513" t="str">
        <f>"86235"</f>
        <v>86235</v>
      </c>
    </row>
    <row r="2514" spans="1:5" x14ac:dyDescent="0.25">
      <c r="A2514" t="str">
        <f>"40619108  "</f>
        <v xml:space="preserve">40619108  </v>
      </c>
      <c r="B2514" t="s">
        <v>2468</v>
      </c>
      <c r="C2514">
        <v>39.93</v>
      </c>
      <c r="D2514" t="str">
        <f t="shared" ref="D2514:D2527" si="112">"300"</f>
        <v>300</v>
      </c>
      <c r="E2514" t="str">
        <f>"87205"</f>
        <v>87205</v>
      </c>
    </row>
    <row r="2515" spans="1:5" x14ac:dyDescent="0.25">
      <c r="A2515" t="str">
        <f>"40619157  "</f>
        <v xml:space="preserve">40619157  </v>
      </c>
      <c r="B2515" t="s">
        <v>2469</v>
      </c>
      <c r="C2515">
        <v>14.08</v>
      </c>
      <c r="D2515" t="str">
        <f t="shared" si="112"/>
        <v>300</v>
      </c>
      <c r="E2515" t="str">
        <f>"87207"</f>
        <v>87207</v>
      </c>
    </row>
    <row r="2516" spans="1:5" x14ac:dyDescent="0.25">
      <c r="A2516" t="str">
        <f>"40619207  "</f>
        <v xml:space="preserve">40619207  </v>
      </c>
      <c r="B2516" t="s">
        <v>2470</v>
      </c>
      <c r="C2516">
        <v>49.5</v>
      </c>
      <c r="D2516" t="str">
        <f t="shared" si="112"/>
        <v>300</v>
      </c>
      <c r="E2516" t="str">
        <f>"87177"</f>
        <v>87177</v>
      </c>
    </row>
    <row r="2517" spans="1:5" x14ac:dyDescent="0.25">
      <c r="A2517" t="str">
        <f>"40619306  "</f>
        <v xml:space="preserve">40619306  </v>
      </c>
      <c r="B2517" t="s">
        <v>2471</v>
      </c>
      <c r="C2517">
        <v>165</v>
      </c>
      <c r="D2517" t="str">
        <f t="shared" si="112"/>
        <v>300</v>
      </c>
      <c r="E2517" t="str">
        <f>"87070"</f>
        <v>87070</v>
      </c>
    </row>
    <row r="2518" spans="1:5" x14ac:dyDescent="0.25">
      <c r="A2518" t="str">
        <f>"40619405  "</f>
        <v xml:space="preserve">40619405  </v>
      </c>
      <c r="B2518" t="s">
        <v>2472</v>
      </c>
      <c r="C2518">
        <v>165</v>
      </c>
      <c r="D2518" t="str">
        <f t="shared" si="112"/>
        <v>300</v>
      </c>
      <c r="E2518" t="str">
        <f>"87186"</f>
        <v>87186</v>
      </c>
    </row>
    <row r="2519" spans="1:5" x14ac:dyDescent="0.25">
      <c r="A2519" t="str">
        <f>"40619553  "</f>
        <v xml:space="preserve">40619553  </v>
      </c>
      <c r="B2519" t="s">
        <v>2473</v>
      </c>
      <c r="C2519">
        <v>73.7</v>
      </c>
      <c r="D2519" t="str">
        <f t="shared" si="112"/>
        <v>300</v>
      </c>
      <c r="E2519" t="str">
        <f>"87252"</f>
        <v>87252</v>
      </c>
    </row>
    <row r="2520" spans="1:5" x14ac:dyDescent="0.25">
      <c r="A2520" t="str">
        <f>"40619652  "</f>
        <v xml:space="preserve">40619652  </v>
      </c>
      <c r="B2520" t="s">
        <v>2474</v>
      </c>
      <c r="C2520">
        <v>30.25</v>
      </c>
      <c r="D2520" t="str">
        <f t="shared" si="112"/>
        <v>300</v>
      </c>
      <c r="E2520" t="str">
        <f>"87210"</f>
        <v>87210</v>
      </c>
    </row>
    <row r="2521" spans="1:5" x14ac:dyDescent="0.25">
      <c r="A2521" t="str">
        <f>"40619819  "</f>
        <v xml:space="preserve">40619819  </v>
      </c>
      <c r="B2521" t="s">
        <v>2475</v>
      </c>
      <c r="C2521">
        <v>30.25</v>
      </c>
      <c r="D2521" t="str">
        <f t="shared" si="112"/>
        <v>300</v>
      </c>
      <c r="E2521" t="str">
        <f>"86255"</f>
        <v>86255</v>
      </c>
    </row>
    <row r="2522" spans="1:5" x14ac:dyDescent="0.25">
      <c r="A2522" t="str">
        <f>"40619850  "</f>
        <v xml:space="preserve">40619850  </v>
      </c>
      <c r="B2522" t="s">
        <v>2476</v>
      </c>
      <c r="C2522">
        <v>104.5</v>
      </c>
      <c r="D2522" t="str">
        <f t="shared" si="112"/>
        <v>300</v>
      </c>
      <c r="E2522" t="str">
        <f>"89051"</f>
        <v>89051</v>
      </c>
    </row>
    <row r="2523" spans="1:5" x14ac:dyDescent="0.25">
      <c r="A2523" t="str">
        <f>"40619900  "</f>
        <v xml:space="preserve">40619900  </v>
      </c>
      <c r="B2523" t="s">
        <v>2477</v>
      </c>
      <c r="C2523">
        <v>9.9</v>
      </c>
      <c r="D2523" t="str">
        <f t="shared" si="112"/>
        <v>300</v>
      </c>
      <c r="E2523" t="str">
        <f>"82705"</f>
        <v>82705</v>
      </c>
    </row>
    <row r="2524" spans="1:5" x14ac:dyDescent="0.25">
      <c r="A2524" t="str">
        <f>"40619918  "</f>
        <v xml:space="preserve">40619918  </v>
      </c>
      <c r="B2524" t="s">
        <v>2478</v>
      </c>
      <c r="C2524">
        <v>21.78</v>
      </c>
      <c r="D2524" t="str">
        <f t="shared" si="112"/>
        <v>300</v>
      </c>
      <c r="E2524" t="str">
        <f>"36415"</f>
        <v>36415</v>
      </c>
    </row>
    <row r="2525" spans="1:5" x14ac:dyDescent="0.25">
      <c r="A2525" t="str">
        <f>"40619959  "</f>
        <v xml:space="preserve">40619959  </v>
      </c>
      <c r="B2525" t="s">
        <v>2479</v>
      </c>
      <c r="C2525">
        <v>104.5</v>
      </c>
      <c r="D2525" t="str">
        <f t="shared" si="112"/>
        <v>300</v>
      </c>
      <c r="E2525" t="str">
        <f>"89060"</f>
        <v>89060</v>
      </c>
    </row>
    <row r="2526" spans="1:5" x14ac:dyDescent="0.25">
      <c r="A2526" t="str">
        <f>"406199918"</f>
        <v>406199918</v>
      </c>
      <c r="B2526" t="s">
        <v>2480</v>
      </c>
      <c r="C2526">
        <v>38.5</v>
      </c>
      <c r="D2526" t="str">
        <f t="shared" si="112"/>
        <v>300</v>
      </c>
      <c r="E2526" t="str">
        <f>"86606"</f>
        <v>86606</v>
      </c>
    </row>
    <row r="2527" spans="1:5" x14ac:dyDescent="0.25">
      <c r="A2527" t="str">
        <f>"40620007  "</f>
        <v xml:space="preserve">40620007  </v>
      </c>
      <c r="B2527" t="s">
        <v>2481</v>
      </c>
      <c r="C2527">
        <v>42.57</v>
      </c>
      <c r="D2527" t="str">
        <f t="shared" si="112"/>
        <v>300</v>
      </c>
      <c r="E2527" t="str">
        <f>"89190"</f>
        <v>89190</v>
      </c>
    </row>
    <row r="2528" spans="1:5" x14ac:dyDescent="0.25">
      <c r="A2528" t="str">
        <f>"40620015  "</f>
        <v xml:space="preserve">40620015  </v>
      </c>
      <c r="B2528" t="s">
        <v>2482</v>
      </c>
      <c r="C2528">
        <v>509.85</v>
      </c>
      <c r="D2528" t="str">
        <f>"301"</f>
        <v>301</v>
      </c>
      <c r="E2528" t="str">
        <f>"88230"</f>
        <v>88230</v>
      </c>
    </row>
    <row r="2529" spans="1:5" x14ac:dyDescent="0.25">
      <c r="A2529" t="str">
        <f>"40620023  "</f>
        <v xml:space="preserve">40620023  </v>
      </c>
      <c r="B2529" t="s">
        <v>2483</v>
      </c>
      <c r="C2529">
        <v>65.45</v>
      </c>
      <c r="D2529" t="str">
        <f>"300"</f>
        <v>300</v>
      </c>
      <c r="E2529" t="str">
        <f>"82088"</f>
        <v>82088</v>
      </c>
    </row>
    <row r="2530" spans="1:5" x14ac:dyDescent="0.25">
      <c r="A2530" t="str">
        <f>"40620049  "</f>
        <v xml:space="preserve">40620049  </v>
      </c>
      <c r="B2530" t="s">
        <v>2484</v>
      </c>
      <c r="C2530">
        <v>48.95</v>
      </c>
      <c r="D2530" t="str">
        <f>"300"</f>
        <v>300</v>
      </c>
      <c r="E2530" t="str">
        <f>"86301"</f>
        <v>86301</v>
      </c>
    </row>
    <row r="2531" spans="1:5" x14ac:dyDescent="0.25">
      <c r="A2531" t="str">
        <f>"40620056  "</f>
        <v xml:space="preserve">40620056  </v>
      </c>
      <c r="B2531" t="s">
        <v>2485</v>
      </c>
      <c r="C2531">
        <v>82.5</v>
      </c>
      <c r="D2531" t="str">
        <f>"300"</f>
        <v>300</v>
      </c>
      <c r="E2531" t="str">
        <f>"82270"</f>
        <v>82270</v>
      </c>
    </row>
    <row r="2532" spans="1:5" x14ac:dyDescent="0.25">
      <c r="A2532" t="str">
        <f>"40620072  "</f>
        <v xml:space="preserve">40620072  </v>
      </c>
      <c r="B2532" t="s">
        <v>2486</v>
      </c>
      <c r="C2532">
        <v>165</v>
      </c>
      <c r="D2532" t="str">
        <f>"300"</f>
        <v>300</v>
      </c>
      <c r="E2532" t="str">
        <f>"85245"</f>
        <v>85245</v>
      </c>
    </row>
    <row r="2533" spans="1:5" x14ac:dyDescent="0.25">
      <c r="A2533" t="str">
        <f>"40620080  "</f>
        <v xml:space="preserve">40620080  </v>
      </c>
      <c r="B2533" t="s">
        <v>2487</v>
      </c>
      <c r="C2533">
        <v>66</v>
      </c>
      <c r="D2533" t="str">
        <f>"300"</f>
        <v>300</v>
      </c>
      <c r="E2533" t="str">
        <f>"84165"</f>
        <v>84165</v>
      </c>
    </row>
    <row r="2534" spans="1:5" x14ac:dyDescent="0.25">
      <c r="A2534" t="str">
        <f>"40620098  "</f>
        <v xml:space="preserve">40620098  </v>
      </c>
      <c r="B2534" t="s">
        <v>2488</v>
      </c>
      <c r="C2534">
        <v>90.2</v>
      </c>
      <c r="D2534" t="str">
        <f>"307"</f>
        <v>307</v>
      </c>
      <c r="E2534" t="str">
        <f>"85379"</f>
        <v>85379</v>
      </c>
    </row>
    <row r="2535" spans="1:5" x14ac:dyDescent="0.25">
      <c r="A2535" t="str">
        <f>"40620106  "</f>
        <v xml:space="preserve">40620106  </v>
      </c>
      <c r="B2535" t="s">
        <v>2489</v>
      </c>
      <c r="C2535">
        <v>495</v>
      </c>
      <c r="D2535" t="str">
        <f t="shared" ref="D2535:D2566" si="113">"300"</f>
        <v>300</v>
      </c>
      <c r="E2535" t="str">
        <f>"85247"</f>
        <v>85247</v>
      </c>
    </row>
    <row r="2536" spans="1:5" x14ac:dyDescent="0.25">
      <c r="A2536" t="str">
        <f>"40620114  "</f>
        <v xml:space="preserve">40620114  </v>
      </c>
      <c r="B2536" t="s">
        <v>2490</v>
      </c>
      <c r="C2536">
        <v>165</v>
      </c>
      <c r="D2536" t="str">
        <f t="shared" si="113"/>
        <v>300</v>
      </c>
      <c r="E2536" t="str">
        <f>"85246"</f>
        <v>85246</v>
      </c>
    </row>
    <row r="2537" spans="1:5" x14ac:dyDescent="0.25">
      <c r="A2537" t="str">
        <f>"40620122  "</f>
        <v xml:space="preserve">40620122  </v>
      </c>
      <c r="B2537" t="s">
        <v>2491</v>
      </c>
      <c r="C2537">
        <v>62.32</v>
      </c>
      <c r="D2537" t="str">
        <f t="shared" si="113"/>
        <v>300</v>
      </c>
      <c r="E2537" t="str">
        <f>"85670"</f>
        <v>85670</v>
      </c>
    </row>
    <row r="2538" spans="1:5" x14ac:dyDescent="0.25">
      <c r="A2538" t="str">
        <f>"40620130  "</f>
        <v xml:space="preserve">40620130  </v>
      </c>
      <c r="B2538" t="s">
        <v>2492</v>
      </c>
      <c r="C2538">
        <v>110</v>
      </c>
      <c r="D2538" t="str">
        <f t="shared" si="113"/>
        <v>300</v>
      </c>
      <c r="E2538" t="str">
        <f>"85360"</f>
        <v>85360</v>
      </c>
    </row>
    <row r="2539" spans="1:5" x14ac:dyDescent="0.25">
      <c r="A2539" t="str">
        <f>"40620148  "</f>
        <v xml:space="preserve">40620148  </v>
      </c>
      <c r="B2539" t="s">
        <v>2493</v>
      </c>
      <c r="C2539">
        <v>280.5</v>
      </c>
      <c r="D2539" t="str">
        <f t="shared" si="113"/>
        <v>300</v>
      </c>
      <c r="E2539" t="str">
        <f>"85290"</f>
        <v>85290</v>
      </c>
    </row>
    <row r="2540" spans="1:5" x14ac:dyDescent="0.25">
      <c r="A2540" t="str">
        <f>"40620403  "</f>
        <v xml:space="preserve">40620403  </v>
      </c>
      <c r="B2540" t="s">
        <v>1</v>
      </c>
      <c r="C2540">
        <v>61.27</v>
      </c>
      <c r="D2540" t="str">
        <f t="shared" si="113"/>
        <v>300</v>
      </c>
    </row>
    <row r="2541" spans="1:5" x14ac:dyDescent="0.25">
      <c r="A2541" t="str">
        <f>"40620452  "</f>
        <v xml:space="preserve">40620452  </v>
      </c>
      <c r="B2541" t="s">
        <v>2494</v>
      </c>
      <c r="C2541">
        <v>31.46</v>
      </c>
      <c r="D2541" t="str">
        <f t="shared" si="113"/>
        <v>300</v>
      </c>
      <c r="E2541" t="str">
        <f>"86999"</f>
        <v>86999</v>
      </c>
    </row>
    <row r="2542" spans="1:5" x14ac:dyDescent="0.25">
      <c r="A2542" t="str">
        <f>"40620604"</f>
        <v>40620604</v>
      </c>
      <c r="B2542" t="s">
        <v>2495</v>
      </c>
      <c r="C2542">
        <v>52.53</v>
      </c>
      <c r="D2542" t="str">
        <f t="shared" si="113"/>
        <v>300</v>
      </c>
      <c r="E2542" t="str">
        <f>"87169"</f>
        <v>87169</v>
      </c>
    </row>
    <row r="2543" spans="1:5" x14ac:dyDescent="0.25">
      <c r="A2543" t="str">
        <f>"40620650  "</f>
        <v xml:space="preserve">40620650  </v>
      </c>
      <c r="B2543" t="s">
        <v>2496</v>
      </c>
      <c r="C2543">
        <v>30.25</v>
      </c>
      <c r="D2543" t="str">
        <f t="shared" si="113"/>
        <v>300</v>
      </c>
      <c r="E2543" t="str">
        <f>"81015"</f>
        <v>81015</v>
      </c>
    </row>
    <row r="2544" spans="1:5" x14ac:dyDescent="0.25">
      <c r="A2544" t="str">
        <f>"40620700  "</f>
        <v xml:space="preserve">40620700  </v>
      </c>
      <c r="B2544" t="s">
        <v>2497</v>
      </c>
      <c r="C2544">
        <v>57.53</v>
      </c>
      <c r="D2544" t="str">
        <f t="shared" si="113"/>
        <v>300</v>
      </c>
      <c r="E2544" t="str">
        <f>"81001"</f>
        <v>81001</v>
      </c>
    </row>
    <row r="2545" spans="1:5" x14ac:dyDescent="0.25">
      <c r="A2545" t="str">
        <f>"40620759  "</f>
        <v xml:space="preserve">40620759  </v>
      </c>
      <c r="B2545" t="s">
        <v>2498</v>
      </c>
      <c r="C2545">
        <v>19.8</v>
      </c>
      <c r="D2545" t="str">
        <f t="shared" si="113"/>
        <v>300</v>
      </c>
      <c r="E2545" t="str">
        <f>"81000"</f>
        <v>81000</v>
      </c>
    </row>
    <row r="2546" spans="1:5" x14ac:dyDescent="0.25">
      <c r="A2546" t="str">
        <f>"40620809  "</f>
        <v xml:space="preserve">40620809  </v>
      </c>
      <c r="B2546" t="s">
        <v>2499</v>
      </c>
      <c r="C2546">
        <v>18.149999999999999</v>
      </c>
      <c r="D2546" t="str">
        <f t="shared" si="113"/>
        <v>300</v>
      </c>
      <c r="E2546" t="str">
        <f>"82945"</f>
        <v>82945</v>
      </c>
    </row>
    <row r="2547" spans="1:5" x14ac:dyDescent="0.25">
      <c r="A2547" t="str">
        <f>"40621005  "</f>
        <v xml:space="preserve">40621005  </v>
      </c>
      <c r="B2547" t="s">
        <v>2500</v>
      </c>
      <c r="C2547">
        <v>19.899999999999999</v>
      </c>
      <c r="D2547" t="str">
        <f t="shared" si="113"/>
        <v>300</v>
      </c>
      <c r="E2547" t="str">
        <f>"86708"</f>
        <v>86708</v>
      </c>
    </row>
    <row r="2548" spans="1:5" x14ac:dyDescent="0.25">
      <c r="A2548" t="str">
        <f>"40621054  "</f>
        <v xml:space="preserve">40621054  </v>
      </c>
      <c r="B2548" t="s">
        <v>2501</v>
      </c>
      <c r="C2548">
        <v>47.3</v>
      </c>
      <c r="D2548" t="str">
        <f t="shared" si="113"/>
        <v>300</v>
      </c>
      <c r="E2548" t="str">
        <f>"86707"</f>
        <v>86707</v>
      </c>
    </row>
    <row r="2549" spans="1:5" x14ac:dyDescent="0.25">
      <c r="A2549" t="str">
        <f>"40621104  "</f>
        <v xml:space="preserve">40621104  </v>
      </c>
      <c r="B2549" t="s">
        <v>2502</v>
      </c>
      <c r="C2549">
        <v>62.43</v>
      </c>
      <c r="D2549" t="str">
        <f t="shared" si="113"/>
        <v>300</v>
      </c>
      <c r="E2549" t="str">
        <f>"86635"</f>
        <v>86635</v>
      </c>
    </row>
    <row r="2550" spans="1:5" x14ac:dyDescent="0.25">
      <c r="A2550" t="str">
        <f>"40621112  "</f>
        <v xml:space="preserve">40621112  </v>
      </c>
      <c r="B2550" t="s">
        <v>2503</v>
      </c>
      <c r="C2550">
        <v>26.4</v>
      </c>
      <c r="D2550" t="str">
        <f t="shared" si="113"/>
        <v>300</v>
      </c>
      <c r="E2550" t="str">
        <f>"86705"</f>
        <v>86705</v>
      </c>
    </row>
    <row r="2551" spans="1:5" x14ac:dyDescent="0.25">
      <c r="A2551" t="str">
        <f>"40621120  "</f>
        <v xml:space="preserve">40621120  </v>
      </c>
      <c r="B2551" t="s">
        <v>2504</v>
      </c>
      <c r="C2551">
        <v>60.5</v>
      </c>
      <c r="D2551" t="str">
        <f t="shared" si="113"/>
        <v>300</v>
      </c>
      <c r="E2551" t="str">
        <f>"87899"</f>
        <v>87899</v>
      </c>
    </row>
    <row r="2552" spans="1:5" x14ac:dyDescent="0.25">
      <c r="A2552" t="str">
        <f>"40621138  "</f>
        <v xml:space="preserve">40621138  </v>
      </c>
      <c r="B2552" t="s">
        <v>2505</v>
      </c>
      <c r="C2552">
        <v>48.4</v>
      </c>
      <c r="D2552" t="str">
        <f t="shared" si="113"/>
        <v>300</v>
      </c>
      <c r="E2552" t="str">
        <f>"88312"</f>
        <v>88312</v>
      </c>
    </row>
    <row r="2553" spans="1:5" x14ac:dyDescent="0.25">
      <c r="A2553" t="str">
        <f>"40621153  "</f>
        <v xml:space="preserve">40621153  </v>
      </c>
      <c r="B2553" t="s">
        <v>2506</v>
      </c>
      <c r="C2553">
        <v>38.5</v>
      </c>
      <c r="D2553" t="str">
        <f t="shared" si="113"/>
        <v>300</v>
      </c>
      <c r="E2553" t="str">
        <f>"86641"</f>
        <v>86641</v>
      </c>
    </row>
    <row r="2554" spans="1:5" x14ac:dyDescent="0.25">
      <c r="A2554" t="str">
        <f>"40621203  "</f>
        <v xml:space="preserve">40621203  </v>
      </c>
      <c r="B2554" t="s">
        <v>2507</v>
      </c>
      <c r="C2554">
        <v>143</v>
      </c>
      <c r="D2554" t="str">
        <f t="shared" si="113"/>
        <v>300</v>
      </c>
      <c r="E2554" t="str">
        <f>"86663"</f>
        <v>86663</v>
      </c>
    </row>
    <row r="2555" spans="1:5" x14ac:dyDescent="0.25">
      <c r="A2555" t="str">
        <f>"40621252  "</f>
        <v xml:space="preserve">40621252  </v>
      </c>
      <c r="B2555" t="s">
        <v>2508</v>
      </c>
      <c r="C2555">
        <v>66</v>
      </c>
      <c r="D2555" t="str">
        <f t="shared" si="113"/>
        <v>300</v>
      </c>
      <c r="E2555" t="str">
        <f>"86706"</f>
        <v>86706</v>
      </c>
    </row>
    <row r="2556" spans="1:5" x14ac:dyDescent="0.25">
      <c r="A2556" t="str">
        <f>"40621302  "</f>
        <v xml:space="preserve">40621302  </v>
      </c>
      <c r="B2556" t="s">
        <v>2509</v>
      </c>
      <c r="C2556">
        <v>143</v>
      </c>
      <c r="D2556" t="str">
        <f t="shared" si="113"/>
        <v>300</v>
      </c>
      <c r="E2556" t="str">
        <f>"86738"</f>
        <v>86738</v>
      </c>
    </row>
    <row r="2557" spans="1:5" x14ac:dyDescent="0.25">
      <c r="A2557" t="str">
        <f>"40621351  "</f>
        <v xml:space="preserve">40621351  </v>
      </c>
      <c r="B2557" t="s">
        <v>2510</v>
      </c>
      <c r="C2557">
        <v>44.11</v>
      </c>
      <c r="D2557" t="str">
        <f t="shared" si="113"/>
        <v>300</v>
      </c>
      <c r="E2557" t="str">
        <f>"86644"</f>
        <v>86644</v>
      </c>
    </row>
    <row r="2558" spans="1:5" x14ac:dyDescent="0.25">
      <c r="A2558" t="str">
        <f>"40621401  "</f>
        <v xml:space="preserve">40621401  </v>
      </c>
      <c r="B2558" t="s">
        <v>2511</v>
      </c>
      <c r="C2558">
        <v>19.25</v>
      </c>
      <c r="D2558" t="str">
        <f t="shared" si="113"/>
        <v>300</v>
      </c>
      <c r="E2558" t="str">
        <f>"87340"</f>
        <v>87340</v>
      </c>
    </row>
    <row r="2559" spans="1:5" x14ac:dyDescent="0.25">
      <c r="A2559" t="str">
        <f>"40621500  "</f>
        <v xml:space="preserve">40621500  </v>
      </c>
      <c r="B2559" t="s">
        <v>2512</v>
      </c>
      <c r="C2559">
        <v>83.88</v>
      </c>
      <c r="D2559" t="str">
        <f t="shared" si="113"/>
        <v>300</v>
      </c>
      <c r="E2559" t="str">
        <f>"86694"</f>
        <v>86694</v>
      </c>
    </row>
    <row r="2560" spans="1:5" x14ac:dyDescent="0.25">
      <c r="A2560" t="str">
        <f>"40621559  "</f>
        <v xml:space="preserve">40621559  </v>
      </c>
      <c r="B2560" t="s">
        <v>2513</v>
      </c>
      <c r="C2560">
        <v>55</v>
      </c>
      <c r="D2560" t="str">
        <f t="shared" si="113"/>
        <v>300</v>
      </c>
      <c r="E2560" t="str">
        <f>"83970"</f>
        <v>83970</v>
      </c>
    </row>
    <row r="2561" spans="1:5" x14ac:dyDescent="0.25">
      <c r="A2561" t="str">
        <f>"40621708  "</f>
        <v xml:space="preserve">40621708  </v>
      </c>
      <c r="B2561" t="s">
        <v>2514</v>
      </c>
      <c r="C2561">
        <v>39.93</v>
      </c>
      <c r="D2561" t="str">
        <f t="shared" si="113"/>
        <v>300</v>
      </c>
      <c r="E2561" t="str">
        <f>"89055"</f>
        <v>89055</v>
      </c>
    </row>
    <row r="2562" spans="1:5" x14ac:dyDescent="0.25">
      <c r="A2562" t="str">
        <f>"40621856  "</f>
        <v xml:space="preserve">40621856  </v>
      </c>
      <c r="B2562" t="s">
        <v>2515</v>
      </c>
      <c r="C2562">
        <v>159.5</v>
      </c>
      <c r="D2562" t="str">
        <f t="shared" si="113"/>
        <v>300</v>
      </c>
      <c r="E2562" t="str">
        <f>"82608"</f>
        <v>82608</v>
      </c>
    </row>
    <row r="2563" spans="1:5" x14ac:dyDescent="0.25">
      <c r="A2563" t="str">
        <f>"40621864  "</f>
        <v xml:space="preserve">40621864  </v>
      </c>
      <c r="B2563" t="s">
        <v>2516</v>
      </c>
      <c r="C2563">
        <v>25.03</v>
      </c>
      <c r="D2563" t="str">
        <f t="shared" si="113"/>
        <v>300</v>
      </c>
      <c r="E2563" t="str">
        <f>"84702"</f>
        <v>84702</v>
      </c>
    </row>
    <row r="2564" spans="1:5" x14ac:dyDescent="0.25">
      <c r="A2564" t="str">
        <f>"40621880  "</f>
        <v xml:space="preserve">40621880  </v>
      </c>
      <c r="B2564" t="s">
        <v>2517</v>
      </c>
      <c r="C2564">
        <v>121</v>
      </c>
      <c r="D2564" t="str">
        <f t="shared" si="113"/>
        <v>300</v>
      </c>
      <c r="E2564" t="str">
        <f>"85230"</f>
        <v>85230</v>
      </c>
    </row>
    <row r="2565" spans="1:5" x14ac:dyDescent="0.25">
      <c r="A2565" t="str">
        <f>"40621898  "</f>
        <v xml:space="preserve">40621898  </v>
      </c>
      <c r="B2565" t="s">
        <v>2518</v>
      </c>
      <c r="C2565">
        <v>65.73</v>
      </c>
      <c r="D2565" t="str">
        <f t="shared" si="113"/>
        <v>300</v>
      </c>
      <c r="E2565" t="str">
        <f>"82553"</f>
        <v>82553</v>
      </c>
    </row>
    <row r="2566" spans="1:5" x14ac:dyDescent="0.25">
      <c r="A2566" t="str">
        <f>"40621906  "</f>
        <v xml:space="preserve">40621906  </v>
      </c>
      <c r="B2566" t="s">
        <v>2519</v>
      </c>
      <c r="C2566">
        <v>105.16</v>
      </c>
      <c r="D2566" t="str">
        <f t="shared" si="113"/>
        <v>300</v>
      </c>
      <c r="E2566" t="str">
        <f>"87490"</f>
        <v>87490</v>
      </c>
    </row>
    <row r="2567" spans="1:5" x14ac:dyDescent="0.25">
      <c r="A2567" t="str">
        <f>"40621930  "</f>
        <v xml:space="preserve">40621930  </v>
      </c>
      <c r="B2567" t="s">
        <v>2520</v>
      </c>
      <c r="C2567">
        <v>49.5</v>
      </c>
      <c r="D2567" t="str">
        <f t="shared" ref="D2567:D2592" si="114">"300"</f>
        <v>300</v>
      </c>
      <c r="E2567" t="str">
        <f>"87899"</f>
        <v>87899</v>
      </c>
    </row>
    <row r="2568" spans="1:5" x14ac:dyDescent="0.25">
      <c r="A2568" t="str">
        <f>"40621948  "</f>
        <v xml:space="preserve">40621948  </v>
      </c>
      <c r="B2568" t="s">
        <v>2521</v>
      </c>
      <c r="C2568">
        <v>46.2</v>
      </c>
      <c r="D2568" t="str">
        <f t="shared" si="114"/>
        <v>300</v>
      </c>
      <c r="E2568" t="str">
        <f>"82355"</f>
        <v>82355</v>
      </c>
    </row>
    <row r="2569" spans="1:5" x14ac:dyDescent="0.25">
      <c r="A2569" t="str">
        <f>"40621955  "</f>
        <v xml:space="preserve">40621955  </v>
      </c>
      <c r="B2569" t="s">
        <v>2522</v>
      </c>
      <c r="C2569">
        <v>61.6</v>
      </c>
      <c r="D2569" t="str">
        <f t="shared" si="114"/>
        <v>300</v>
      </c>
      <c r="E2569" t="str">
        <f>"82128"</f>
        <v>82128</v>
      </c>
    </row>
    <row r="2570" spans="1:5" x14ac:dyDescent="0.25">
      <c r="A2570" t="str">
        <f>"40621963  "</f>
        <v xml:space="preserve">40621963  </v>
      </c>
      <c r="B2570" t="s">
        <v>2523</v>
      </c>
      <c r="C2570">
        <v>55</v>
      </c>
      <c r="D2570" t="str">
        <f t="shared" si="114"/>
        <v>300</v>
      </c>
      <c r="E2570" t="str">
        <f>"82330"</f>
        <v>82330</v>
      </c>
    </row>
    <row r="2571" spans="1:5" x14ac:dyDescent="0.25">
      <c r="A2571" t="str">
        <f>"40621971  "</f>
        <v xml:space="preserve">40621971  </v>
      </c>
      <c r="B2571" t="s">
        <v>2524</v>
      </c>
      <c r="C2571">
        <v>248.6</v>
      </c>
      <c r="D2571" t="str">
        <f t="shared" si="114"/>
        <v>300</v>
      </c>
      <c r="E2571" t="str">
        <f>"86255"</f>
        <v>86255</v>
      </c>
    </row>
    <row r="2572" spans="1:5" x14ac:dyDescent="0.25">
      <c r="A2572" t="str">
        <f>"40621997  "</f>
        <v xml:space="preserve">40621997  </v>
      </c>
      <c r="B2572" t="s">
        <v>2525</v>
      </c>
      <c r="C2572">
        <v>49.5</v>
      </c>
      <c r="D2572" t="str">
        <f t="shared" si="114"/>
        <v>300</v>
      </c>
      <c r="E2572" t="str">
        <f>"80346"</f>
        <v>80346</v>
      </c>
    </row>
    <row r="2573" spans="1:5" x14ac:dyDescent="0.25">
      <c r="A2573" t="str">
        <f>"40622001"</f>
        <v>40622001</v>
      </c>
      <c r="B2573" t="s">
        <v>2526</v>
      </c>
      <c r="C2573">
        <v>22</v>
      </c>
      <c r="D2573" t="str">
        <f t="shared" si="114"/>
        <v>300</v>
      </c>
      <c r="E2573" t="str">
        <f>"82565"</f>
        <v>82565</v>
      </c>
    </row>
    <row r="2574" spans="1:5" x14ac:dyDescent="0.25">
      <c r="A2574" t="str">
        <f>"40622011  "</f>
        <v xml:space="preserve">40622011  </v>
      </c>
      <c r="B2574" t="s">
        <v>2527</v>
      </c>
      <c r="C2574">
        <v>89.1</v>
      </c>
      <c r="D2574" t="str">
        <f t="shared" si="114"/>
        <v>300</v>
      </c>
      <c r="E2574" t="str">
        <f>"86329"</f>
        <v>86329</v>
      </c>
    </row>
    <row r="2575" spans="1:5" x14ac:dyDescent="0.25">
      <c r="A2575" t="str">
        <f>"40622029  "</f>
        <v xml:space="preserve">40622029  </v>
      </c>
      <c r="B2575" t="s">
        <v>2528</v>
      </c>
      <c r="C2575">
        <v>101.2</v>
      </c>
      <c r="D2575" t="str">
        <f t="shared" si="114"/>
        <v>300</v>
      </c>
      <c r="E2575" t="str">
        <f>"86329"</f>
        <v>86329</v>
      </c>
    </row>
    <row r="2576" spans="1:5" x14ac:dyDescent="0.25">
      <c r="A2576" t="str">
        <f>"40622052  "</f>
        <v xml:space="preserve">40622052  </v>
      </c>
      <c r="B2576" t="s">
        <v>2529</v>
      </c>
      <c r="C2576">
        <v>77</v>
      </c>
      <c r="D2576" t="str">
        <f t="shared" si="114"/>
        <v>300</v>
      </c>
      <c r="E2576" t="str">
        <f>"86765"</f>
        <v>86765</v>
      </c>
    </row>
    <row r="2577" spans="1:5" x14ac:dyDescent="0.25">
      <c r="A2577" t="str">
        <f>"40622078  "</f>
        <v xml:space="preserve">40622078  </v>
      </c>
      <c r="B2577" t="s">
        <v>2530</v>
      </c>
      <c r="C2577">
        <v>192.5</v>
      </c>
      <c r="D2577" t="str">
        <f t="shared" si="114"/>
        <v>300</v>
      </c>
      <c r="E2577" t="str">
        <f>"80164"</f>
        <v>80164</v>
      </c>
    </row>
    <row r="2578" spans="1:5" x14ac:dyDescent="0.25">
      <c r="A2578" t="str">
        <f>"40622086  "</f>
        <v xml:space="preserve">40622086  </v>
      </c>
      <c r="B2578" t="s">
        <v>2531</v>
      </c>
      <c r="C2578">
        <v>113.3</v>
      </c>
      <c r="D2578" t="str">
        <f t="shared" si="114"/>
        <v>300</v>
      </c>
      <c r="E2578" t="str">
        <f>"80184"</f>
        <v>80184</v>
      </c>
    </row>
    <row r="2579" spans="1:5" x14ac:dyDescent="0.25">
      <c r="A2579" t="str">
        <f>"40622094  "</f>
        <v xml:space="preserve">40622094  </v>
      </c>
      <c r="B2579" t="s">
        <v>2532</v>
      </c>
      <c r="C2579">
        <v>302.5</v>
      </c>
      <c r="D2579" t="str">
        <f t="shared" si="114"/>
        <v>300</v>
      </c>
      <c r="E2579" t="str">
        <f>"86023"</f>
        <v>86023</v>
      </c>
    </row>
    <row r="2580" spans="1:5" x14ac:dyDescent="0.25">
      <c r="A2580" t="str">
        <f>"40622102  "</f>
        <v xml:space="preserve">40622102  </v>
      </c>
      <c r="B2580" t="s">
        <v>2533</v>
      </c>
      <c r="C2580">
        <v>34.1</v>
      </c>
      <c r="D2580" t="str">
        <f t="shared" si="114"/>
        <v>300</v>
      </c>
      <c r="E2580" t="str">
        <f>"86022"</f>
        <v>86022</v>
      </c>
    </row>
    <row r="2581" spans="1:5" x14ac:dyDescent="0.25">
      <c r="A2581" t="str">
        <f>"40622113"</f>
        <v>40622113</v>
      </c>
      <c r="B2581" t="s">
        <v>2534</v>
      </c>
      <c r="C2581">
        <v>17.16</v>
      </c>
      <c r="D2581" t="str">
        <f t="shared" si="114"/>
        <v>300</v>
      </c>
      <c r="E2581" t="str">
        <f>"82390"</f>
        <v>82390</v>
      </c>
    </row>
    <row r="2582" spans="1:5" x14ac:dyDescent="0.25">
      <c r="A2582" t="str">
        <f>"40622128  "</f>
        <v xml:space="preserve">40622128  </v>
      </c>
      <c r="B2582" t="s">
        <v>2535</v>
      </c>
      <c r="C2582">
        <v>99</v>
      </c>
      <c r="D2582" t="str">
        <f t="shared" si="114"/>
        <v>300</v>
      </c>
      <c r="E2582" t="str">
        <f>"86622"</f>
        <v>86622</v>
      </c>
    </row>
    <row r="2583" spans="1:5" x14ac:dyDescent="0.25">
      <c r="A2583" t="str">
        <f>"40622136  "</f>
        <v xml:space="preserve">40622136  </v>
      </c>
      <c r="B2583" t="s">
        <v>2536</v>
      </c>
      <c r="C2583">
        <v>64.900000000000006</v>
      </c>
      <c r="D2583" t="str">
        <f t="shared" si="114"/>
        <v>300</v>
      </c>
      <c r="E2583" t="str">
        <f>"86005"</f>
        <v>86005</v>
      </c>
    </row>
    <row r="2584" spans="1:5" x14ac:dyDescent="0.25">
      <c r="A2584" t="str">
        <f>"40622151  "</f>
        <v xml:space="preserve">40622151  </v>
      </c>
      <c r="B2584" t="s">
        <v>2537</v>
      </c>
      <c r="C2584">
        <v>106.15</v>
      </c>
      <c r="D2584" t="str">
        <f t="shared" si="114"/>
        <v>300</v>
      </c>
      <c r="E2584" t="str">
        <f>"87081"</f>
        <v>87081</v>
      </c>
    </row>
    <row r="2585" spans="1:5" x14ac:dyDescent="0.25">
      <c r="A2585" t="str">
        <f>"40622185  "</f>
        <v xml:space="preserve">40622185  </v>
      </c>
      <c r="B2585" t="s">
        <v>2538</v>
      </c>
      <c r="C2585">
        <v>90.2</v>
      </c>
      <c r="D2585" t="str">
        <f t="shared" si="114"/>
        <v>300</v>
      </c>
      <c r="E2585" t="str">
        <f>"86360"</f>
        <v>86360</v>
      </c>
    </row>
    <row r="2586" spans="1:5" x14ac:dyDescent="0.25">
      <c r="A2586" t="str">
        <f>"40622193  "</f>
        <v xml:space="preserve">40622193  </v>
      </c>
      <c r="B2586" t="s">
        <v>2539</v>
      </c>
      <c r="C2586">
        <v>104.5</v>
      </c>
      <c r="D2586" t="str">
        <f t="shared" si="114"/>
        <v>300</v>
      </c>
      <c r="E2586" t="str">
        <f>"86360"</f>
        <v>86360</v>
      </c>
    </row>
    <row r="2587" spans="1:5" x14ac:dyDescent="0.25">
      <c r="A2587" t="str">
        <f>"40622201  "</f>
        <v xml:space="preserve">40622201  </v>
      </c>
      <c r="B2587" t="s">
        <v>2540</v>
      </c>
      <c r="C2587">
        <v>55</v>
      </c>
      <c r="D2587" t="str">
        <f t="shared" si="114"/>
        <v>300</v>
      </c>
      <c r="E2587" t="str">
        <f>"82164"</f>
        <v>82164</v>
      </c>
    </row>
    <row r="2588" spans="1:5" x14ac:dyDescent="0.25">
      <c r="A2588" t="str">
        <f>"40622235  "</f>
        <v xml:space="preserve">40622235  </v>
      </c>
      <c r="B2588" t="s">
        <v>2541</v>
      </c>
      <c r="C2588">
        <v>34.65</v>
      </c>
      <c r="D2588" t="str">
        <f t="shared" si="114"/>
        <v>300</v>
      </c>
      <c r="E2588" t="str">
        <f>"86304"</f>
        <v>86304</v>
      </c>
    </row>
    <row r="2589" spans="1:5" x14ac:dyDescent="0.25">
      <c r="A2589" t="str">
        <f>"40622268  "</f>
        <v xml:space="preserve">40622268  </v>
      </c>
      <c r="B2589" t="s">
        <v>2542</v>
      </c>
      <c r="C2589">
        <v>614.9</v>
      </c>
      <c r="D2589" t="str">
        <f t="shared" si="114"/>
        <v>300</v>
      </c>
      <c r="E2589" t="str">
        <f>"86999"</f>
        <v>86999</v>
      </c>
    </row>
    <row r="2590" spans="1:5" x14ac:dyDescent="0.25">
      <c r="A2590" t="str">
        <f>"40622276  "</f>
        <v xml:space="preserve">40622276  </v>
      </c>
      <c r="B2590" t="s">
        <v>2543</v>
      </c>
      <c r="C2590">
        <v>123.2</v>
      </c>
      <c r="D2590" t="str">
        <f t="shared" si="114"/>
        <v>300</v>
      </c>
      <c r="E2590" t="str">
        <f>"86927"</f>
        <v>86927</v>
      </c>
    </row>
    <row r="2591" spans="1:5" x14ac:dyDescent="0.25">
      <c r="A2591" t="str">
        <f>"40622311"</f>
        <v>40622311</v>
      </c>
      <c r="B2591" t="s">
        <v>2544</v>
      </c>
      <c r="C2591">
        <v>66.81</v>
      </c>
      <c r="D2591" t="str">
        <f t="shared" si="114"/>
        <v>300</v>
      </c>
      <c r="E2591" t="str">
        <f>"82525"</f>
        <v>82525</v>
      </c>
    </row>
    <row r="2592" spans="1:5" x14ac:dyDescent="0.25">
      <c r="A2592" t="str">
        <f>"40622331"</f>
        <v>40622331</v>
      </c>
      <c r="B2592" t="s">
        <v>2545</v>
      </c>
      <c r="C2592">
        <v>143</v>
      </c>
      <c r="D2592" t="str">
        <f t="shared" si="114"/>
        <v>300</v>
      </c>
      <c r="E2592" t="str">
        <f>"80101"</f>
        <v>80101</v>
      </c>
    </row>
    <row r="2593" spans="1:5" x14ac:dyDescent="0.25">
      <c r="A2593" t="str">
        <f>"40622413"</f>
        <v>40622413</v>
      </c>
      <c r="B2593" t="s">
        <v>2546</v>
      </c>
      <c r="C2593">
        <v>74.8</v>
      </c>
      <c r="D2593" t="str">
        <f>"301"</f>
        <v>301</v>
      </c>
      <c r="E2593" t="str">
        <f>"82140"</f>
        <v>82140</v>
      </c>
    </row>
    <row r="2594" spans="1:5" x14ac:dyDescent="0.25">
      <c r="A2594" t="str">
        <f>"40622482  "</f>
        <v xml:space="preserve">40622482  </v>
      </c>
      <c r="B2594" t="s">
        <v>2547</v>
      </c>
      <c r="C2594">
        <v>90.75</v>
      </c>
      <c r="D2594" t="str">
        <f>"301"</f>
        <v>301</v>
      </c>
      <c r="E2594" t="str">
        <f>"86927"</f>
        <v>86927</v>
      </c>
    </row>
    <row r="2595" spans="1:5" x14ac:dyDescent="0.25">
      <c r="A2595" t="str">
        <f>"40622488"</f>
        <v>40622488</v>
      </c>
      <c r="B2595" t="s">
        <v>2548</v>
      </c>
      <c r="C2595">
        <v>165</v>
      </c>
      <c r="D2595" t="str">
        <f>"300"</f>
        <v>300</v>
      </c>
      <c r="E2595" t="str">
        <f>"84134"</f>
        <v>84134</v>
      </c>
    </row>
    <row r="2596" spans="1:5" x14ac:dyDescent="0.25">
      <c r="A2596" t="str">
        <f>"40623001  "</f>
        <v xml:space="preserve">40623001  </v>
      </c>
      <c r="B2596" t="s">
        <v>2549</v>
      </c>
      <c r="C2596">
        <v>57.2</v>
      </c>
      <c r="D2596" t="str">
        <f>"300"</f>
        <v>300</v>
      </c>
      <c r="E2596" t="str">
        <f>"80192"</f>
        <v>80192</v>
      </c>
    </row>
    <row r="2597" spans="1:5" x14ac:dyDescent="0.25">
      <c r="A2597" t="str">
        <f>"40623456"</f>
        <v>40623456</v>
      </c>
      <c r="B2597" t="s">
        <v>2550</v>
      </c>
      <c r="C2597">
        <v>130.9</v>
      </c>
      <c r="D2597" t="str">
        <f>"300"</f>
        <v>300</v>
      </c>
    </row>
    <row r="2598" spans="1:5" x14ac:dyDescent="0.25">
      <c r="A2598" t="str">
        <f>"40630006  "</f>
        <v xml:space="preserve">40630006  </v>
      </c>
      <c r="B2598" t="s">
        <v>2551</v>
      </c>
      <c r="C2598">
        <v>60.5</v>
      </c>
      <c r="D2598" t="str">
        <f>"300"</f>
        <v>300</v>
      </c>
      <c r="E2598" t="str">
        <f>"83718"</f>
        <v>83718</v>
      </c>
    </row>
    <row r="2599" spans="1:5" x14ac:dyDescent="0.25">
      <c r="A2599" t="str">
        <f>"40630014  "</f>
        <v xml:space="preserve">40630014  </v>
      </c>
      <c r="B2599" t="s">
        <v>2552</v>
      </c>
      <c r="C2599">
        <v>51.48</v>
      </c>
      <c r="D2599" t="str">
        <f>"300"</f>
        <v>300</v>
      </c>
      <c r="E2599" t="str">
        <f>"82009"</f>
        <v>82009</v>
      </c>
    </row>
    <row r="2600" spans="1:5" x14ac:dyDescent="0.25">
      <c r="A2600" t="str">
        <f>"40630022  "</f>
        <v xml:space="preserve">40630022  </v>
      </c>
      <c r="B2600" t="s">
        <v>2553</v>
      </c>
      <c r="C2600">
        <v>74.8</v>
      </c>
      <c r="D2600" t="str">
        <f>"301"</f>
        <v>301</v>
      </c>
      <c r="E2600" t="str">
        <f>"84484"</f>
        <v>84484</v>
      </c>
    </row>
    <row r="2601" spans="1:5" x14ac:dyDescent="0.25">
      <c r="A2601" t="str">
        <f>"40630030  "</f>
        <v xml:space="preserve">40630030  </v>
      </c>
      <c r="B2601" t="s">
        <v>2554</v>
      </c>
      <c r="C2601">
        <v>99.55</v>
      </c>
      <c r="D2601" t="str">
        <f>"307"</f>
        <v>307</v>
      </c>
      <c r="E2601" t="str">
        <f>"86753"</f>
        <v>86753</v>
      </c>
    </row>
    <row r="2602" spans="1:5" x14ac:dyDescent="0.25">
      <c r="A2602" t="str">
        <f>"40630048  "</f>
        <v xml:space="preserve">40630048  </v>
      </c>
      <c r="B2602" t="s">
        <v>2555</v>
      </c>
      <c r="C2602">
        <v>44</v>
      </c>
      <c r="D2602" t="str">
        <f>"301"</f>
        <v>301</v>
      </c>
      <c r="E2602" t="str">
        <f>"84134"</f>
        <v>84134</v>
      </c>
    </row>
    <row r="2603" spans="1:5" x14ac:dyDescent="0.25">
      <c r="A2603" t="str">
        <f>"40630055  "</f>
        <v xml:space="preserve">40630055  </v>
      </c>
      <c r="B2603" t="s">
        <v>2556</v>
      </c>
      <c r="C2603">
        <v>51.15</v>
      </c>
      <c r="D2603" t="str">
        <f>"300"</f>
        <v>300</v>
      </c>
      <c r="E2603" t="str">
        <f>"84466"</f>
        <v>84466</v>
      </c>
    </row>
    <row r="2604" spans="1:5" x14ac:dyDescent="0.25">
      <c r="A2604" t="str">
        <f>"40630063  "</f>
        <v xml:space="preserve">40630063  </v>
      </c>
      <c r="B2604" t="s">
        <v>2557</v>
      </c>
      <c r="C2604">
        <v>71.5</v>
      </c>
      <c r="D2604" t="str">
        <f>"306"</f>
        <v>306</v>
      </c>
      <c r="E2604" t="str">
        <f>"80299"</f>
        <v>80299</v>
      </c>
    </row>
    <row r="2605" spans="1:5" x14ac:dyDescent="0.25">
      <c r="A2605" t="str">
        <f>"40630097  "</f>
        <v xml:space="preserve">40630097  </v>
      </c>
      <c r="B2605" t="s">
        <v>2558</v>
      </c>
      <c r="C2605">
        <v>148.5</v>
      </c>
      <c r="D2605" t="str">
        <f>"300"</f>
        <v>300</v>
      </c>
      <c r="E2605" t="str">
        <f>"87230"</f>
        <v>87230</v>
      </c>
    </row>
    <row r="2606" spans="1:5" x14ac:dyDescent="0.25">
      <c r="A2606" t="str">
        <f>"40630105  "</f>
        <v xml:space="preserve">40630105  </v>
      </c>
      <c r="B2606" t="s">
        <v>2559</v>
      </c>
      <c r="C2606">
        <v>66</v>
      </c>
      <c r="D2606" t="str">
        <f>"301"</f>
        <v>301</v>
      </c>
      <c r="E2606" t="str">
        <f>"80201"</f>
        <v>80201</v>
      </c>
    </row>
    <row r="2607" spans="1:5" x14ac:dyDescent="0.25">
      <c r="A2607" t="str">
        <f>"40630188  "</f>
        <v xml:space="preserve">40630188  </v>
      </c>
      <c r="B2607" t="s">
        <v>2560</v>
      </c>
      <c r="C2607">
        <v>17.600000000000001</v>
      </c>
      <c r="D2607" t="str">
        <f>"301"</f>
        <v>301</v>
      </c>
      <c r="E2607" t="str">
        <f>"84681"</f>
        <v>84681</v>
      </c>
    </row>
    <row r="2608" spans="1:5" x14ac:dyDescent="0.25">
      <c r="A2608" t="str">
        <f>"40630196  "</f>
        <v xml:space="preserve">40630196  </v>
      </c>
      <c r="B2608" t="s">
        <v>2561</v>
      </c>
      <c r="C2608">
        <v>297</v>
      </c>
      <c r="D2608" t="str">
        <f>"301"</f>
        <v>301</v>
      </c>
      <c r="E2608" t="str">
        <f>"87517"</f>
        <v>87517</v>
      </c>
    </row>
    <row r="2609" spans="1:5" x14ac:dyDescent="0.25">
      <c r="A2609" t="str">
        <f>"40631004  "</f>
        <v xml:space="preserve">40631004  </v>
      </c>
      <c r="B2609" t="s">
        <v>2562</v>
      </c>
      <c r="C2609">
        <v>52.73</v>
      </c>
      <c r="D2609" t="str">
        <f>"300"</f>
        <v>300</v>
      </c>
      <c r="E2609" t="str">
        <f>"82626"</f>
        <v>82626</v>
      </c>
    </row>
    <row r="2610" spans="1:5" x14ac:dyDescent="0.25">
      <c r="A2610" t="str">
        <f>"40640013  "</f>
        <v xml:space="preserve">40640013  </v>
      </c>
      <c r="B2610" t="s">
        <v>2563</v>
      </c>
      <c r="C2610">
        <v>50.6</v>
      </c>
      <c r="D2610" t="str">
        <f>"300"</f>
        <v>300</v>
      </c>
      <c r="E2610" t="str">
        <f>"82150"</f>
        <v>82150</v>
      </c>
    </row>
    <row r="2611" spans="1:5" x14ac:dyDescent="0.25">
      <c r="A2611" t="str">
        <f>"40640021  "</f>
        <v xml:space="preserve">40640021  </v>
      </c>
      <c r="B2611" t="s">
        <v>2564</v>
      </c>
      <c r="C2611">
        <v>50.6</v>
      </c>
      <c r="D2611" t="str">
        <f>"300"</f>
        <v>300</v>
      </c>
      <c r="E2611" t="str">
        <f>"82040"</f>
        <v>82040</v>
      </c>
    </row>
    <row r="2612" spans="1:5" x14ac:dyDescent="0.25">
      <c r="A2612" t="str">
        <f>"40640039  "</f>
        <v xml:space="preserve">40640039  </v>
      </c>
      <c r="B2612" t="s">
        <v>2565</v>
      </c>
      <c r="C2612">
        <v>73.39</v>
      </c>
      <c r="D2612" t="str">
        <f>"300"</f>
        <v>300</v>
      </c>
      <c r="E2612" t="str">
        <f>"82945"</f>
        <v>82945</v>
      </c>
    </row>
    <row r="2613" spans="1:5" x14ac:dyDescent="0.25">
      <c r="A2613" t="str">
        <f>"40640070  "</f>
        <v xml:space="preserve">40640070  </v>
      </c>
      <c r="B2613" t="s">
        <v>2566</v>
      </c>
      <c r="C2613">
        <v>220</v>
      </c>
      <c r="D2613" t="str">
        <f>"307"</f>
        <v>307</v>
      </c>
      <c r="E2613" t="str">
        <f>"82306"</f>
        <v>82306</v>
      </c>
    </row>
    <row r="2614" spans="1:5" x14ac:dyDescent="0.25">
      <c r="A2614" t="str">
        <f>"40640071"</f>
        <v>40640071</v>
      </c>
      <c r="B2614" t="s">
        <v>2567</v>
      </c>
      <c r="C2614">
        <v>935</v>
      </c>
      <c r="D2614" t="str">
        <f>"300"</f>
        <v>300</v>
      </c>
      <c r="E2614" t="str">
        <f>"81270"</f>
        <v>81270</v>
      </c>
    </row>
    <row r="2615" spans="1:5" x14ac:dyDescent="0.25">
      <c r="A2615" t="str">
        <f>"40640146  "</f>
        <v xml:space="preserve">40640146  </v>
      </c>
      <c r="B2615" t="s">
        <v>2568</v>
      </c>
      <c r="C2615">
        <v>253</v>
      </c>
      <c r="D2615" t="str">
        <f>"300"</f>
        <v>300</v>
      </c>
      <c r="E2615" t="str">
        <f>"86611"</f>
        <v>86611</v>
      </c>
    </row>
    <row r="2616" spans="1:5" x14ac:dyDescent="0.25">
      <c r="A2616" t="str">
        <f>"40650004  "</f>
        <v xml:space="preserve">40650004  </v>
      </c>
      <c r="B2616" t="s">
        <v>2569</v>
      </c>
      <c r="C2616">
        <v>33</v>
      </c>
      <c r="D2616" t="str">
        <f>"300"</f>
        <v>300</v>
      </c>
      <c r="E2616" t="str">
        <f>"82043"</f>
        <v>82043</v>
      </c>
    </row>
    <row r="2617" spans="1:5" x14ac:dyDescent="0.25">
      <c r="A2617" t="str">
        <f>"40650012  "</f>
        <v xml:space="preserve">40650012  </v>
      </c>
      <c r="B2617" t="s">
        <v>2570</v>
      </c>
      <c r="C2617">
        <v>110</v>
      </c>
      <c r="D2617" t="str">
        <f>"305"</f>
        <v>305</v>
      </c>
      <c r="E2617" t="str">
        <f>"86340 90"</f>
        <v>86340 90</v>
      </c>
    </row>
    <row r="2618" spans="1:5" x14ac:dyDescent="0.25">
      <c r="A2618" t="str">
        <f>"40650020  "</f>
        <v xml:space="preserve">40650020  </v>
      </c>
      <c r="B2618" t="s">
        <v>2571</v>
      </c>
      <c r="C2618">
        <v>56.63</v>
      </c>
      <c r="D2618" t="str">
        <f>"305"</f>
        <v>305</v>
      </c>
      <c r="E2618" t="str">
        <f>"85002"</f>
        <v>85002</v>
      </c>
    </row>
    <row r="2619" spans="1:5" x14ac:dyDescent="0.25">
      <c r="A2619" t="str">
        <f>"40650038  "</f>
        <v xml:space="preserve">40650038  </v>
      </c>
      <c r="B2619" t="s">
        <v>2572</v>
      </c>
      <c r="C2619">
        <v>46.2</v>
      </c>
      <c r="D2619" t="str">
        <f>"301"</f>
        <v>301</v>
      </c>
      <c r="E2619" t="str">
        <f>"80299"</f>
        <v>80299</v>
      </c>
    </row>
    <row r="2620" spans="1:5" x14ac:dyDescent="0.25">
      <c r="A2620" t="str">
        <f>"40650095"</f>
        <v>40650095</v>
      </c>
      <c r="B2620" t="s">
        <v>2573</v>
      </c>
      <c r="C2620">
        <v>143</v>
      </c>
      <c r="D2620" t="str">
        <f>"300"</f>
        <v>300</v>
      </c>
      <c r="E2620" t="str">
        <f>"80150"</f>
        <v>80150</v>
      </c>
    </row>
    <row r="2621" spans="1:5" x14ac:dyDescent="0.25">
      <c r="A2621" t="str">
        <f>"40650186  "</f>
        <v xml:space="preserve">40650186  </v>
      </c>
      <c r="B2621" t="s">
        <v>2574</v>
      </c>
      <c r="C2621">
        <v>144.93</v>
      </c>
      <c r="D2621" t="str">
        <f>"307"</f>
        <v>307</v>
      </c>
      <c r="E2621" t="str">
        <f>"85613"</f>
        <v>85613</v>
      </c>
    </row>
    <row r="2622" spans="1:5" x14ac:dyDescent="0.25">
      <c r="A2622" t="str">
        <f>"40650194  "</f>
        <v xml:space="preserve">40650194  </v>
      </c>
      <c r="B2622" t="s">
        <v>2575</v>
      </c>
      <c r="C2622">
        <v>192.5</v>
      </c>
      <c r="D2622" t="str">
        <f>"307"</f>
        <v>307</v>
      </c>
      <c r="E2622" t="str">
        <f>"85613"</f>
        <v>85613</v>
      </c>
    </row>
    <row r="2623" spans="1:5" x14ac:dyDescent="0.25">
      <c r="A2623" t="str">
        <f>"40657812"</f>
        <v>40657812</v>
      </c>
      <c r="B2623" t="s">
        <v>2576</v>
      </c>
      <c r="C2623">
        <v>165</v>
      </c>
      <c r="D2623" t="str">
        <f>"300"</f>
        <v>300</v>
      </c>
      <c r="E2623" t="str">
        <f>"83735"</f>
        <v>83735</v>
      </c>
    </row>
    <row r="2624" spans="1:5" x14ac:dyDescent="0.25">
      <c r="A2624" t="str">
        <f>"40660001"</f>
        <v>40660001</v>
      </c>
      <c r="B2624" t="s">
        <v>2577</v>
      </c>
      <c r="C2624">
        <v>135.03</v>
      </c>
      <c r="D2624" t="str">
        <f>"300"</f>
        <v>300</v>
      </c>
      <c r="E2624" t="str">
        <f>"82542"</f>
        <v>82542</v>
      </c>
    </row>
    <row r="2625" spans="1:5" x14ac:dyDescent="0.25">
      <c r="A2625" t="str">
        <f>"40660003  "</f>
        <v xml:space="preserve">40660003  </v>
      </c>
      <c r="B2625" t="s">
        <v>2578</v>
      </c>
      <c r="C2625">
        <v>511.5</v>
      </c>
      <c r="D2625" t="str">
        <f>"300"</f>
        <v>300</v>
      </c>
      <c r="E2625" t="str">
        <f>"87521"</f>
        <v>87521</v>
      </c>
    </row>
    <row r="2626" spans="1:5" x14ac:dyDescent="0.25">
      <c r="A2626" t="str">
        <f>"40660011  "</f>
        <v xml:space="preserve">40660011  </v>
      </c>
      <c r="B2626" t="s">
        <v>2579</v>
      </c>
      <c r="C2626">
        <v>66</v>
      </c>
      <c r="D2626" t="str">
        <f>"300"</f>
        <v>300</v>
      </c>
      <c r="E2626" t="str">
        <f>"87521"</f>
        <v>87521</v>
      </c>
    </row>
    <row r="2627" spans="1:5" x14ac:dyDescent="0.25">
      <c r="A2627" t="str">
        <f>"40660012"</f>
        <v>40660012</v>
      </c>
      <c r="B2627" t="s">
        <v>2580</v>
      </c>
      <c r="C2627">
        <v>38.5</v>
      </c>
      <c r="D2627" t="str">
        <f>"300"</f>
        <v>300</v>
      </c>
      <c r="E2627" t="str">
        <f>"82784"</f>
        <v>82784</v>
      </c>
    </row>
    <row r="2628" spans="1:5" x14ac:dyDescent="0.25">
      <c r="A2628" t="str">
        <f>"40660029  "</f>
        <v xml:space="preserve">40660029  </v>
      </c>
      <c r="B2628" t="s">
        <v>2581</v>
      </c>
      <c r="C2628">
        <v>22</v>
      </c>
      <c r="D2628" t="str">
        <f>"301"</f>
        <v>301</v>
      </c>
      <c r="E2628" t="str">
        <f>"88164"</f>
        <v>88164</v>
      </c>
    </row>
    <row r="2629" spans="1:5" x14ac:dyDescent="0.25">
      <c r="A2629" t="str">
        <f>"40660037  "</f>
        <v xml:space="preserve">40660037  </v>
      </c>
      <c r="B2629" t="s">
        <v>2582</v>
      </c>
      <c r="C2629">
        <v>49.5</v>
      </c>
      <c r="D2629" t="str">
        <f>"300"</f>
        <v>300</v>
      </c>
      <c r="E2629" t="str">
        <f>"86256"</f>
        <v>86256</v>
      </c>
    </row>
    <row r="2630" spans="1:5" x14ac:dyDescent="0.25">
      <c r="A2630" t="str">
        <f>"40660041"</f>
        <v>40660041</v>
      </c>
      <c r="B2630" t="s">
        <v>2583</v>
      </c>
      <c r="C2630">
        <v>39.880000000000003</v>
      </c>
      <c r="D2630" t="str">
        <f>"301"</f>
        <v>301</v>
      </c>
      <c r="E2630" t="str">
        <f>"86225"</f>
        <v>86225</v>
      </c>
    </row>
    <row r="2631" spans="1:5" x14ac:dyDescent="0.25">
      <c r="A2631" t="str">
        <f>"40660045  "</f>
        <v xml:space="preserve">40660045  </v>
      </c>
      <c r="B2631" t="s">
        <v>2584</v>
      </c>
      <c r="C2631">
        <v>38.5</v>
      </c>
      <c r="D2631" t="str">
        <f>"301"</f>
        <v>301</v>
      </c>
      <c r="E2631" t="str">
        <f>"82784"</f>
        <v>82784</v>
      </c>
    </row>
    <row r="2632" spans="1:5" x14ac:dyDescent="0.25">
      <c r="A2632" t="str">
        <f>"40660052  "</f>
        <v xml:space="preserve">40660052  </v>
      </c>
      <c r="B2632" t="s">
        <v>2585</v>
      </c>
      <c r="C2632">
        <v>88</v>
      </c>
      <c r="D2632" t="str">
        <f>"300"</f>
        <v>300</v>
      </c>
      <c r="E2632" t="str">
        <f>"80320"</f>
        <v>80320</v>
      </c>
    </row>
    <row r="2633" spans="1:5" x14ac:dyDescent="0.25">
      <c r="A2633" t="str">
        <f>"40660060  "</f>
        <v xml:space="preserve">40660060  </v>
      </c>
      <c r="B2633" t="s">
        <v>2586</v>
      </c>
      <c r="C2633">
        <v>111.61</v>
      </c>
      <c r="D2633" t="str">
        <f>"307"</f>
        <v>307</v>
      </c>
      <c r="E2633" t="str">
        <f>"83880"</f>
        <v>83880</v>
      </c>
    </row>
    <row r="2634" spans="1:5" x14ac:dyDescent="0.25">
      <c r="A2634" t="str">
        <f>"40660078  "</f>
        <v xml:space="preserve">40660078  </v>
      </c>
      <c r="B2634" t="s">
        <v>2587</v>
      </c>
      <c r="C2634">
        <v>55</v>
      </c>
      <c r="D2634" t="str">
        <f>"406"</f>
        <v>406</v>
      </c>
      <c r="E2634" t="str">
        <f>"80300"</f>
        <v>80300</v>
      </c>
    </row>
    <row r="2635" spans="1:5" x14ac:dyDescent="0.25">
      <c r="A2635" t="str">
        <f>"40660086  "</f>
        <v xml:space="preserve">40660086  </v>
      </c>
      <c r="B2635" t="s">
        <v>2588</v>
      </c>
      <c r="C2635">
        <v>165</v>
      </c>
      <c r="D2635" t="str">
        <f>"301"</f>
        <v>301</v>
      </c>
      <c r="E2635" t="str">
        <f>"84439"</f>
        <v>84439</v>
      </c>
    </row>
    <row r="2636" spans="1:5" x14ac:dyDescent="0.25">
      <c r="A2636" t="str">
        <f>"40660094  "</f>
        <v xml:space="preserve">40660094  </v>
      </c>
      <c r="B2636" t="s">
        <v>2589</v>
      </c>
      <c r="C2636">
        <v>68.2</v>
      </c>
      <c r="D2636" t="str">
        <f>"390"</f>
        <v>390</v>
      </c>
      <c r="E2636" t="str">
        <f>"85576"</f>
        <v>85576</v>
      </c>
    </row>
    <row r="2637" spans="1:5" x14ac:dyDescent="0.25">
      <c r="A2637" t="str">
        <f>"40660128  "</f>
        <v xml:space="preserve">40660128  </v>
      </c>
      <c r="B2637" t="s">
        <v>2590</v>
      </c>
      <c r="C2637">
        <v>49.5</v>
      </c>
      <c r="D2637" t="str">
        <f>"301"</f>
        <v>301</v>
      </c>
      <c r="E2637" t="str">
        <f>"86645"</f>
        <v>86645</v>
      </c>
    </row>
    <row r="2638" spans="1:5" x14ac:dyDescent="0.25">
      <c r="A2638" t="str">
        <f>"40660136  "</f>
        <v xml:space="preserve">40660136  </v>
      </c>
      <c r="B2638" t="s">
        <v>2591</v>
      </c>
      <c r="C2638">
        <v>23.1</v>
      </c>
      <c r="D2638" t="str">
        <f>"300"</f>
        <v>300</v>
      </c>
      <c r="E2638" t="str">
        <f>"80202"</f>
        <v>80202</v>
      </c>
    </row>
    <row r="2639" spans="1:5" x14ac:dyDescent="0.25">
      <c r="A2639" t="str">
        <f>"40660144  "</f>
        <v xml:space="preserve">40660144  </v>
      </c>
      <c r="B2639" t="s">
        <v>2592</v>
      </c>
      <c r="C2639">
        <v>20.25</v>
      </c>
      <c r="D2639" t="str">
        <f>"307"</f>
        <v>307</v>
      </c>
      <c r="E2639" t="str">
        <f>"86141"</f>
        <v>86141</v>
      </c>
    </row>
    <row r="2640" spans="1:5" x14ac:dyDescent="0.25">
      <c r="A2640" t="str">
        <f>"40660177  "</f>
        <v xml:space="preserve">40660177  </v>
      </c>
      <c r="B2640" t="s">
        <v>2593</v>
      </c>
      <c r="C2640">
        <v>8.4700000000000006</v>
      </c>
      <c r="D2640" t="str">
        <f>"301"</f>
        <v>301</v>
      </c>
      <c r="E2640" t="str">
        <f>"87206"</f>
        <v>87206</v>
      </c>
    </row>
    <row r="2641" spans="1:5" x14ac:dyDescent="0.25">
      <c r="A2641" t="str">
        <f>"40660185  "</f>
        <v xml:space="preserve">40660185  </v>
      </c>
      <c r="B2641" t="s">
        <v>2594</v>
      </c>
      <c r="C2641">
        <v>165</v>
      </c>
      <c r="D2641" t="str">
        <f>"301"</f>
        <v>301</v>
      </c>
      <c r="E2641" t="str">
        <f>"84481"</f>
        <v>84481</v>
      </c>
    </row>
    <row r="2642" spans="1:5" x14ac:dyDescent="0.25">
      <c r="A2642" t="str">
        <f>"40660193  "</f>
        <v xml:space="preserve">40660193  </v>
      </c>
      <c r="B2642" t="s">
        <v>2595</v>
      </c>
      <c r="C2642">
        <v>55</v>
      </c>
      <c r="D2642" t="str">
        <f>"301"</f>
        <v>301</v>
      </c>
      <c r="E2642" t="str">
        <f>"86694"</f>
        <v>86694</v>
      </c>
    </row>
    <row r="2643" spans="1:5" x14ac:dyDescent="0.25">
      <c r="A2643" t="str">
        <f>"40661234"</f>
        <v>40661234</v>
      </c>
      <c r="B2643" t="s">
        <v>2596</v>
      </c>
      <c r="C2643">
        <v>108.09</v>
      </c>
      <c r="D2643" t="str">
        <f>"300"</f>
        <v>300</v>
      </c>
      <c r="E2643" t="str">
        <f>"80200"</f>
        <v>80200</v>
      </c>
    </row>
    <row r="2644" spans="1:5" x14ac:dyDescent="0.25">
      <c r="A2644" t="str">
        <f>"40662000"</f>
        <v>40662000</v>
      </c>
      <c r="B2644" t="s">
        <v>2597</v>
      </c>
      <c r="C2644">
        <v>60.5</v>
      </c>
      <c r="D2644" t="str">
        <f>"300"</f>
        <v>300</v>
      </c>
    </row>
    <row r="2645" spans="1:5" x14ac:dyDescent="0.25">
      <c r="A2645" t="str">
        <f>"40662017"</f>
        <v>40662017</v>
      </c>
      <c r="B2645" t="s">
        <v>2598</v>
      </c>
      <c r="C2645">
        <v>40.479999999999997</v>
      </c>
      <c r="D2645" t="str">
        <f>"301"</f>
        <v>301</v>
      </c>
      <c r="E2645" t="str">
        <f>"85302"</f>
        <v>85302</v>
      </c>
    </row>
    <row r="2646" spans="1:5" x14ac:dyDescent="0.25">
      <c r="A2646" t="str">
        <f>"40662031"</f>
        <v>40662031</v>
      </c>
      <c r="B2646" t="s">
        <v>2599</v>
      </c>
      <c r="C2646">
        <v>248.05</v>
      </c>
      <c r="D2646" t="str">
        <f>"301"</f>
        <v>301</v>
      </c>
      <c r="E2646" t="str">
        <f>"86022"</f>
        <v>86022</v>
      </c>
    </row>
    <row r="2647" spans="1:5" x14ac:dyDescent="0.25">
      <c r="A2647" t="str">
        <f>"40662044"</f>
        <v>40662044</v>
      </c>
      <c r="B2647" t="s">
        <v>2600</v>
      </c>
      <c r="C2647">
        <v>137.5</v>
      </c>
      <c r="D2647" t="str">
        <f>"300"</f>
        <v>300</v>
      </c>
      <c r="E2647" t="str">
        <f>"87186"</f>
        <v>87186</v>
      </c>
    </row>
    <row r="2648" spans="1:5" x14ac:dyDescent="0.25">
      <c r="A2648" t="str">
        <f>"40662055"</f>
        <v>40662055</v>
      </c>
      <c r="B2648" t="s">
        <v>2601</v>
      </c>
      <c r="C2648">
        <v>24.2</v>
      </c>
      <c r="D2648" t="str">
        <f>"300"</f>
        <v>300</v>
      </c>
      <c r="E2648" t="str">
        <f>"84305"</f>
        <v>84305</v>
      </c>
    </row>
    <row r="2649" spans="1:5" x14ac:dyDescent="0.25">
      <c r="A2649" t="str">
        <f>"40662214"</f>
        <v>40662214</v>
      </c>
      <c r="B2649" t="s">
        <v>2602</v>
      </c>
      <c r="C2649">
        <v>51.15</v>
      </c>
      <c r="D2649" t="str">
        <f>"301"</f>
        <v>301</v>
      </c>
    </row>
    <row r="2650" spans="1:5" x14ac:dyDescent="0.25">
      <c r="A2650" t="str">
        <f>"40662300"</f>
        <v>40662300</v>
      </c>
      <c r="B2650" t="s">
        <v>2603</v>
      </c>
      <c r="C2650">
        <v>605</v>
      </c>
      <c r="D2650" t="str">
        <f>"300"</f>
        <v>300</v>
      </c>
      <c r="E2650" t="str">
        <f>"84156"</f>
        <v>84156</v>
      </c>
    </row>
    <row r="2651" spans="1:5" x14ac:dyDescent="0.25">
      <c r="A2651" t="str">
        <f>"40663012"</f>
        <v>40663012</v>
      </c>
      <c r="B2651" t="s">
        <v>2604</v>
      </c>
      <c r="C2651">
        <v>165</v>
      </c>
      <c r="D2651" t="str">
        <f>"300"</f>
        <v>300</v>
      </c>
      <c r="E2651" t="str">
        <f>"84100"</f>
        <v>84100</v>
      </c>
    </row>
    <row r="2652" spans="1:5" x14ac:dyDescent="0.25">
      <c r="A2652" t="str">
        <f>"40663204"</f>
        <v>40663204</v>
      </c>
      <c r="B2652" t="s">
        <v>2605</v>
      </c>
      <c r="C2652">
        <v>192.5</v>
      </c>
      <c r="D2652" t="str">
        <f>"301"</f>
        <v>301</v>
      </c>
      <c r="E2652" t="str">
        <f>"81241"</f>
        <v>81241</v>
      </c>
    </row>
    <row r="2653" spans="1:5" x14ac:dyDescent="0.25">
      <c r="A2653" t="str">
        <f>"40663214"</f>
        <v>40663214</v>
      </c>
      <c r="B2653" t="s">
        <v>2606</v>
      </c>
      <c r="C2653">
        <v>63.8</v>
      </c>
      <c r="D2653" t="str">
        <f t="shared" ref="D2653:D2661" si="115">"300"</f>
        <v>300</v>
      </c>
    </row>
    <row r="2654" spans="1:5" x14ac:dyDescent="0.25">
      <c r="A2654" t="str">
        <f>"40663300"</f>
        <v>40663300</v>
      </c>
      <c r="B2654" t="s">
        <v>2607</v>
      </c>
      <c r="C2654">
        <v>99</v>
      </c>
      <c r="D2654" t="str">
        <f t="shared" si="115"/>
        <v>300</v>
      </c>
      <c r="E2654" t="str">
        <f>"84156"</f>
        <v>84156</v>
      </c>
    </row>
    <row r="2655" spans="1:5" x14ac:dyDescent="0.25">
      <c r="A2655" t="str">
        <f>"40664402"</f>
        <v>40664402</v>
      </c>
      <c r="B2655" t="s">
        <v>2608</v>
      </c>
      <c r="C2655">
        <v>165</v>
      </c>
      <c r="D2655" t="str">
        <f t="shared" si="115"/>
        <v>300</v>
      </c>
      <c r="E2655" t="str">
        <f>"82140"</f>
        <v>82140</v>
      </c>
    </row>
    <row r="2656" spans="1:5" x14ac:dyDescent="0.25">
      <c r="A2656" t="str">
        <f>"40666000  "</f>
        <v xml:space="preserve">40666000  </v>
      </c>
      <c r="B2656" t="s">
        <v>2609</v>
      </c>
      <c r="C2656">
        <v>220</v>
      </c>
      <c r="D2656" t="str">
        <f t="shared" si="115"/>
        <v>300</v>
      </c>
      <c r="E2656" t="str">
        <f>"83036"</f>
        <v>83036</v>
      </c>
    </row>
    <row r="2657" spans="1:5" x14ac:dyDescent="0.25">
      <c r="A2657" t="str">
        <f>"40666001"</f>
        <v>40666001</v>
      </c>
      <c r="B2657" t="s">
        <v>2610</v>
      </c>
      <c r="C2657">
        <v>49.5</v>
      </c>
      <c r="D2657" t="str">
        <f t="shared" si="115"/>
        <v>300</v>
      </c>
    </row>
    <row r="2658" spans="1:5" x14ac:dyDescent="0.25">
      <c r="A2658" t="str">
        <f>"40666123"</f>
        <v>40666123</v>
      </c>
      <c r="B2658" t="s">
        <v>2611</v>
      </c>
      <c r="C2658">
        <v>176.28</v>
      </c>
      <c r="D2658" t="str">
        <f t="shared" si="115"/>
        <v>300</v>
      </c>
      <c r="E2658" t="str">
        <f>"86039"</f>
        <v>86039</v>
      </c>
    </row>
    <row r="2659" spans="1:5" x14ac:dyDescent="0.25">
      <c r="A2659" t="str">
        <f>"40666604"</f>
        <v>40666604</v>
      </c>
      <c r="B2659" t="s">
        <v>2612</v>
      </c>
      <c r="C2659">
        <v>44</v>
      </c>
      <c r="D2659" t="str">
        <f t="shared" si="115"/>
        <v>300</v>
      </c>
      <c r="E2659" t="str">
        <f>"82274"</f>
        <v>82274</v>
      </c>
    </row>
    <row r="2660" spans="1:5" x14ac:dyDescent="0.25">
      <c r="A2660" t="str">
        <f>"40670000"</f>
        <v>40670000</v>
      </c>
      <c r="B2660" t="s">
        <v>2613</v>
      </c>
      <c r="C2660">
        <v>104.5</v>
      </c>
      <c r="D2660" t="str">
        <f t="shared" si="115"/>
        <v>300</v>
      </c>
      <c r="E2660" t="str">
        <f>"84445"</f>
        <v>84445</v>
      </c>
    </row>
    <row r="2661" spans="1:5" x14ac:dyDescent="0.25">
      <c r="A2661" t="str">
        <f>"40670001"</f>
        <v>40670001</v>
      </c>
      <c r="B2661" t="s">
        <v>2614</v>
      </c>
      <c r="C2661">
        <v>58.28</v>
      </c>
      <c r="D2661" t="str">
        <f t="shared" si="115"/>
        <v>300</v>
      </c>
      <c r="E2661" t="str">
        <f>"86141"</f>
        <v>86141</v>
      </c>
    </row>
    <row r="2662" spans="1:5" x14ac:dyDescent="0.25">
      <c r="A2662" t="str">
        <f>"40670002  "</f>
        <v xml:space="preserve">40670002  </v>
      </c>
      <c r="B2662" t="s">
        <v>2615</v>
      </c>
      <c r="C2662">
        <v>51.15</v>
      </c>
      <c r="D2662" t="str">
        <f t="shared" ref="D2662:D2668" si="116">"301"</f>
        <v>301</v>
      </c>
      <c r="E2662" t="str">
        <f>"80299"</f>
        <v>80299</v>
      </c>
    </row>
    <row r="2663" spans="1:5" x14ac:dyDescent="0.25">
      <c r="A2663" t="str">
        <f>"40670010  "</f>
        <v xml:space="preserve">40670010  </v>
      </c>
      <c r="B2663" t="s">
        <v>2616</v>
      </c>
      <c r="C2663">
        <v>418</v>
      </c>
      <c r="D2663" t="str">
        <f t="shared" si="116"/>
        <v>301</v>
      </c>
      <c r="E2663" t="str">
        <f>"85611"</f>
        <v>85611</v>
      </c>
    </row>
    <row r="2664" spans="1:5" x14ac:dyDescent="0.25">
      <c r="A2664" t="str">
        <f>"40670036  "</f>
        <v xml:space="preserve">40670036  </v>
      </c>
      <c r="B2664" t="s">
        <v>2617</v>
      </c>
      <c r="C2664">
        <v>115.78</v>
      </c>
      <c r="D2664" t="str">
        <f t="shared" si="116"/>
        <v>301</v>
      </c>
      <c r="E2664" t="str">
        <f>"85301"</f>
        <v>85301</v>
      </c>
    </row>
    <row r="2665" spans="1:5" x14ac:dyDescent="0.25">
      <c r="A2665" t="str">
        <f>"40670044  "</f>
        <v xml:space="preserve">40670044  </v>
      </c>
      <c r="B2665" t="s">
        <v>2618</v>
      </c>
      <c r="C2665">
        <v>124.85</v>
      </c>
      <c r="D2665" t="str">
        <f t="shared" si="116"/>
        <v>301</v>
      </c>
      <c r="E2665" t="str">
        <f>"85240"</f>
        <v>85240</v>
      </c>
    </row>
    <row r="2666" spans="1:5" x14ac:dyDescent="0.25">
      <c r="A2666" t="str">
        <f>"40670051  "</f>
        <v xml:space="preserve">40670051  </v>
      </c>
      <c r="B2666" t="s">
        <v>2619</v>
      </c>
      <c r="C2666">
        <v>71.5</v>
      </c>
      <c r="D2666" t="str">
        <f t="shared" si="116"/>
        <v>301</v>
      </c>
      <c r="E2666" t="str">
        <f>"85307"</f>
        <v>85307</v>
      </c>
    </row>
    <row r="2667" spans="1:5" x14ac:dyDescent="0.25">
      <c r="A2667" t="str">
        <f>"40670069  "</f>
        <v xml:space="preserve">40670069  </v>
      </c>
      <c r="B2667" t="s">
        <v>2620</v>
      </c>
      <c r="C2667">
        <v>39.82</v>
      </c>
      <c r="D2667" t="str">
        <f t="shared" si="116"/>
        <v>301</v>
      </c>
      <c r="E2667" t="str">
        <f>"85305"</f>
        <v>85305</v>
      </c>
    </row>
    <row r="2668" spans="1:5" x14ac:dyDescent="0.25">
      <c r="A2668" t="str">
        <f>"40670077  "</f>
        <v xml:space="preserve">40670077  </v>
      </c>
      <c r="B2668" t="s">
        <v>2621</v>
      </c>
      <c r="C2668">
        <v>45.38</v>
      </c>
      <c r="D2668" t="str">
        <f t="shared" si="116"/>
        <v>301</v>
      </c>
      <c r="E2668" t="str">
        <f>"83090"</f>
        <v>83090</v>
      </c>
    </row>
    <row r="2669" spans="1:5" x14ac:dyDescent="0.25">
      <c r="A2669" t="str">
        <f>"40670085  "</f>
        <v xml:space="preserve">40670085  </v>
      </c>
      <c r="B2669" t="s">
        <v>2622</v>
      </c>
      <c r="C2669">
        <v>56.63</v>
      </c>
      <c r="D2669" t="str">
        <f>"305"</f>
        <v>305</v>
      </c>
      <c r="E2669" t="str">
        <f>"85002"</f>
        <v>85002</v>
      </c>
    </row>
    <row r="2670" spans="1:5" x14ac:dyDescent="0.25">
      <c r="A2670" t="str">
        <f>"40670135  "</f>
        <v xml:space="preserve">40670135  </v>
      </c>
      <c r="B2670" t="s">
        <v>2623</v>
      </c>
      <c r="C2670">
        <v>165</v>
      </c>
      <c r="D2670" t="str">
        <f>"301"</f>
        <v>301</v>
      </c>
      <c r="E2670" t="str">
        <f>"82397"</f>
        <v>82397</v>
      </c>
    </row>
    <row r="2671" spans="1:5" x14ac:dyDescent="0.25">
      <c r="A2671" t="str">
        <f>"406747994"</f>
        <v>406747994</v>
      </c>
      <c r="B2671" t="s">
        <v>2624</v>
      </c>
      <c r="C2671">
        <v>39.880000000000003</v>
      </c>
      <c r="D2671" t="str">
        <f>"300"</f>
        <v>300</v>
      </c>
      <c r="E2671" t="str">
        <f>"84484"</f>
        <v>84484</v>
      </c>
    </row>
    <row r="2672" spans="1:5" x14ac:dyDescent="0.25">
      <c r="A2672" t="str">
        <f>"40677009"</f>
        <v>40677009</v>
      </c>
      <c r="B2672" t="s">
        <v>2625</v>
      </c>
      <c r="C2672">
        <v>0.22</v>
      </c>
      <c r="D2672" t="str">
        <f>"301"</f>
        <v>301</v>
      </c>
    </row>
    <row r="2673" spans="1:5" x14ac:dyDescent="0.25">
      <c r="A2673" t="str">
        <f>"40678900"</f>
        <v>40678900</v>
      </c>
      <c r="B2673" t="s">
        <v>2626</v>
      </c>
      <c r="C2673">
        <v>45.38</v>
      </c>
      <c r="D2673" t="str">
        <f>"301"</f>
        <v>301</v>
      </c>
      <c r="E2673" t="str">
        <f>"83090"</f>
        <v>83090</v>
      </c>
    </row>
    <row r="2674" spans="1:5" x14ac:dyDescent="0.25">
      <c r="A2674" t="str">
        <f>"40679901"</f>
        <v>40679901</v>
      </c>
      <c r="B2674" t="s">
        <v>2627</v>
      </c>
      <c r="C2674">
        <v>105.6</v>
      </c>
      <c r="D2674" t="str">
        <f>"301"</f>
        <v>301</v>
      </c>
      <c r="E2674" t="str">
        <f>"86235"</f>
        <v>86235</v>
      </c>
    </row>
    <row r="2675" spans="1:5" x14ac:dyDescent="0.25">
      <c r="A2675" t="str">
        <f>"40680001  "</f>
        <v xml:space="preserve">40680001  </v>
      </c>
      <c r="B2675" t="s">
        <v>2628</v>
      </c>
      <c r="C2675">
        <v>165</v>
      </c>
      <c r="D2675" t="str">
        <f>"301"</f>
        <v>301</v>
      </c>
      <c r="E2675" t="str">
        <f>"82397"</f>
        <v>82397</v>
      </c>
    </row>
    <row r="2676" spans="1:5" x14ac:dyDescent="0.25">
      <c r="A2676" t="str">
        <f>"40680019  "</f>
        <v xml:space="preserve">40680019  </v>
      </c>
      <c r="B2676" t="s">
        <v>2629</v>
      </c>
      <c r="C2676">
        <v>55</v>
      </c>
      <c r="D2676" t="str">
        <f>"301"</f>
        <v>301</v>
      </c>
      <c r="E2676" t="str">
        <f>"87341"</f>
        <v>87341</v>
      </c>
    </row>
    <row r="2677" spans="1:5" x14ac:dyDescent="0.25">
      <c r="A2677" t="str">
        <f>"40680068  "</f>
        <v xml:space="preserve">40680068  </v>
      </c>
      <c r="B2677" t="s">
        <v>2630</v>
      </c>
      <c r="C2677">
        <v>220</v>
      </c>
      <c r="D2677" t="str">
        <f>"300"</f>
        <v>300</v>
      </c>
      <c r="E2677" t="str">
        <f>"80202"</f>
        <v>80202</v>
      </c>
    </row>
    <row r="2678" spans="1:5" x14ac:dyDescent="0.25">
      <c r="A2678" t="str">
        <f>"40680076  "</f>
        <v xml:space="preserve">40680076  </v>
      </c>
      <c r="B2678" t="s">
        <v>2631</v>
      </c>
      <c r="C2678">
        <v>77</v>
      </c>
      <c r="D2678" t="str">
        <f>"302"</f>
        <v>302</v>
      </c>
      <c r="E2678" t="str">
        <f>"86140"</f>
        <v>86140</v>
      </c>
    </row>
    <row r="2679" spans="1:5" x14ac:dyDescent="0.25">
      <c r="A2679" t="str">
        <f>"40680084  "</f>
        <v xml:space="preserve">40680084  </v>
      </c>
      <c r="B2679" t="s">
        <v>2632</v>
      </c>
      <c r="C2679">
        <v>44</v>
      </c>
      <c r="D2679" t="str">
        <f>"300"</f>
        <v>300</v>
      </c>
      <c r="E2679" t="str">
        <f>"80184"</f>
        <v>80184</v>
      </c>
    </row>
    <row r="2680" spans="1:5" x14ac:dyDescent="0.25">
      <c r="A2680" t="str">
        <f>"40680092  "</f>
        <v xml:space="preserve">40680092  </v>
      </c>
      <c r="B2680" t="s">
        <v>2633</v>
      </c>
      <c r="C2680">
        <v>33</v>
      </c>
      <c r="D2680" t="str">
        <f>"300"</f>
        <v>300</v>
      </c>
      <c r="E2680" t="str">
        <f>"82595"</f>
        <v>82595</v>
      </c>
    </row>
    <row r="2681" spans="1:5" x14ac:dyDescent="0.25">
      <c r="A2681" t="str">
        <f>"40688008"</f>
        <v>40688008</v>
      </c>
      <c r="B2681" t="s">
        <v>2625</v>
      </c>
      <c r="C2681">
        <v>0.22</v>
      </c>
      <c r="D2681" t="str">
        <f>"301"</f>
        <v>301</v>
      </c>
    </row>
    <row r="2682" spans="1:5" x14ac:dyDescent="0.25">
      <c r="A2682" t="str">
        <f>"40690000  "</f>
        <v xml:space="preserve">40690000  </v>
      </c>
      <c r="B2682" t="s">
        <v>2634</v>
      </c>
      <c r="C2682">
        <v>174.9</v>
      </c>
      <c r="D2682" t="str">
        <f>"306"</f>
        <v>306</v>
      </c>
      <c r="E2682" t="str">
        <f>"86658"</f>
        <v>86658</v>
      </c>
    </row>
    <row r="2683" spans="1:5" x14ac:dyDescent="0.25">
      <c r="A2683" t="str">
        <f>"40690018  "</f>
        <v xml:space="preserve">40690018  </v>
      </c>
      <c r="B2683" t="s">
        <v>2635</v>
      </c>
      <c r="C2683">
        <v>176</v>
      </c>
      <c r="D2683" t="str">
        <f>"305"</f>
        <v>305</v>
      </c>
      <c r="E2683" t="str">
        <f>"86023"</f>
        <v>86023</v>
      </c>
    </row>
    <row r="2684" spans="1:5" x14ac:dyDescent="0.25">
      <c r="A2684" t="str">
        <f>"40690026  "</f>
        <v xml:space="preserve">40690026  </v>
      </c>
      <c r="B2684" t="s">
        <v>2636</v>
      </c>
      <c r="C2684">
        <v>46.48</v>
      </c>
      <c r="D2684" t="str">
        <f>"301"</f>
        <v>301</v>
      </c>
      <c r="E2684" t="str">
        <f>"82668"</f>
        <v>82668</v>
      </c>
    </row>
    <row r="2685" spans="1:5" x14ac:dyDescent="0.25">
      <c r="A2685" t="str">
        <f>"40690034  "</f>
        <v xml:space="preserve">40690034  </v>
      </c>
      <c r="B2685" t="s">
        <v>2637</v>
      </c>
      <c r="C2685">
        <v>115.5</v>
      </c>
      <c r="D2685" t="str">
        <f>"305"</f>
        <v>305</v>
      </c>
      <c r="E2685" t="str">
        <f>"86022"</f>
        <v>86022</v>
      </c>
    </row>
    <row r="2686" spans="1:5" x14ac:dyDescent="0.25">
      <c r="A2686" t="str">
        <f>"40690075  "</f>
        <v xml:space="preserve">40690075  </v>
      </c>
      <c r="B2686" t="s">
        <v>2638</v>
      </c>
      <c r="C2686">
        <v>56.65</v>
      </c>
      <c r="D2686" t="str">
        <f>"301"</f>
        <v>301</v>
      </c>
      <c r="E2686" t="str">
        <f>"83921"</f>
        <v>83921</v>
      </c>
    </row>
    <row r="2687" spans="1:5" x14ac:dyDescent="0.25">
      <c r="A2687" t="str">
        <f>"40690083  "</f>
        <v xml:space="preserve">40690083  </v>
      </c>
      <c r="B2687" t="s">
        <v>2639</v>
      </c>
      <c r="C2687">
        <v>29.54</v>
      </c>
      <c r="D2687" t="str">
        <f>"301"</f>
        <v>301</v>
      </c>
      <c r="E2687" t="str">
        <f>"84153"</f>
        <v>84153</v>
      </c>
    </row>
    <row r="2688" spans="1:5" x14ac:dyDescent="0.25">
      <c r="A2688" t="str">
        <f>"40690125  "</f>
        <v xml:space="preserve">40690125  </v>
      </c>
      <c r="B2688" t="s">
        <v>2640</v>
      </c>
      <c r="C2688">
        <v>38.36</v>
      </c>
      <c r="D2688" t="str">
        <f>"302"</f>
        <v>302</v>
      </c>
      <c r="E2688" t="str">
        <f>"86140"</f>
        <v>86140</v>
      </c>
    </row>
    <row r="2689" spans="1:5" x14ac:dyDescent="0.25">
      <c r="A2689" t="str">
        <f>"40690133  "</f>
        <v xml:space="preserve">40690133  </v>
      </c>
      <c r="B2689" t="s">
        <v>2641</v>
      </c>
      <c r="C2689">
        <v>44</v>
      </c>
      <c r="D2689" t="str">
        <f>"302"</f>
        <v>302</v>
      </c>
      <c r="E2689" t="str">
        <f>"83516"</f>
        <v>83516</v>
      </c>
    </row>
    <row r="2690" spans="1:5" x14ac:dyDescent="0.25">
      <c r="A2690" t="str">
        <f>"40690141  "</f>
        <v xml:space="preserve">40690141  </v>
      </c>
      <c r="B2690" t="s">
        <v>2642</v>
      </c>
      <c r="C2690">
        <v>68.2</v>
      </c>
      <c r="D2690" t="str">
        <f>"302"</f>
        <v>302</v>
      </c>
      <c r="E2690" t="str">
        <f>"86812"</f>
        <v>86812</v>
      </c>
    </row>
    <row r="2691" spans="1:5" x14ac:dyDescent="0.25">
      <c r="A2691" t="str">
        <f>"40690174  "</f>
        <v xml:space="preserve">40690174  </v>
      </c>
      <c r="B2691" t="s">
        <v>2643</v>
      </c>
      <c r="C2691">
        <v>24.2</v>
      </c>
      <c r="D2691" t="str">
        <f>"302"</f>
        <v>302</v>
      </c>
      <c r="E2691" t="str">
        <f>"86677"</f>
        <v>86677</v>
      </c>
    </row>
    <row r="2692" spans="1:5" x14ac:dyDescent="0.25">
      <c r="A2692" t="str">
        <f>"40690190  "</f>
        <v xml:space="preserve">40690190  </v>
      </c>
      <c r="B2692" t="s">
        <v>2644</v>
      </c>
      <c r="C2692">
        <v>99</v>
      </c>
      <c r="D2692" t="str">
        <f>"302"</f>
        <v>302</v>
      </c>
      <c r="E2692" t="str">
        <f>"86787"</f>
        <v>86787</v>
      </c>
    </row>
    <row r="2693" spans="1:5" x14ac:dyDescent="0.25">
      <c r="A2693" t="str">
        <f>"40690210"</f>
        <v>40690210</v>
      </c>
      <c r="B2693" t="s">
        <v>2645</v>
      </c>
      <c r="C2693">
        <v>40.15</v>
      </c>
      <c r="D2693" t="str">
        <f>"301"</f>
        <v>301</v>
      </c>
      <c r="E2693" t="str">
        <f>"86235"</f>
        <v>86235</v>
      </c>
    </row>
    <row r="2694" spans="1:5" x14ac:dyDescent="0.25">
      <c r="A2694" t="str">
        <f>"40694502"</f>
        <v>40694502</v>
      </c>
      <c r="B2694" t="s">
        <v>2646</v>
      </c>
      <c r="C2694">
        <v>44.07</v>
      </c>
      <c r="D2694" t="str">
        <f>"301"</f>
        <v>301</v>
      </c>
      <c r="E2694" t="str">
        <f>"86235"</f>
        <v>86235</v>
      </c>
    </row>
    <row r="2695" spans="1:5" x14ac:dyDescent="0.25">
      <c r="A2695" t="str">
        <f>"40699001  "</f>
        <v xml:space="preserve">40699001  </v>
      </c>
      <c r="B2695" t="s">
        <v>2647</v>
      </c>
      <c r="C2695">
        <v>39.6</v>
      </c>
      <c r="D2695" t="str">
        <f>"301"</f>
        <v>301</v>
      </c>
      <c r="E2695" t="str">
        <f>"80299"</f>
        <v>80299</v>
      </c>
    </row>
    <row r="2696" spans="1:5" x14ac:dyDescent="0.25">
      <c r="A2696" t="str">
        <f>"40699006"</f>
        <v>40699006</v>
      </c>
      <c r="B2696" t="s">
        <v>2625</v>
      </c>
      <c r="C2696">
        <v>1.76</v>
      </c>
      <c r="D2696" t="str">
        <f>"301"</f>
        <v>301</v>
      </c>
    </row>
    <row r="2697" spans="1:5" x14ac:dyDescent="0.25">
      <c r="A2697" t="str">
        <f>"40699100"</f>
        <v>40699100</v>
      </c>
      <c r="B2697" t="s">
        <v>2648</v>
      </c>
      <c r="C2697">
        <v>106.15</v>
      </c>
      <c r="D2697" t="str">
        <f>"306"</f>
        <v>306</v>
      </c>
      <c r="E2697" t="str">
        <f>"87081"</f>
        <v>87081</v>
      </c>
    </row>
    <row r="2698" spans="1:5" x14ac:dyDescent="0.25">
      <c r="A2698" t="str">
        <f>"40699290"</f>
        <v>40699290</v>
      </c>
      <c r="B2698" t="s">
        <v>2649</v>
      </c>
      <c r="C2698">
        <v>150.69999999999999</v>
      </c>
      <c r="D2698" t="str">
        <f>"300"</f>
        <v>300</v>
      </c>
      <c r="E2698" t="str">
        <f>"88104"</f>
        <v>88104</v>
      </c>
    </row>
    <row r="2699" spans="1:5" x14ac:dyDescent="0.25">
      <c r="A2699" t="str">
        <f>"40699291"</f>
        <v>40699291</v>
      </c>
      <c r="B2699" t="s">
        <v>2650</v>
      </c>
      <c r="C2699">
        <v>16.5</v>
      </c>
      <c r="D2699" t="str">
        <f>"300"</f>
        <v>300</v>
      </c>
      <c r="E2699" t="str">
        <f>"83070"</f>
        <v>83070</v>
      </c>
    </row>
    <row r="2700" spans="1:5" x14ac:dyDescent="0.25">
      <c r="A2700" t="str">
        <f>"40699901"</f>
        <v>40699901</v>
      </c>
      <c r="B2700" t="s">
        <v>2625</v>
      </c>
      <c r="C2700">
        <v>1.87</v>
      </c>
      <c r="D2700" t="str">
        <f>"301"</f>
        <v>301</v>
      </c>
    </row>
    <row r="2701" spans="1:5" x14ac:dyDescent="0.25">
      <c r="A2701" t="str">
        <f>"40699902"</f>
        <v>40699902</v>
      </c>
      <c r="B2701" t="s">
        <v>2651</v>
      </c>
      <c r="C2701">
        <v>203.5</v>
      </c>
      <c r="D2701" t="str">
        <f t="shared" ref="D2701:D2725" si="117">"300"</f>
        <v>300</v>
      </c>
      <c r="E2701" t="str">
        <f>"87536"</f>
        <v>87536</v>
      </c>
    </row>
    <row r="2702" spans="1:5" x14ac:dyDescent="0.25">
      <c r="A2702" t="str">
        <f>"40699903"</f>
        <v>40699903</v>
      </c>
      <c r="B2702" t="s">
        <v>2652</v>
      </c>
      <c r="C2702">
        <v>71.5</v>
      </c>
      <c r="D2702" t="str">
        <f t="shared" si="117"/>
        <v>300</v>
      </c>
      <c r="E2702" t="str">
        <f>"86255"</f>
        <v>86255</v>
      </c>
    </row>
    <row r="2703" spans="1:5" x14ac:dyDescent="0.25">
      <c r="A2703" t="str">
        <f>"40699904"</f>
        <v>40699904</v>
      </c>
      <c r="B2703" t="s">
        <v>2653</v>
      </c>
      <c r="C2703">
        <v>313.5</v>
      </c>
      <c r="D2703" t="str">
        <f t="shared" si="117"/>
        <v>300</v>
      </c>
      <c r="E2703" t="str">
        <f>"81381"</f>
        <v>81381</v>
      </c>
    </row>
    <row r="2704" spans="1:5" x14ac:dyDescent="0.25">
      <c r="A2704" t="str">
        <f>"40699905"</f>
        <v>40699905</v>
      </c>
      <c r="B2704" t="s">
        <v>2654</v>
      </c>
      <c r="C2704">
        <v>99</v>
      </c>
      <c r="D2704" t="str">
        <f t="shared" si="117"/>
        <v>300</v>
      </c>
      <c r="E2704" t="str">
        <f>"86480"</f>
        <v>86480</v>
      </c>
    </row>
    <row r="2705" spans="1:5" x14ac:dyDescent="0.25">
      <c r="A2705" t="str">
        <f>"40699906"</f>
        <v>40699906</v>
      </c>
      <c r="B2705" t="s">
        <v>2655</v>
      </c>
      <c r="C2705">
        <v>412.5</v>
      </c>
      <c r="D2705" t="str">
        <f t="shared" si="117"/>
        <v>300</v>
      </c>
      <c r="E2705" t="str">
        <f>"82172"</f>
        <v>82172</v>
      </c>
    </row>
    <row r="2706" spans="1:5" x14ac:dyDescent="0.25">
      <c r="A2706" t="str">
        <f>"40699907"</f>
        <v>40699907</v>
      </c>
      <c r="B2706" t="s">
        <v>2639</v>
      </c>
      <c r="C2706">
        <v>27.6</v>
      </c>
      <c r="D2706" t="str">
        <f t="shared" si="117"/>
        <v>300</v>
      </c>
      <c r="E2706" t="str">
        <f>"84154"</f>
        <v>84154</v>
      </c>
    </row>
    <row r="2707" spans="1:5" x14ac:dyDescent="0.25">
      <c r="A2707" t="str">
        <f>"40699908"</f>
        <v>40699908</v>
      </c>
      <c r="B2707" t="s">
        <v>2656</v>
      </c>
      <c r="C2707">
        <v>46.2</v>
      </c>
      <c r="D2707" t="str">
        <f t="shared" si="117"/>
        <v>300</v>
      </c>
      <c r="E2707" t="str">
        <f>"86300"</f>
        <v>86300</v>
      </c>
    </row>
    <row r="2708" spans="1:5" x14ac:dyDescent="0.25">
      <c r="A2708" t="str">
        <f>"40699909"</f>
        <v>40699909</v>
      </c>
      <c r="B2708" t="s">
        <v>2657</v>
      </c>
      <c r="C2708">
        <v>104.5</v>
      </c>
      <c r="D2708" t="str">
        <f t="shared" si="117"/>
        <v>300</v>
      </c>
      <c r="E2708" t="str">
        <f>"87497"</f>
        <v>87497</v>
      </c>
    </row>
    <row r="2709" spans="1:5" x14ac:dyDescent="0.25">
      <c r="A2709" t="str">
        <f>"40699910"</f>
        <v>40699910</v>
      </c>
      <c r="B2709" t="s">
        <v>2658</v>
      </c>
      <c r="C2709">
        <v>93.5</v>
      </c>
      <c r="D2709" t="str">
        <f t="shared" si="117"/>
        <v>300</v>
      </c>
      <c r="E2709" t="str">
        <f>"87799"</f>
        <v>87799</v>
      </c>
    </row>
    <row r="2710" spans="1:5" x14ac:dyDescent="0.25">
      <c r="A2710" t="str">
        <f>"40699911"</f>
        <v>40699911</v>
      </c>
      <c r="B2710" t="s">
        <v>2659</v>
      </c>
      <c r="C2710">
        <v>71.5</v>
      </c>
      <c r="D2710" t="str">
        <f t="shared" si="117"/>
        <v>300</v>
      </c>
      <c r="E2710" t="str">
        <f>"87798"</f>
        <v>87798</v>
      </c>
    </row>
    <row r="2711" spans="1:5" x14ac:dyDescent="0.25">
      <c r="A2711" t="str">
        <f>"40699912"</f>
        <v>40699912</v>
      </c>
      <c r="B2711" t="s">
        <v>2660</v>
      </c>
      <c r="C2711">
        <v>103.4</v>
      </c>
      <c r="D2711" t="str">
        <f t="shared" si="117"/>
        <v>300</v>
      </c>
      <c r="E2711" t="str">
        <f>"85610"</f>
        <v>85610</v>
      </c>
    </row>
    <row r="2712" spans="1:5" x14ac:dyDescent="0.25">
      <c r="A2712" t="str">
        <f>"40699913"</f>
        <v>40699913</v>
      </c>
      <c r="B2712" t="s">
        <v>2661</v>
      </c>
      <c r="C2712">
        <v>49.5</v>
      </c>
      <c r="D2712" t="str">
        <f t="shared" si="117"/>
        <v>300</v>
      </c>
      <c r="E2712" t="str">
        <f>"82530"</f>
        <v>82530</v>
      </c>
    </row>
    <row r="2713" spans="1:5" x14ac:dyDescent="0.25">
      <c r="A2713" t="str">
        <f>"40699915"</f>
        <v>40699915</v>
      </c>
      <c r="B2713" t="s">
        <v>2662</v>
      </c>
      <c r="C2713">
        <v>30.8</v>
      </c>
      <c r="D2713" t="str">
        <f t="shared" si="117"/>
        <v>300</v>
      </c>
      <c r="E2713" t="str">
        <f>"82542"</f>
        <v>82542</v>
      </c>
    </row>
    <row r="2714" spans="1:5" x14ac:dyDescent="0.25">
      <c r="A2714" t="str">
        <f>"40699916"</f>
        <v>40699916</v>
      </c>
      <c r="B2714" t="s">
        <v>2663</v>
      </c>
      <c r="C2714">
        <v>132</v>
      </c>
      <c r="D2714" t="str">
        <f t="shared" si="117"/>
        <v>300</v>
      </c>
      <c r="E2714" t="str">
        <f>"84443"</f>
        <v>84443</v>
      </c>
    </row>
    <row r="2715" spans="1:5" x14ac:dyDescent="0.25">
      <c r="A2715" t="str">
        <f>"40699917"</f>
        <v>40699917</v>
      </c>
      <c r="B2715" t="s">
        <v>2664</v>
      </c>
      <c r="C2715">
        <v>165</v>
      </c>
      <c r="D2715" t="str">
        <f t="shared" si="117"/>
        <v>300</v>
      </c>
      <c r="E2715" t="str">
        <f>"86255"</f>
        <v>86255</v>
      </c>
    </row>
    <row r="2716" spans="1:5" x14ac:dyDescent="0.25">
      <c r="A2716" t="str">
        <f>"40699918"</f>
        <v>40699918</v>
      </c>
      <c r="B2716" t="s">
        <v>2665</v>
      </c>
      <c r="C2716">
        <v>44</v>
      </c>
      <c r="D2716" t="str">
        <f t="shared" si="117"/>
        <v>300</v>
      </c>
      <c r="E2716" t="str">
        <f>"84482"</f>
        <v>84482</v>
      </c>
    </row>
    <row r="2717" spans="1:5" x14ac:dyDescent="0.25">
      <c r="A2717" t="str">
        <f>"40699919"</f>
        <v>40699919</v>
      </c>
      <c r="B2717" t="s">
        <v>2666</v>
      </c>
      <c r="C2717">
        <v>62.7</v>
      </c>
      <c r="D2717" t="str">
        <f t="shared" si="117"/>
        <v>300</v>
      </c>
      <c r="E2717" t="str">
        <f>"82340"</f>
        <v>82340</v>
      </c>
    </row>
    <row r="2718" spans="1:5" x14ac:dyDescent="0.25">
      <c r="A2718" t="str">
        <f>"40699920"</f>
        <v>40699920</v>
      </c>
      <c r="B2718" t="s">
        <v>2667</v>
      </c>
      <c r="C2718">
        <v>71.5</v>
      </c>
      <c r="D2718" t="str">
        <f t="shared" si="117"/>
        <v>300</v>
      </c>
      <c r="E2718" t="str">
        <f>"86161"</f>
        <v>86161</v>
      </c>
    </row>
    <row r="2719" spans="1:5" x14ac:dyDescent="0.25">
      <c r="A2719" t="str">
        <f>"40699921"</f>
        <v>40699921</v>
      </c>
      <c r="B2719" t="s">
        <v>2668</v>
      </c>
      <c r="C2719">
        <v>21.8</v>
      </c>
      <c r="D2719" t="str">
        <f t="shared" si="117"/>
        <v>300</v>
      </c>
      <c r="E2719" t="str">
        <f>"86376"</f>
        <v>86376</v>
      </c>
    </row>
    <row r="2720" spans="1:5" x14ac:dyDescent="0.25">
      <c r="A2720" t="str">
        <f>"40699922"</f>
        <v>40699922</v>
      </c>
      <c r="B2720" t="s">
        <v>2669</v>
      </c>
      <c r="C2720">
        <v>71.5</v>
      </c>
      <c r="D2720" t="str">
        <f t="shared" si="117"/>
        <v>300</v>
      </c>
      <c r="E2720" t="str">
        <f>"83520"</f>
        <v>83520</v>
      </c>
    </row>
    <row r="2721" spans="1:5" x14ac:dyDescent="0.25">
      <c r="A2721" t="str">
        <f>"40699923"</f>
        <v>40699923</v>
      </c>
      <c r="B2721" t="s">
        <v>2670</v>
      </c>
      <c r="C2721">
        <v>38.5</v>
      </c>
      <c r="D2721" t="str">
        <f t="shared" si="117"/>
        <v>300</v>
      </c>
      <c r="E2721" t="str">
        <f>"86606"</f>
        <v>86606</v>
      </c>
    </row>
    <row r="2722" spans="1:5" x14ac:dyDescent="0.25">
      <c r="A2722" t="str">
        <f>"40699924"</f>
        <v>40699924</v>
      </c>
      <c r="B2722" t="s">
        <v>2671</v>
      </c>
      <c r="C2722">
        <v>104.5</v>
      </c>
      <c r="D2722" t="str">
        <f t="shared" si="117"/>
        <v>300</v>
      </c>
      <c r="E2722" t="str">
        <f>"86359"</f>
        <v>86359</v>
      </c>
    </row>
    <row r="2723" spans="1:5" x14ac:dyDescent="0.25">
      <c r="A2723" t="str">
        <f>"40699925"</f>
        <v>40699925</v>
      </c>
      <c r="B2723" t="s">
        <v>2672</v>
      </c>
      <c r="C2723">
        <v>137.5</v>
      </c>
      <c r="D2723" t="str">
        <f t="shared" si="117"/>
        <v>300</v>
      </c>
      <c r="E2723" t="str">
        <f>"87449"</f>
        <v>87449</v>
      </c>
    </row>
    <row r="2724" spans="1:5" x14ac:dyDescent="0.25">
      <c r="A2724" t="str">
        <f>"40699926"</f>
        <v>40699926</v>
      </c>
      <c r="B2724" t="s">
        <v>2673</v>
      </c>
      <c r="C2724">
        <v>33</v>
      </c>
      <c r="D2724" t="str">
        <f t="shared" si="117"/>
        <v>300</v>
      </c>
      <c r="E2724" t="str">
        <f>"86612"</f>
        <v>86612</v>
      </c>
    </row>
    <row r="2725" spans="1:5" x14ac:dyDescent="0.25">
      <c r="A2725" t="str">
        <f>"40699927"</f>
        <v>40699927</v>
      </c>
      <c r="B2725" t="s">
        <v>2674</v>
      </c>
      <c r="C2725">
        <v>55</v>
      </c>
      <c r="D2725" t="str">
        <f t="shared" si="117"/>
        <v>300</v>
      </c>
      <c r="E2725" t="str">
        <f>"80197"</f>
        <v>80197</v>
      </c>
    </row>
    <row r="2726" spans="1:5" x14ac:dyDescent="0.25">
      <c r="A2726" t="str">
        <f>"40699928"</f>
        <v>40699928</v>
      </c>
      <c r="B2726" t="s">
        <v>2675</v>
      </c>
      <c r="C2726">
        <v>19.8</v>
      </c>
      <c r="D2726" t="str">
        <f>"301"</f>
        <v>301</v>
      </c>
      <c r="E2726" t="str">
        <f>"87350"</f>
        <v>87350</v>
      </c>
    </row>
    <row r="2727" spans="1:5" x14ac:dyDescent="0.25">
      <c r="A2727" t="str">
        <f>"406999291"</f>
        <v>406999291</v>
      </c>
      <c r="B2727" t="s">
        <v>2676</v>
      </c>
      <c r="C2727">
        <v>121</v>
      </c>
      <c r="D2727" t="str">
        <f t="shared" ref="D2727:D2746" si="118">"300"</f>
        <v>300</v>
      </c>
      <c r="E2727" t="str">
        <f>"88112"</f>
        <v>88112</v>
      </c>
    </row>
    <row r="2728" spans="1:5" x14ac:dyDescent="0.25">
      <c r="A2728" t="str">
        <f>"40699930"</f>
        <v>40699930</v>
      </c>
      <c r="B2728" t="s">
        <v>2677</v>
      </c>
      <c r="C2728">
        <v>110</v>
      </c>
      <c r="D2728" t="str">
        <f t="shared" si="118"/>
        <v>300</v>
      </c>
      <c r="E2728" t="str">
        <f>"87635"</f>
        <v>87635</v>
      </c>
    </row>
    <row r="2729" spans="1:5" x14ac:dyDescent="0.25">
      <c r="A2729" t="str">
        <f>"40699931"</f>
        <v>40699931</v>
      </c>
      <c r="B2729" t="s">
        <v>2678</v>
      </c>
      <c r="C2729">
        <v>46.2</v>
      </c>
      <c r="D2729" t="str">
        <f t="shared" si="118"/>
        <v>300</v>
      </c>
      <c r="E2729" t="str">
        <f>"87449"</f>
        <v>87449</v>
      </c>
    </row>
    <row r="2730" spans="1:5" x14ac:dyDescent="0.25">
      <c r="A2730" t="str">
        <f>"40699932"</f>
        <v>40699932</v>
      </c>
      <c r="B2730" t="s">
        <v>2679</v>
      </c>
      <c r="C2730">
        <v>49.5</v>
      </c>
      <c r="D2730" t="str">
        <f t="shared" si="118"/>
        <v>300</v>
      </c>
      <c r="E2730" t="str">
        <f>"86738"</f>
        <v>86738</v>
      </c>
    </row>
    <row r="2731" spans="1:5" x14ac:dyDescent="0.25">
      <c r="A2731" t="str">
        <f>"40699933"</f>
        <v>40699933</v>
      </c>
      <c r="B2731" t="s">
        <v>2680</v>
      </c>
      <c r="C2731">
        <v>330</v>
      </c>
      <c r="D2731" t="str">
        <f t="shared" si="118"/>
        <v>300</v>
      </c>
      <c r="E2731" t="str">
        <f>"84145"</f>
        <v>84145</v>
      </c>
    </row>
    <row r="2732" spans="1:5" x14ac:dyDescent="0.25">
      <c r="A2732" t="str">
        <f>"40699934"</f>
        <v>40699934</v>
      </c>
      <c r="B2732" t="s">
        <v>2681</v>
      </c>
      <c r="C2732">
        <v>82.5</v>
      </c>
      <c r="D2732" t="str">
        <f t="shared" si="118"/>
        <v>300</v>
      </c>
      <c r="E2732" t="str">
        <f>"83880"</f>
        <v>83880</v>
      </c>
    </row>
    <row r="2733" spans="1:5" x14ac:dyDescent="0.25">
      <c r="A2733" t="str">
        <f>"40699935"</f>
        <v>40699935</v>
      </c>
      <c r="B2733" t="s">
        <v>2682</v>
      </c>
      <c r="C2733">
        <v>33</v>
      </c>
      <c r="D2733" t="str">
        <f t="shared" si="118"/>
        <v>300</v>
      </c>
      <c r="E2733" t="str">
        <f>"83497"</f>
        <v>83497</v>
      </c>
    </row>
    <row r="2734" spans="1:5" x14ac:dyDescent="0.25">
      <c r="A2734" t="str">
        <f>"40699936"</f>
        <v>40699936</v>
      </c>
      <c r="B2734" t="s">
        <v>2683</v>
      </c>
      <c r="C2734">
        <v>49.5</v>
      </c>
      <c r="D2734" t="str">
        <f t="shared" si="118"/>
        <v>300</v>
      </c>
      <c r="E2734" t="str">
        <f>"86316"</f>
        <v>86316</v>
      </c>
    </row>
    <row r="2735" spans="1:5" x14ac:dyDescent="0.25">
      <c r="A2735" t="str">
        <f>"40699937"</f>
        <v>40699937</v>
      </c>
      <c r="B2735" t="s">
        <v>2684</v>
      </c>
      <c r="C2735">
        <v>77</v>
      </c>
      <c r="D2735" t="str">
        <f t="shared" si="118"/>
        <v>300</v>
      </c>
      <c r="E2735" t="str">
        <f>"83993"</f>
        <v>83993</v>
      </c>
    </row>
    <row r="2736" spans="1:5" x14ac:dyDescent="0.25">
      <c r="A2736" t="str">
        <f>"40699938"</f>
        <v>40699938</v>
      </c>
      <c r="B2736" t="s">
        <v>2685</v>
      </c>
      <c r="C2736">
        <v>8.1999999999999993</v>
      </c>
      <c r="D2736" t="str">
        <f t="shared" si="118"/>
        <v>300</v>
      </c>
      <c r="E2736" t="str">
        <f>"82150"</f>
        <v>82150</v>
      </c>
    </row>
    <row r="2737" spans="1:5" x14ac:dyDescent="0.25">
      <c r="A2737" t="str">
        <f>"40699939"</f>
        <v>40699939</v>
      </c>
      <c r="B2737" t="s">
        <v>2686</v>
      </c>
      <c r="C2737">
        <v>188.1</v>
      </c>
      <c r="D2737" t="str">
        <f t="shared" si="118"/>
        <v>300</v>
      </c>
      <c r="E2737" t="str">
        <f>"88112"</f>
        <v>88112</v>
      </c>
    </row>
    <row r="2738" spans="1:5" x14ac:dyDescent="0.25">
      <c r="A2738" t="str">
        <f>"40699940"</f>
        <v>40699940</v>
      </c>
      <c r="B2738" t="s">
        <v>2687</v>
      </c>
      <c r="C2738">
        <v>121</v>
      </c>
      <c r="D2738" t="str">
        <f t="shared" si="118"/>
        <v>300</v>
      </c>
      <c r="E2738" t="str">
        <f>"82308"</f>
        <v>82308</v>
      </c>
    </row>
    <row r="2739" spans="1:5" x14ac:dyDescent="0.25">
      <c r="A2739" t="str">
        <f>"40699941"</f>
        <v>40699941</v>
      </c>
      <c r="B2739" t="s">
        <v>2688</v>
      </c>
      <c r="C2739">
        <v>28.01</v>
      </c>
      <c r="D2739" t="str">
        <f t="shared" si="118"/>
        <v>300</v>
      </c>
      <c r="E2739" t="str">
        <f>"C9803"</f>
        <v>C9803</v>
      </c>
    </row>
    <row r="2740" spans="1:5" x14ac:dyDescent="0.25">
      <c r="A2740" t="str">
        <f>"40699942"</f>
        <v>40699942</v>
      </c>
      <c r="B2740" t="s">
        <v>2689</v>
      </c>
      <c r="C2740">
        <v>66</v>
      </c>
      <c r="D2740" t="str">
        <f t="shared" si="118"/>
        <v>300</v>
      </c>
      <c r="E2740" t="str">
        <f>"86328"</f>
        <v>86328</v>
      </c>
    </row>
    <row r="2741" spans="1:5" x14ac:dyDescent="0.25">
      <c r="A2741" t="str">
        <f>"40699943"</f>
        <v>40699943</v>
      </c>
      <c r="B2741" t="s">
        <v>2690</v>
      </c>
      <c r="C2741">
        <v>104.5</v>
      </c>
      <c r="D2741" t="str">
        <f t="shared" si="118"/>
        <v>300</v>
      </c>
      <c r="E2741" t="str">
        <f>"87556"</f>
        <v>87556</v>
      </c>
    </row>
    <row r="2742" spans="1:5" x14ac:dyDescent="0.25">
      <c r="A2742" t="str">
        <f>"40699946"</f>
        <v>40699946</v>
      </c>
      <c r="B2742" t="s">
        <v>2691</v>
      </c>
      <c r="C2742">
        <v>66</v>
      </c>
      <c r="D2742" t="str">
        <f t="shared" si="118"/>
        <v>300</v>
      </c>
      <c r="E2742" t="str">
        <f>"86769"</f>
        <v>86769</v>
      </c>
    </row>
    <row r="2743" spans="1:5" x14ac:dyDescent="0.25">
      <c r="A2743" t="str">
        <f>"40699947"</f>
        <v>40699947</v>
      </c>
      <c r="B2743" t="s">
        <v>2692</v>
      </c>
      <c r="C2743">
        <v>128.5</v>
      </c>
      <c r="D2743" t="str">
        <f t="shared" si="118"/>
        <v>300</v>
      </c>
      <c r="E2743" t="str">
        <f>"85240"</f>
        <v>85240</v>
      </c>
    </row>
    <row r="2744" spans="1:5" x14ac:dyDescent="0.25">
      <c r="A2744" t="str">
        <f>"40699948"</f>
        <v>40699948</v>
      </c>
      <c r="B2744" t="s">
        <v>2693</v>
      </c>
      <c r="C2744">
        <v>225.7</v>
      </c>
      <c r="D2744" t="str">
        <f t="shared" si="118"/>
        <v>300</v>
      </c>
      <c r="E2744" t="str">
        <f>"80500"</f>
        <v>80500</v>
      </c>
    </row>
    <row r="2745" spans="1:5" x14ac:dyDescent="0.25">
      <c r="A2745" t="str">
        <f>"40699949"</f>
        <v>40699949</v>
      </c>
      <c r="B2745" t="s">
        <v>2694</v>
      </c>
      <c r="C2745">
        <v>9.31</v>
      </c>
      <c r="D2745" t="str">
        <f t="shared" si="118"/>
        <v>300</v>
      </c>
      <c r="E2745" t="str">
        <f>"86147"</f>
        <v>86147</v>
      </c>
    </row>
    <row r="2746" spans="1:5" x14ac:dyDescent="0.25">
      <c r="A2746" t="str">
        <f>"40699995"</f>
        <v>40699995</v>
      </c>
      <c r="B2746" t="s">
        <v>2695</v>
      </c>
      <c r="C2746">
        <v>99</v>
      </c>
      <c r="D2746" t="str">
        <f t="shared" si="118"/>
        <v>300</v>
      </c>
      <c r="E2746" t="str">
        <f>"86480"</f>
        <v>86480</v>
      </c>
    </row>
    <row r="2747" spans="1:5" x14ac:dyDescent="0.25">
      <c r="A2747" t="str">
        <f>"40699996"</f>
        <v>40699996</v>
      </c>
      <c r="B2747" t="s">
        <v>2696</v>
      </c>
      <c r="C2747">
        <v>110</v>
      </c>
      <c r="D2747" t="str">
        <f>"306"</f>
        <v>306</v>
      </c>
      <c r="E2747" t="str">
        <f>"87081"</f>
        <v>87081</v>
      </c>
    </row>
    <row r="2748" spans="1:5" x14ac:dyDescent="0.25">
      <c r="A2748" t="str">
        <f>"40699997"</f>
        <v>40699997</v>
      </c>
      <c r="B2748" t="s">
        <v>2697</v>
      </c>
      <c r="C2748">
        <v>181.5</v>
      </c>
      <c r="D2748" t="str">
        <f>"300"</f>
        <v>300</v>
      </c>
      <c r="E2748" t="str">
        <f>"82140"</f>
        <v>82140</v>
      </c>
    </row>
    <row r="2749" spans="1:5" x14ac:dyDescent="0.25">
      <c r="A2749" t="str">
        <f>"40699998"</f>
        <v>40699998</v>
      </c>
      <c r="B2749" t="s">
        <v>2698</v>
      </c>
      <c r="C2749">
        <v>132</v>
      </c>
      <c r="D2749" t="str">
        <f>"510"</f>
        <v>510</v>
      </c>
      <c r="E2749" t="str">
        <f>"G0463"</f>
        <v>G0463</v>
      </c>
    </row>
    <row r="2750" spans="1:5" x14ac:dyDescent="0.25">
      <c r="A2750" t="str">
        <f>"40699999"</f>
        <v>40699999</v>
      </c>
      <c r="B2750" t="s">
        <v>2699</v>
      </c>
      <c r="C2750">
        <v>25.3</v>
      </c>
      <c r="D2750" t="str">
        <f t="shared" ref="D2750:D2771" si="119">"300"</f>
        <v>300</v>
      </c>
      <c r="E2750" t="str">
        <f>"82379"</f>
        <v>82379</v>
      </c>
    </row>
    <row r="2751" spans="1:5" x14ac:dyDescent="0.25">
      <c r="A2751" t="str">
        <f>"40700000"</f>
        <v>40700000</v>
      </c>
      <c r="B2751" t="s">
        <v>2700</v>
      </c>
      <c r="C2751">
        <v>242</v>
      </c>
      <c r="D2751" t="str">
        <f t="shared" si="119"/>
        <v>300</v>
      </c>
      <c r="E2751" t="str">
        <f>"86376"</f>
        <v>86376</v>
      </c>
    </row>
    <row r="2752" spans="1:5" x14ac:dyDescent="0.25">
      <c r="A2752" t="str">
        <f>"40700001"</f>
        <v>40700001</v>
      </c>
      <c r="B2752" t="s">
        <v>2701</v>
      </c>
      <c r="C2752">
        <v>499.95</v>
      </c>
      <c r="D2752" t="str">
        <f t="shared" si="119"/>
        <v>300</v>
      </c>
      <c r="E2752" t="str">
        <f>"86256"</f>
        <v>86256</v>
      </c>
    </row>
    <row r="2753" spans="1:5" x14ac:dyDescent="0.25">
      <c r="A2753" t="str">
        <f>"40700002"</f>
        <v>40700002</v>
      </c>
      <c r="B2753" t="s">
        <v>2702</v>
      </c>
      <c r="C2753">
        <v>118.71</v>
      </c>
      <c r="D2753" t="str">
        <f t="shared" si="119"/>
        <v>300</v>
      </c>
      <c r="E2753" t="str">
        <f>"81270"</f>
        <v>81270</v>
      </c>
    </row>
    <row r="2754" spans="1:5" x14ac:dyDescent="0.25">
      <c r="A2754" t="str">
        <f>"40700003"</f>
        <v>40700003</v>
      </c>
      <c r="B2754" t="s">
        <v>2703</v>
      </c>
      <c r="C2754">
        <v>110</v>
      </c>
      <c r="D2754" t="str">
        <f t="shared" si="119"/>
        <v>300</v>
      </c>
      <c r="E2754" t="str">
        <f>"81206"</f>
        <v>81206</v>
      </c>
    </row>
    <row r="2755" spans="1:5" x14ac:dyDescent="0.25">
      <c r="A2755" t="str">
        <f>"40700004"</f>
        <v>40700004</v>
      </c>
      <c r="B2755" t="s">
        <v>2704</v>
      </c>
      <c r="C2755">
        <v>860.48</v>
      </c>
      <c r="D2755" t="str">
        <f t="shared" si="119"/>
        <v>300</v>
      </c>
      <c r="E2755" t="str">
        <f>"83519"</f>
        <v>83519</v>
      </c>
    </row>
    <row r="2756" spans="1:5" x14ac:dyDescent="0.25">
      <c r="A2756" t="str">
        <f>"40700006"</f>
        <v>40700006</v>
      </c>
      <c r="B2756" t="s">
        <v>2705</v>
      </c>
      <c r="C2756">
        <v>13.74</v>
      </c>
      <c r="D2756" t="str">
        <f t="shared" si="119"/>
        <v>300</v>
      </c>
      <c r="E2756" t="str">
        <f>"86376"</f>
        <v>86376</v>
      </c>
    </row>
    <row r="2757" spans="1:5" x14ac:dyDescent="0.25">
      <c r="A2757" t="str">
        <f>"40700008"</f>
        <v>40700008</v>
      </c>
      <c r="B2757" t="s">
        <v>2706</v>
      </c>
      <c r="C2757">
        <v>559.54</v>
      </c>
      <c r="D2757" t="str">
        <f t="shared" si="119"/>
        <v>300</v>
      </c>
      <c r="E2757" t="str">
        <f>"81270"</f>
        <v>81270</v>
      </c>
    </row>
    <row r="2758" spans="1:5" x14ac:dyDescent="0.25">
      <c r="A2758" t="str">
        <f>"40700009"</f>
        <v>40700009</v>
      </c>
      <c r="B2758" t="s">
        <v>2707</v>
      </c>
      <c r="C2758">
        <v>492.21</v>
      </c>
      <c r="D2758" t="str">
        <f t="shared" si="119"/>
        <v>300</v>
      </c>
    </row>
    <row r="2759" spans="1:5" x14ac:dyDescent="0.25">
      <c r="A2759" t="str">
        <f>"40700010"</f>
        <v>40700010</v>
      </c>
      <c r="B2759" t="s">
        <v>2708</v>
      </c>
      <c r="C2759">
        <v>106.15</v>
      </c>
      <c r="D2759" t="str">
        <f t="shared" si="119"/>
        <v>300</v>
      </c>
      <c r="E2759" t="str">
        <f>"87106"</f>
        <v>87106</v>
      </c>
    </row>
    <row r="2760" spans="1:5" x14ac:dyDescent="0.25">
      <c r="A2760" t="str">
        <f>"40700011"</f>
        <v>40700011</v>
      </c>
      <c r="B2760" t="s">
        <v>2709</v>
      </c>
      <c r="C2760">
        <v>10.45</v>
      </c>
      <c r="D2760" t="str">
        <f t="shared" si="119"/>
        <v>300</v>
      </c>
      <c r="E2760" t="str">
        <f>"84590"</f>
        <v>84590</v>
      </c>
    </row>
    <row r="2761" spans="1:5" x14ac:dyDescent="0.25">
      <c r="A2761" t="str">
        <f>"40700012"</f>
        <v>40700012</v>
      </c>
      <c r="B2761" t="s">
        <v>2710</v>
      </c>
      <c r="C2761">
        <v>9.52</v>
      </c>
      <c r="D2761" t="str">
        <f t="shared" si="119"/>
        <v>300</v>
      </c>
      <c r="E2761" t="str">
        <f>"84446"</f>
        <v>84446</v>
      </c>
    </row>
    <row r="2762" spans="1:5" x14ac:dyDescent="0.25">
      <c r="A2762" t="str">
        <f>"40700013"</f>
        <v>40700013</v>
      </c>
      <c r="B2762" t="s">
        <v>2711</v>
      </c>
      <c r="C2762">
        <v>20.04</v>
      </c>
      <c r="D2762" t="str">
        <f t="shared" si="119"/>
        <v>300</v>
      </c>
      <c r="E2762" t="str">
        <f>"84446"</f>
        <v>84446</v>
      </c>
    </row>
    <row r="2763" spans="1:5" x14ac:dyDescent="0.25">
      <c r="A2763" t="str">
        <f>"40700014"</f>
        <v>40700014</v>
      </c>
      <c r="B2763" t="s">
        <v>2712</v>
      </c>
      <c r="C2763">
        <v>46.2</v>
      </c>
      <c r="D2763" t="str">
        <f t="shared" si="119"/>
        <v>300</v>
      </c>
      <c r="E2763" t="str">
        <f>"84597"</f>
        <v>84597</v>
      </c>
    </row>
    <row r="2764" spans="1:5" x14ac:dyDescent="0.25">
      <c r="A2764" t="str">
        <f>"40700015"</f>
        <v>40700015</v>
      </c>
      <c r="B2764" t="s">
        <v>2713</v>
      </c>
      <c r="C2764">
        <v>30.8</v>
      </c>
      <c r="D2764" t="str">
        <f t="shared" si="119"/>
        <v>300</v>
      </c>
      <c r="E2764" t="str">
        <f>"87338"</f>
        <v>87338</v>
      </c>
    </row>
    <row r="2765" spans="1:5" x14ac:dyDescent="0.25">
      <c r="A2765" t="str">
        <f>"40700016"</f>
        <v>40700016</v>
      </c>
      <c r="B2765" t="s">
        <v>2714</v>
      </c>
      <c r="C2765">
        <v>19.71</v>
      </c>
      <c r="D2765" t="str">
        <f t="shared" si="119"/>
        <v>300</v>
      </c>
      <c r="E2765" t="str">
        <f>"86341"</f>
        <v>86341</v>
      </c>
    </row>
    <row r="2766" spans="1:5" x14ac:dyDescent="0.25">
      <c r="A2766" t="str">
        <f>"40700017"</f>
        <v>40700017</v>
      </c>
      <c r="B2766" t="s">
        <v>2715</v>
      </c>
      <c r="C2766">
        <v>4.0199999999999996</v>
      </c>
      <c r="D2766" t="str">
        <f t="shared" si="119"/>
        <v>300</v>
      </c>
      <c r="E2766" t="str">
        <f>"84681"</f>
        <v>84681</v>
      </c>
    </row>
    <row r="2767" spans="1:5" x14ac:dyDescent="0.25">
      <c r="A2767" t="str">
        <f>"40700018"</f>
        <v>40700018</v>
      </c>
      <c r="B2767" t="s">
        <v>2716</v>
      </c>
      <c r="C2767">
        <v>55.55</v>
      </c>
      <c r="D2767" t="str">
        <f t="shared" si="119"/>
        <v>300</v>
      </c>
      <c r="E2767" t="str">
        <f>"86341"</f>
        <v>86341</v>
      </c>
    </row>
    <row r="2768" spans="1:5" x14ac:dyDescent="0.25">
      <c r="A2768" t="str">
        <f>"4070005"</f>
        <v>4070005</v>
      </c>
      <c r="B2768" t="s">
        <v>2534</v>
      </c>
      <c r="C2768">
        <v>4.4000000000000004</v>
      </c>
      <c r="D2768" t="str">
        <f t="shared" si="119"/>
        <v>300</v>
      </c>
      <c r="E2768" t="str">
        <f>"82390"</f>
        <v>82390</v>
      </c>
    </row>
    <row r="2769" spans="1:5" x14ac:dyDescent="0.25">
      <c r="A2769" t="str">
        <f>"4070006"</f>
        <v>4070006</v>
      </c>
      <c r="B2769" t="s">
        <v>2717</v>
      </c>
      <c r="C2769">
        <v>71.5</v>
      </c>
      <c r="D2769" t="str">
        <f t="shared" si="119"/>
        <v>300</v>
      </c>
    </row>
    <row r="2770" spans="1:5" x14ac:dyDescent="0.25">
      <c r="A2770" t="str">
        <f>"4070012"</f>
        <v>4070012</v>
      </c>
      <c r="B2770" t="s">
        <v>2710</v>
      </c>
      <c r="C2770">
        <v>9.52</v>
      </c>
      <c r="D2770" t="str">
        <f t="shared" si="119"/>
        <v>300</v>
      </c>
      <c r="E2770" t="str">
        <f>"84446"</f>
        <v>84446</v>
      </c>
    </row>
    <row r="2771" spans="1:5" x14ac:dyDescent="0.25">
      <c r="A2771" t="str">
        <f>"4070013"</f>
        <v>4070013</v>
      </c>
      <c r="B2771" t="s">
        <v>2718</v>
      </c>
      <c r="C2771">
        <v>38.94</v>
      </c>
      <c r="D2771" t="str">
        <f t="shared" si="119"/>
        <v>300</v>
      </c>
      <c r="E2771" t="str">
        <f>"86160"</f>
        <v>86160</v>
      </c>
    </row>
    <row r="2772" spans="1:5" x14ac:dyDescent="0.25">
      <c r="A2772" t="str">
        <f>"40700007  "</f>
        <v xml:space="preserve">40700007  </v>
      </c>
      <c r="B2772" t="s">
        <v>2719</v>
      </c>
      <c r="C2772">
        <v>0</v>
      </c>
      <c r="D2772" t="str">
        <f t="shared" ref="D2772:D2790" si="120">"310"</f>
        <v>310</v>
      </c>
    </row>
    <row r="2773" spans="1:5" x14ac:dyDescent="0.25">
      <c r="A2773" t="str">
        <f>"40700106  "</f>
        <v xml:space="preserve">40700106  </v>
      </c>
      <c r="B2773" t="s">
        <v>2720</v>
      </c>
      <c r="C2773">
        <v>79.2</v>
      </c>
      <c r="D2773" t="str">
        <f t="shared" si="120"/>
        <v>310</v>
      </c>
      <c r="E2773" t="str">
        <f>"88323"</f>
        <v>88323</v>
      </c>
    </row>
    <row r="2774" spans="1:5" x14ac:dyDescent="0.25">
      <c r="A2774" t="str">
        <f>"40700205  "</f>
        <v xml:space="preserve">40700205  </v>
      </c>
      <c r="B2774" t="s">
        <v>2721</v>
      </c>
      <c r="C2774">
        <v>57.2</v>
      </c>
      <c r="D2774" t="str">
        <f t="shared" si="120"/>
        <v>310</v>
      </c>
      <c r="E2774" t="str">
        <f>"88329"</f>
        <v>88329</v>
      </c>
    </row>
    <row r="2775" spans="1:5" x14ac:dyDescent="0.25">
      <c r="A2775" t="str">
        <f>"40700304  "</f>
        <v xml:space="preserve">40700304  </v>
      </c>
      <c r="B2775" t="s">
        <v>2722</v>
      </c>
      <c r="C2775">
        <v>12.1</v>
      </c>
      <c r="D2775" t="str">
        <f t="shared" si="120"/>
        <v>310</v>
      </c>
      <c r="E2775" t="str">
        <f>"88399"</f>
        <v>88399</v>
      </c>
    </row>
    <row r="2776" spans="1:5" x14ac:dyDescent="0.25">
      <c r="A2776" t="str">
        <f>"40700403  "</f>
        <v xml:space="preserve">40700403  </v>
      </c>
      <c r="B2776" t="s">
        <v>2723</v>
      </c>
      <c r="C2776">
        <v>51.7</v>
      </c>
      <c r="D2776" t="str">
        <f t="shared" si="120"/>
        <v>310</v>
      </c>
      <c r="E2776" t="str">
        <f>"88332"</f>
        <v>88332</v>
      </c>
    </row>
    <row r="2777" spans="1:5" x14ac:dyDescent="0.25">
      <c r="A2777" t="str">
        <f>"40700502  "</f>
        <v xml:space="preserve">40700502  </v>
      </c>
      <c r="B2777" t="s">
        <v>2724</v>
      </c>
      <c r="C2777">
        <v>116.6</v>
      </c>
      <c r="D2777" t="str">
        <f t="shared" si="120"/>
        <v>310</v>
      </c>
      <c r="E2777" t="str">
        <f>"88331"</f>
        <v>88331</v>
      </c>
    </row>
    <row r="2778" spans="1:5" x14ac:dyDescent="0.25">
      <c r="A2778" t="str">
        <f>"40700601  "</f>
        <v xml:space="preserve">40700601  </v>
      </c>
      <c r="B2778" t="s">
        <v>2725</v>
      </c>
      <c r="C2778">
        <v>39.6</v>
      </c>
      <c r="D2778" t="str">
        <f t="shared" si="120"/>
        <v>310</v>
      </c>
      <c r="E2778" t="str">
        <f>"88300"</f>
        <v>88300</v>
      </c>
    </row>
    <row r="2779" spans="1:5" x14ac:dyDescent="0.25">
      <c r="A2779" t="str">
        <f>"40700700  "</f>
        <v xml:space="preserve">40700700  </v>
      </c>
      <c r="B2779" t="s">
        <v>2726</v>
      </c>
      <c r="C2779">
        <v>77</v>
      </c>
      <c r="D2779" t="str">
        <f t="shared" si="120"/>
        <v>310</v>
      </c>
      <c r="E2779" t="str">
        <f>"88302"</f>
        <v>88302</v>
      </c>
    </row>
    <row r="2780" spans="1:5" x14ac:dyDescent="0.25">
      <c r="A2780" t="str">
        <f>"40700809  "</f>
        <v xml:space="preserve">40700809  </v>
      </c>
      <c r="B2780" t="s">
        <v>2727</v>
      </c>
      <c r="C2780">
        <v>44</v>
      </c>
      <c r="D2780" t="str">
        <f t="shared" si="120"/>
        <v>310</v>
      </c>
      <c r="E2780" t="str">
        <f>"88302"</f>
        <v>88302</v>
      </c>
    </row>
    <row r="2781" spans="1:5" x14ac:dyDescent="0.25">
      <c r="A2781" t="str">
        <f>"40700908  "</f>
        <v xml:space="preserve">40700908  </v>
      </c>
      <c r="B2781" t="s">
        <v>2728</v>
      </c>
      <c r="C2781">
        <v>20.9</v>
      </c>
      <c r="D2781" t="str">
        <f t="shared" si="120"/>
        <v>310</v>
      </c>
      <c r="E2781" t="str">
        <f>"88312"</f>
        <v>88312</v>
      </c>
    </row>
    <row r="2782" spans="1:5" x14ac:dyDescent="0.25">
      <c r="A2782" t="str">
        <f>"40701005  "</f>
        <v xml:space="preserve">40701005  </v>
      </c>
      <c r="B2782" t="s">
        <v>2729</v>
      </c>
      <c r="C2782">
        <v>0</v>
      </c>
      <c r="D2782" t="str">
        <f t="shared" si="120"/>
        <v>310</v>
      </c>
      <c r="E2782" t="str">
        <f>"88399"</f>
        <v>88399</v>
      </c>
    </row>
    <row r="2783" spans="1:5" x14ac:dyDescent="0.25">
      <c r="A2783" t="str">
        <f>"40701104  "</f>
        <v xml:space="preserve">40701104  </v>
      </c>
      <c r="B2783" t="s">
        <v>2730</v>
      </c>
      <c r="C2783">
        <v>35.200000000000003</v>
      </c>
      <c r="D2783" t="str">
        <f t="shared" si="120"/>
        <v>310</v>
      </c>
      <c r="E2783" t="str">
        <f>"88313"</f>
        <v>88313</v>
      </c>
    </row>
    <row r="2784" spans="1:5" x14ac:dyDescent="0.25">
      <c r="A2784" t="str">
        <f>"40705006  "</f>
        <v xml:space="preserve">40705006  </v>
      </c>
      <c r="B2784" t="s">
        <v>2731</v>
      </c>
      <c r="C2784">
        <v>0</v>
      </c>
      <c r="D2784" t="str">
        <f t="shared" si="120"/>
        <v>310</v>
      </c>
    </row>
    <row r="2785" spans="1:5" x14ac:dyDescent="0.25">
      <c r="A2785" t="str">
        <f>"40788160"</f>
        <v>40788160</v>
      </c>
      <c r="B2785" t="s">
        <v>2732</v>
      </c>
      <c r="C2785">
        <v>275</v>
      </c>
      <c r="D2785" t="str">
        <f t="shared" si="120"/>
        <v>310</v>
      </c>
      <c r="E2785" t="str">
        <f>"88160"</f>
        <v>88160</v>
      </c>
    </row>
    <row r="2786" spans="1:5" x14ac:dyDescent="0.25">
      <c r="A2786" t="str">
        <f>"40788304"</f>
        <v>40788304</v>
      </c>
      <c r="B2786" t="s">
        <v>2733</v>
      </c>
      <c r="C2786">
        <v>137.5</v>
      </c>
      <c r="D2786" t="str">
        <f t="shared" si="120"/>
        <v>310</v>
      </c>
      <c r="E2786" t="str">
        <f>"88304"</f>
        <v>88304</v>
      </c>
    </row>
    <row r="2787" spans="1:5" x14ac:dyDescent="0.25">
      <c r="A2787" t="str">
        <f>"40788305"</f>
        <v>40788305</v>
      </c>
      <c r="B2787" t="s">
        <v>2734</v>
      </c>
      <c r="C2787">
        <v>275</v>
      </c>
      <c r="D2787" t="str">
        <f t="shared" si="120"/>
        <v>310</v>
      </c>
      <c r="E2787" t="str">
        <f>"88305"</f>
        <v>88305</v>
      </c>
    </row>
    <row r="2788" spans="1:5" x14ac:dyDescent="0.25">
      <c r="A2788" t="str">
        <f>"40788307"</f>
        <v>40788307</v>
      </c>
      <c r="B2788" t="s">
        <v>2735</v>
      </c>
      <c r="C2788">
        <v>330</v>
      </c>
      <c r="D2788" t="str">
        <f t="shared" si="120"/>
        <v>310</v>
      </c>
      <c r="E2788" t="str">
        <f>"88307"</f>
        <v>88307</v>
      </c>
    </row>
    <row r="2789" spans="1:5" x14ac:dyDescent="0.25">
      <c r="A2789" t="str">
        <f>"40788309"</f>
        <v>40788309</v>
      </c>
      <c r="B2789" t="s">
        <v>2736</v>
      </c>
      <c r="C2789">
        <v>660</v>
      </c>
      <c r="D2789" t="str">
        <f t="shared" si="120"/>
        <v>310</v>
      </c>
      <c r="E2789" t="str">
        <f>"88309"</f>
        <v>88309</v>
      </c>
    </row>
    <row r="2790" spans="1:5" x14ac:dyDescent="0.25">
      <c r="A2790" t="str">
        <f>"40788311"</f>
        <v>40788311</v>
      </c>
      <c r="B2790" t="s">
        <v>2737</v>
      </c>
      <c r="C2790">
        <v>110</v>
      </c>
      <c r="D2790" t="str">
        <f t="shared" si="120"/>
        <v>310</v>
      </c>
      <c r="E2790" t="str">
        <f>"88311"</f>
        <v>88311</v>
      </c>
    </row>
    <row r="2791" spans="1:5" x14ac:dyDescent="0.25">
      <c r="A2791" t="str">
        <f>"40800153  "</f>
        <v xml:space="preserve">40800153  </v>
      </c>
      <c r="B2791" t="s">
        <v>2738</v>
      </c>
      <c r="C2791">
        <v>103.4</v>
      </c>
      <c r="D2791" t="str">
        <f>"460"</f>
        <v>460</v>
      </c>
      <c r="E2791" t="str">
        <f>"94010"</f>
        <v>94010</v>
      </c>
    </row>
    <row r="2792" spans="1:5" x14ac:dyDescent="0.25">
      <c r="A2792" t="str">
        <f>"40800203  "</f>
        <v xml:space="preserve">40800203  </v>
      </c>
      <c r="B2792" t="s">
        <v>2739</v>
      </c>
      <c r="C2792">
        <v>190.3</v>
      </c>
      <c r="D2792" t="str">
        <f>"300"</f>
        <v>300</v>
      </c>
      <c r="E2792" t="str">
        <f>"82805"</f>
        <v>82805</v>
      </c>
    </row>
    <row r="2793" spans="1:5" x14ac:dyDescent="0.25">
      <c r="A2793" t="str">
        <f>"40800302  "</f>
        <v xml:space="preserve">40800302  </v>
      </c>
      <c r="B2793" t="s">
        <v>2740</v>
      </c>
      <c r="C2793">
        <v>47.3</v>
      </c>
      <c r="D2793" t="str">
        <f>"460"</f>
        <v>460</v>
      </c>
      <c r="E2793" t="str">
        <f>"94762"</f>
        <v>94762</v>
      </c>
    </row>
    <row r="2794" spans="1:5" x14ac:dyDescent="0.25">
      <c r="A2794" t="str">
        <f>"40800401  "</f>
        <v xml:space="preserve">40800401  </v>
      </c>
      <c r="B2794" t="s">
        <v>2740</v>
      </c>
      <c r="C2794">
        <v>15.4</v>
      </c>
      <c r="D2794" t="str">
        <f>"460"</f>
        <v>460</v>
      </c>
      <c r="E2794" t="str">
        <f>"94762"</f>
        <v>94762</v>
      </c>
    </row>
    <row r="2795" spans="1:5" x14ac:dyDescent="0.25">
      <c r="A2795" t="str">
        <f>"40800419  "</f>
        <v xml:space="preserve">40800419  </v>
      </c>
      <c r="B2795" t="s">
        <v>2741</v>
      </c>
      <c r="C2795">
        <v>83.6</v>
      </c>
      <c r="D2795" t="str">
        <f>"489"</f>
        <v>489</v>
      </c>
    </row>
    <row r="2796" spans="1:5" x14ac:dyDescent="0.25">
      <c r="A2796" t="str">
        <f>"40800906  "</f>
        <v xml:space="preserve">40800906  </v>
      </c>
      <c r="B2796" t="s">
        <v>2742</v>
      </c>
      <c r="C2796">
        <v>180.4</v>
      </c>
      <c r="D2796" t="str">
        <f>"460"</f>
        <v>460</v>
      </c>
      <c r="E2796" t="str">
        <f>"94060"</f>
        <v>94060</v>
      </c>
    </row>
    <row r="2797" spans="1:5" x14ac:dyDescent="0.25">
      <c r="A2797" t="str">
        <f>"40801003  "</f>
        <v xml:space="preserve">40801003  </v>
      </c>
      <c r="B2797" t="s">
        <v>2743</v>
      </c>
      <c r="C2797">
        <v>13.2</v>
      </c>
      <c r="D2797" t="str">
        <f>"460"</f>
        <v>460</v>
      </c>
      <c r="E2797" t="str">
        <f>"94250"</f>
        <v>94250</v>
      </c>
    </row>
    <row r="2798" spans="1:5" x14ac:dyDescent="0.25">
      <c r="A2798" t="str">
        <f>"40801201  "</f>
        <v xml:space="preserve">40801201  </v>
      </c>
      <c r="B2798" t="s">
        <v>2744</v>
      </c>
      <c r="C2798">
        <v>22</v>
      </c>
      <c r="D2798" t="str">
        <f>"301"</f>
        <v>301</v>
      </c>
      <c r="E2798" t="str">
        <f>"82805"</f>
        <v>82805</v>
      </c>
    </row>
    <row r="2799" spans="1:5" x14ac:dyDescent="0.25">
      <c r="A2799" t="str">
        <f>"41000100  "</f>
        <v xml:space="preserve">41000100  </v>
      </c>
      <c r="B2799" t="s">
        <v>2745</v>
      </c>
      <c r="C2799">
        <v>62.7</v>
      </c>
      <c r="D2799" t="str">
        <f t="shared" ref="D2799:D2821" si="121">"390"</f>
        <v>390</v>
      </c>
      <c r="E2799" t="str">
        <f>"86999"</f>
        <v>86999</v>
      </c>
    </row>
    <row r="2800" spans="1:5" x14ac:dyDescent="0.25">
      <c r="A2800" t="str">
        <f>"41000407  "</f>
        <v xml:space="preserve">41000407  </v>
      </c>
      <c r="B2800" t="s">
        <v>2746</v>
      </c>
      <c r="C2800">
        <v>66</v>
      </c>
      <c r="D2800" t="str">
        <f t="shared" si="121"/>
        <v>390</v>
      </c>
      <c r="E2800" t="str">
        <f>"86999"</f>
        <v>86999</v>
      </c>
    </row>
    <row r="2801" spans="1:5" x14ac:dyDescent="0.25">
      <c r="A2801" t="str">
        <f>"41000563  "</f>
        <v xml:space="preserve">41000563  </v>
      </c>
      <c r="B2801" t="s">
        <v>2747</v>
      </c>
      <c r="C2801">
        <v>192.5</v>
      </c>
      <c r="D2801" t="str">
        <f t="shared" si="121"/>
        <v>390</v>
      </c>
      <c r="E2801" t="str">
        <f>"86999"</f>
        <v>86999</v>
      </c>
    </row>
    <row r="2802" spans="1:5" x14ac:dyDescent="0.25">
      <c r="A2802" t="str">
        <f>"41000605  "</f>
        <v xml:space="preserve">41000605  </v>
      </c>
      <c r="B2802" t="s">
        <v>2542</v>
      </c>
      <c r="C2802">
        <v>631.4</v>
      </c>
      <c r="D2802" t="str">
        <f t="shared" si="121"/>
        <v>390</v>
      </c>
      <c r="E2802" t="str">
        <f>"86999"</f>
        <v>86999</v>
      </c>
    </row>
    <row r="2803" spans="1:5" x14ac:dyDescent="0.25">
      <c r="A2803" t="str">
        <f>"41000803  "</f>
        <v xml:space="preserve">41000803  </v>
      </c>
      <c r="B2803" t="s">
        <v>2748</v>
      </c>
      <c r="C2803">
        <v>110</v>
      </c>
      <c r="D2803" t="str">
        <f t="shared" si="121"/>
        <v>390</v>
      </c>
      <c r="E2803" t="str">
        <f>"86999"</f>
        <v>86999</v>
      </c>
    </row>
    <row r="2804" spans="1:5" x14ac:dyDescent="0.25">
      <c r="A2804" t="str">
        <f>"41000829  "</f>
        <v xml:space="preserve">41000829  </v>
      </c>
      <c r="B2804" t="s">
        <v>2749</v>
      </c>
      <c r="C2804">
        <v>25.3</v>
      </c>
      <c r="D2804" t="str">
        <f t="shared" si="121"/>
        <v>390</v>
      </c>
    </row>
    <row r="2805" spans="1:5" x14ac:dyDescent="0.25">
      <c r="A2805" t="str">
        <f>"41001009  "</f>
        <v xml:space="preserve">41001009  </v>
      </c>
      <c r="B2805" t="s">
        <v>2750</v>
      </c>
      <c r="C2805">
        <v>22</v>
      </c>
      <c r="D2805" t="str">
        <f t="shared" si="121"/>
        <v>390</v>
      </c>
      <c r="E2805" t="str">
        <f>"86999"</f>
        <v>86999</v>
      </c>
    </row>
    <row r="2806" spans="1:5" x14ac:dyDescent="0.25">
      <c r="A2806" t="str">
        <f>"41001157  "</f>
        <v xml:space="preserve">41001157  </v>
      </c>
      <c r="B2806" t="s">
        <v>2751</v>
      </c>
      <c r="C2806">
        <v>22</v>
      </c>
      <c r="D2806" t="str">
        <f t="shared" si="121"/>
        <v>390</v>
      </c>
      <c r="E2806" t="str">
        <f>"86999"</f>
        <v>86999</v>
      </c>
    </row>
    <row r="2807" spans="1:5" x14ac:dyDescent="0.25">
      <c r="A2807" t="str">
        <f>"41001405  "</f>
        <v xml:space="preserve">41001405  </v>
      </c>
      <c r="B2807" t="s">
        <v>2752</v>
      </c>
      <c r="C2807">
        <v>33</v>
      </c>
      <c r="D2807" t="str">
        <f t="shared" si="121"/>
        <v>390</v>
      </c>
      <c r="E2807" t="str">
        <f>"86931"</f>
        <v>86931</v>
      </c>
    </row>
    <row r="2808" spans="1:5" x14ac:dyDescent="0.25">
      <c r="A2808" t="str">
        <f>"41001454  "</f>
        <v xml:space="preserve">41001454  </v>
      </c>
      <c r="B2808" t="s">
        <v>2753</v>
      </c>
      <c r="C2808">
        <v>550</v>
      </c>
      <c r="D2808" t="str">
        <f t="shared" si="121"/>
        <v>390</v>
      </c>
      <c r="E2808" t="str">
        <f>"36430"</f>
        <v>36430</v>
      </c>
    </row>
    <row r="2809" spans="1:5" x14ac:dyDescent="0.25">
      <c r="A2809" t="str">
        <f>"41001504  "</f>
        <v xml:space="preserve">41001504  </v>
      </c>
      <c r="B2809" t="s">
        <v>2754</v>
      </c>
      <c r="C2809">
        <v>497.2</v>
      </c>
      <c r="D2809" t="str">
        <f t="shared" si="121"/>
        <v>390</v>
      </c>
    </row>
    <row r="2810" spans="1:5" x14ac:dyDescent="0.25">
      <c r="A2810" t="str">
        <f>"41001603  "</f>
        <v xml:space="preserve">41001603  </v>
      </c>
      <c r="B2810" t="s">
        <v>2755</v>
      </c>
      <c r="C2810">
        <v>466.4</v>
      </c>
      <c r="D2810" t="str">
        <f t="shared" si="121"/>
        <v>390</v>
      </c>
      <c r="E2810" t="str">
        <f>"86890"</f>
        <v>86890</v>
      </c>
    </row>
    <row r="2811" spans="1:5" x14ac:dyDescent="0.25">
      <c r="A2811" t="str">
        <f>"41005000  "</f>
        <v xml:space="preserve">41005000  </v>
      </c>
      <c r="B2811" t="s">
        <v>2756</v>
      </c>
      <c r="C2811">
        <v>310.2</v>
      </c>
      <c r="D2811" t="str">
        <f t="shared" si="121"/>
        <v>390</v>
      </c>
      <c r="E2811" t="str">
        <f>"86902"</f>
        <v>86902</v>
      </c>
    </row>
    <row r="2812" spans="1:5" x14ac:dyDescent="0.25">
      <c r="A2812" t="str">
        <f>"41007006  "</f>
        <v xml:space="preserve">41007006  </v>
      </c>
      <c r="B2812" t="s">
        <v>2757</v>
      </c>
      <c r="C2812">
        <v>82.5</v>
      </c>
      <c r="D2812" t="str">
        <f t="shared" si="121"/>
        <v>390</v>
      </c>
      <c r="E2812" t="str">
        <f>"86999"</f>
        <v>86999</v>
      </c>
    </row>
    <row r="2813" spans="1:5" x14ac:dyDescent="0.25">
      <c r="A2813" t="str">
        <f>"41030008  "</f>
        <v xml:space="preserve">41030008  </v>
      </c>
      <c r="B2813" t="s">
        <v>2758</v>
      </c>
      <c r="C2813">
        <v>484</v>
      </c>
      <c r="D2813" t="str">
        <f t="shared" si="121"/>
        <v>390</v>
      </c>
    </row>
    <row r="2814" spans="1:5" x14ac:dyDescent="0.25">
      <c r="A2814" t="str">
        <f>"41030016  "</f>
        <v xml:space="preserve">41030016  </v>
      </c>
      <c r="B2814" t="s">
        <v>2759</v>
      </c>
      <c r="C2814">
        <v>222.2</v>
      </c>
      <c r="D2814" t="str">
        <f t="shared" si="121"/>
        <v>390</v>
      </c>
      <c r="E2814" t="str">
        <f>"86999"</f>
        <v>86999</v>
      </c>
    </row>
    <row r="2815" spans="1:5" x14ac:dyDescent="0.25">
      <c r="A2815" t="str">
        <f>"41030017"</f>
        <v>41030017</v>
      </c>
      <c r="B2815" t="s">
        <v>2760</v>
      </c>
      <c r="C2815">
        <v>111.1</v>
      </c>
      <c r="D2815" t="str">
        <f t="shared" si="121"/>
        <v>390</v>
      </c>
      <c r="E2815" t="str">
        <f>"86978"</f>
        <v>86978</v>
      </c>
    </row>
    <row r="2816" spans="1:5" x14ac:dyDescent="0.25">
      <c r="A2816" t="str">
        <f>"41030018"</f>
        <v>41030018</v>
      </c>
      <c r="B2816" t="s">
        <v>2761</v>
      </c>
      <c r="C2816">
        <v>48.4</v>
      </c>
      <c r="D2816" t="str">
        <f t="shared" si="121"/>
        <v>390</v>
      </c>
      <c r="E2816" t="str">
        <f>"86900"</f>
        <v>86900</v>
      </c>
    </row>
    <row r="2817" spans="1:5" x14ac:dyDescent="0.25">
      <c r="A2817" t="str">
        <f>"41030019"</f>
        <v>41030019</v>
      </c>
      <c r="B2817" t="s">
        <v>2762</v>
      </c>
      <c r="C2817">
        <v>92.4</v>
      </c>
      <c r="D2817" t="str">
        <f t="shared" si="121"/>
        <v>390</v>
      </c>
      <c r="E2817" t="str">
        <f>"86870"</f>
        <v>86870</v>
      </c>
    </row>
    <row r="2818" spans="1:5" x14ac:dyDescent="0.25">
      <c r="A2818" t="str">
        <f>"41030020"</f>
        <v>41030020</v>
      </c>
      <c r="B2818" t="s">
        <v>2763</v>
      </c>
      <c r="C2818">
        <v>51.7</v>
      </c>
      <c r="D2818" t="str">
        <f t="shared" si="121"/>
        <v>390</v>
      </c>
      <c r="E2818" t="str">
        <f>"86850"</f>
        <v>86850</v>
      </c>
    </row>
    <row r="2819" spans="1:5" x14ac:dyDescent="0.25">
      <c r="A2819" t="str">
        <f>"41030021"</f>
        <v>41030021</v>
      </c>
      <c r="B2819" t="s">
        <v>2764</v>
      </c>
      <c r="C2819">
        <v>81.400000000000006</v>
      </c>
      <c r="D2819" t="str">
        <f t="shared" si="121"/>
        <v>390</v>
      </c>
      <c r="E2819" t="str">
        <f>"86999"</f>
        <v>86999</v>
      </c>
    </row>
    <row r="2820" spans="1:5" x14ac:dyDescent="0.25">
      <c r="A2820" t="str">
        <f>"41030022"</f>
        <v>41030022</v>
      </c>
      <c r="B2820" t="s">
        <v>2765</v>
      </c>
      <c r="C2820">
        <v>68.2</v>
      </c>
      <c r="D2820" t="str">
        <f t="shared" si="121"/>
        <v>390</v>
      </c>
      <c r="E2820" t="str">
        <f>"86999"</f>
        <v>86999</v>
      </c>
    </row>
    <row r="2821" spans="1:5" x14ac:dyDescent="0.25">
      <c r="A2821" t="str">
        <f>"41030024  "</f>
        <v xml:space="preserve">41030024  </v>
      </c>
      <c r="B2821" t="s">
        <v>2766</v>
      </c>
      <c r="C2821">
        <v>277.2</v>
      </c>
      <c r="D2821" t="str">
        <f t="shared" si="121"/>
        <v>390</v>
      </c>
    </row>
    <row r="2822" spans="1:5" x14ac:dyDescent="0.25">
      <c r="A2822" t="str">
        <f>"41100017  "</f>
        <v xml:space="preserve">41100017  </v>
      </c>
      <c r="B2822" t="s">
        <v>2767</v>
      </c>
      <c r="C2822">
        <v>192.5</v>
      </c>
      <c r="D2822" t="str">
        <f>"730"</f>
        <v>730</v>
      </c>
      <c r="E2822" t="str">
        <f>"93005"</f>
        <v>93005</v>
      </c>
    </row>
    <row r="2823" spans="1:5" x14ac:dyDescent="0.25">
      <c r="A2823" t="str">
        <f>"41100033  "</f>
        <v xml:space="preserve">41100033  </v>
      </c>
      <c r="B2823" t="s">
        <v>2768</v>
      </c>
      <c r="C2823">
        <v>619.29999999999995</v>
      </c>
      <c r="D2823" t="str">
        <f>"480"</f>
        <v>480</v>
      </c>
      <c r="E2823" t="str">
        <f>"93320"</f>
        <v>93320</v>
      </c>
    </row>
    <row r="2824" spans="1:5" x14ac:dyDescent="0.25">
      <c r="A2824" t="str">
        <f>"41100108  "</f>
        <v xml:space="preserve">41100108  </v>
      </c>
      <c r="B2824" t="s">
        <v>2769</v>
      </c>
      <c r="C2824">
        <v>492.8</v>
      </c>
      <c r="D2824" t="str">
        <f>"731"</f>
        <v>731</v>
      </c>
      <c r="E2824" t="str">
        <f>"93225"</f>
        <v>93225</v>
      </c>
    </row>
    <row r="2825" spans="1:5" x14ac:dyDescent="0.25">
      <c r="A2825" t="str">
        <f>"41100157  "</f>
        <v xml:space="preserve">41100157  </v>
      </c>
      <c r="B2825" t="s">
        <v>2770</v>
      </c>
      <c r="C2825">
        <v>579.70000000000005</v>
      </c>
      <c r="D2825" t="str">
        <f>"731"</f>
        <v>731</v>
      </c>
      <c r="E2825" t="str">
        <f>"93224"</f>
        <v>93224</v>
      </c>
    </row>
    <row r="2826" spans="1:5" x14ac:dyDescent="0.25">
      <c r="A2826" t="str">
        <f>"41100306  "</f>
        <v xml:space="preserve">41100306  </v>
      </c>
      <c r="B2826" t="s">
        <v>2771</v>
      </c>
      <c r="C2826">
        <v>42.9</v>
      </c>
      <c r="D2826" t="str">
        <f>"480"</f>
        <v>480</v>
      </c>
      <c r="E2826" t="str">
        <f>"93040"</f>
        <v>93040</v>
      </c>
    </row>
    <row r="2827" spans="1:5" x14ac:dyDescent="0.25">
      <c r="A2827" t="str">
        <f>"41100421  "</f>
        <v xml:space="preserve">41100421  </v>
      </c>
      <c r="B2827" t="s">
        <v>2772</v>
      </c>
      <c r="C2827">
        <v>173.8</v>
      </c>
      <c r="D2827" t="str">
        <f>"489"</f>
        <v>489</v>
      </c>
    </row>
    <row r="2828" spans="1:5" x14ac:dyDescent="0.25">
      <c r="A2828" t="str">
        <f>"41101056  "</f>
        <v xml:space="preserve">41101056  </v>
      </c>
      <c r="B2828" t="s">
        <v>2773</v>
      </c>
      <c r="C2828">
        <v>292.60000000000002</v>
      </c>
      <c r="D2828" t="str">
        <f>"480"</f>
        <v>480</v>
      </c>
      <c r="E2828" t="str">
        <f>"93325"</f>
        <v>93325</v>
      </c>
    </row>
    <row r="2829" spans="1:5" x14ac:dyDescent="0.25">
      <c r="A2829" t="str">
        <f>"41200007  "</f>
        <v xml:space="preserve">41200007  </v>
      </c>
      <c r="B2829" t="s">
        <v>2774</v>
      </c>
      <c r="C2829">
        <v>0</v>
      </c>
      <c r="D2829" t="str">
        <f t="shared" ref="D2829:D2840" si="122">"920"</f>
        <v>920</v>
      </c>
    </row>
    <row r="2830" spans="1:5" x14ac:dyDescent="0.25">
      <c r="A2830" t="str">
        <f>"41200049  "</f>
        <v xml:space="preserve">41200049  </v>
      </c>
      <c r="B2830" t="s">
        <v>2775</v>
      </c>
      <c r="C2830">
        <v>244.2</v>
      </c>
      <c r="D2830" t="str">
        <f t="shared" si="122"/>
        <v>920</v>
      </c>
    </row>
    <row r="2831" spans="1:5" x14ac:dyDescent="0.25">
      <c r="A2831" t="str">
        <f>"41200064  "</f>
        <v xml:space="preserve">41200064  </v>
      </c>
      <c r="B2831" t="s">
        <v>2776</v>
      </c>
      <c r="C2831">
        <v>379.5</v>
      </c>
      <c r="D2831" t="str">
        <f t="shared" si="122"/>
        <v>920</v>
      </c>
    </row>
    <row r="2832" spans="1:5" x14ac:dyDescent="0.25">
      <c r="A2832" t="str">
        <f>"41200072  "</f>
        <v xml:space="preserve">41200072  </v>
      </c>
      <c r="B2832" t="s">
        <v>2777</v>
      </c>
      <c r="C2832">
        <v>522.5</v>
      </c>
      <c r="D2832" t="str">
        <f t="shared" si="122"/>
        <v>920</v>
      </c>
    </row>
    <row r="2833" spans="1:5" x14ac:dyDescent="0.25">
      <c r="A2833" t="str">
        <f>"41200080  "</f>
        <v xml:space="preserve">41200080  </v>
      </c>
      <c r="B2833" t="s">
        <v>2778</v>
      </c>
      <c r="C2833">
        <v>613.79999999999995</v>
      </c>
      <c r="D2833" t="str">
        <f t="shared" si="122"/>
        <v>920</v>
      </c>
    </row>
    <row r="2834" spans="1:5" x14ac:dyDescent="0.25">
      <c r="A2834" t="str">
        <f>"41200098  "</f>
        <v xml:space="preserve">41200098  </v>
      </c>
      <c r="B2834" t="s">
        <v>2779</v>
      </c>
      <c r="C2834">
        <v>100.1</v>
      </c>
      <c r="D2834" t="str">
        <f t="shared" si="122"/>
        <v>920</v>
      </c>
    </row>
    <row r="2835" spans="1:5" x14ac:dyDescent="0.25">
      <c r="A2835" t="str">
        <f>"41200106  "</f>
        <v xml:space="preserve">41200106  </v>
      </c>
      <c r="B2835" t="s">
        <v>2780</v>
      </c>
      <c r="C2835">
        <v>0</v>
      </c>
      <c r="D2835" t="str">
        <f t="shared" si="122"/>
        <v>920</v>
      </c>
    </row>
    <row r="2836" spans="1:5" x14ac:dyDescent="0.25">
      <c r="A2836" t="str">
        <f>"41200114  "</f>
        <v xml:space="preserve">41200114  </v>
      </c>
      <c r="B2836" t="s">
        <v>2781</v>
      </c>
      <c r="C2836">
        <v>216.7</v>
      </c>
      <c r="D2836" t="str">
        <f t="shared" si="122"/>
        <v>920</v>
      </c>
    </row>
    <row r="2837" spans="1:5" x14ac:dyDescent="0.25">
      <c r="A2837" t="str">
        <f>"41200122  "</f>
        <v xml:space="preserve">41200122  </v>
      </c>
      <c r="B2837" t="s">
        <v>2782</v>
      </c>
      <c r="C2837">
        <v>297</v>
      </c>
      <c r="D2837" t="str">
        <f t="shared" si="122"/>
        <v>920</v>
      </c>
    </row>
    <row r="2838" spans="1:5" x14ac:dyDescent="0.25">
      <c r="A2838" t="str">
        <f>"41200130  "</f>
        <v xml:space="preserve">41200130  </v>
      </c>
      <c r="B2838" t="s">
        <v>2783</v>
      </c>
      <c r="C2838">
        <v>408.1</v>
      </c>
      <c r="D2838" t="str">
        <f t="shared" si="122"/>
        <v>920</v>
      </c>
    </row>
    <row r="2839" spans="1:5" x14ac:dyDescent="0.25">
      <c r="A2839" t="str">
        <f>"41200148  "</f>
        <v xml:space="preserve">41200148  </v>
      </c>
      <c r="B2839" t="s">
        <v>2784</v>
      </c>
      <c r="C2839">
        <v>803</v>
      </c>
      <c r="D2839" t="str">
        <f t="shared" si="122"/>
        <v>920</v>
      </c>
    </row>
    <row r="2840" spans="1:5" x14ac:dyDescent="0.25">
      <c r="A2840" t="str">
        <f>"41205006  "</f>
        <v xml:space="preserve">41205006  </v>
      </c>
      <c r="B2840" t="s">
        <v>2785</v>
      </c>
      <c r="C2840">
        <v>0</v>
      </c>
      <c r="D2840" t="str">
        <f t="shared" si="122"/>
        <v>920</v>
      </c>
    </row>
    <row r="2841" spans="1:5" x14ac:dyDescent="0.25">
      <c r="A2841" t="str">
        <f>"41300054  "</f>
        <v xml:space="preserve">41300054  </v>
      </c>
      <c r="B2841" t="s">
        <v>1</v>
      </c>
      <c r="C2841">
        <v>27.5</v>
      </c>
      <c r="D2841" t="str">
        <f>"740"</f>
        <v>740</v>
      </c>
    </row>
    <row r="2842" spans="1:5" x14ac:dyDescent="0.25">
      <c r="A2842" t="str">
        <f>"41300153  "</f>
        <v xml:space="preserve">41300153  </v>
      </c>
      <c r="B2842" t="s">
        <v>2786</v>
      </c>
      <c r="C2842">
        <v>550</v>
      </c>
      <c r="D2842" t="str">
        <f>"740"</f>
        <v>740</v>
      </c>
      <c r="E2842" t="str">
        <f>"95812"</f>
        <v>95812</v>
      </c>
    </row>
    <row r="2843" spans="1:5" x14ac:dyDescent="0.25">
      <c r="A2843" t="str">
        <f>"41300161  "</f>
        <v xml:space="preserve">41300161  </v>
      </c>
      <c r="B2843" t="s">
        <v>2787</v>
      </c>
      <c r="C2843">
        <v>748</v>
      </c>
      <c r="D2843" t="str">
        <f>"740"</f>
        <v>740</v>
      </c>
      <c r="E2843" t="str">
        <f>"95816"</f>
        <v>95816</v>
      </c>
    </row>
    <row r="2844" spans="1:5" x14ac:dyDescent="0.25">
      <c r="A2844" t="str">
        <f>"41301490  "</f>
        <v xml:space="preserve">41301490  </v>
      </c>
      <c r="B2844" t="s">
        <v>2788</v>
      </c>
      <c r="C2844">
        <v>240.9</v>
      </c>
      <c r="D2844" t="str">
        <f>"740"</f>
        <v>740</v>
      </c>
    </row>
    <row r="2845" spans="1:5" x14ac:dyDescent="0.25">
      <c r="A2845" t="str">
        <f>"41301516  "</f>
        <v xml:space="preserve">41301516  </v>
      </c>
      <c r="B2845" t="s">
        <v>2789</v>
      </c>
      <c r="C2845">
        <v>444.4</v>
      </c>
      <c r="D2845" t="str">
        <f>"740"</f>
        <v>740</v>
      </c>
    </row>
    <row r="2846" spans="1:5" x14ac:dyDescent="0.25">
      <c r="A2846" t="str">
        <f>"41400557  "</f>
        <v xml:space="preserve">41400557  </v>
      </c>
      <c r="B2846" t="s">
        <v>2790</v>
      </c>
      <c r="C2846">
        <v>224.4</v>
      </c>
      <c r="D2846" t="str">
        <f t="shared" ref="D2846:D2853" si="123">"320"</f>
        <v>320</v>
      </c>
      <c r="E2846" t="str">
        <f>"74022"</f>
        <v>74022</v>
      </c>
    </row>
    <row r="2847" spans="1:5" x14ac:dyDescent="0.25">
      <c r="A2847" t="str">
        <f>"41400607  "</f>
        <v xml:space="preserve">41400607  </v>
      </c>
      <c r="B2847" t="s">
        <v>2791</v>
      </c>
      <c r="C2847">
        <v>147.4</v>
      </c>
      <c r="D2847" t="str">
        <f t="shared" si="123"/>
        <v>320</v>
      </c>
      <c r="E2847" t="str">
        <f>"74018"</f>
        <v>74018</v>
      </c>
    </row>
    <row r="2848" spans="1:5" x14ac:dyDescent="0.25">
      <c r="A2848" t="str">
        <f>"41400656  "</f>
        <v xml:space="preserve">41400656  </v>
      </c>
      <c r="B2848" t="s">
        <v>2792</v>
      </c>
      <c r="C2848">
        <v>191.4</v>
      </c>
      <c r="D2848" t="str">
        <f t="shared" si="123"/>
        <v>320</v>
      </c>
      <c r="E2848" t="str">
        <f>"74019"</f>
        <v>74019</v>
      </c>
    </row>
    <row r="2849" spans="1:5" x14ac:dyDescent="0.25">
      <c r="A2849" t="str">
        <f>"41400706  "</f>
        <v xml:space="preserve">41400706  </v>
      </c>
      <c r="B2849" t="s">
        <v>2793</v>
      </c>
      <c r="C2849">
        <v>184.8</v>
      </c>
      <c r="D2849" t="str">
        <f t="shared" si="123"/>
        <v>320</v>
      </c>
      <c r="E2849" t="str">
        <f>"73050"</f>
        <v>73050</v>
      </c>
    </row>
    <row r="2850" spans="1:5" x14ac:dyDescent="0.25">
      <c r="A2850" t="str">
        <f>"41400904  "</f>
        <v xml:space="preserve">41400904  </v>
      </c>
      <c r="B2850" t="s">
        <v>2794</v>
      </c>
      <c r="C2850">
        <v>147.4</v>
      </c>
      <c r="D2850" t="str">
        <f t="shared" si="123"/>
        <v>320</v>
      </c>
      <c r="E2850" t="str">
        <f>"73610"</f>
        <v>73610</v>
      </c>
    </row>
    <row r="2851" spans="1:5" x14ac:dyDescent="0.25">
      <c r="A2851" t="str">
        <f>"41400953  "</f>
        <v xml:space="preserve">41400953  </v>
      </c>
      <c r="B2851" t="s">
        <v>2795</v>
      </c>
      <c r="C2851">
        <v>136.4</v>
      </c>
      <c r="D2851" t="str">
        <f t="shared" si="123"/>
        <v>320</v>
      </c>
      <c r="E2851" t="str">
        <f>"73600"</f>
        <v>73600</v>
      </c>
    </row>
    <row r="2852" spans="1:5" x14ac:dyDescent="0.25">
      <c r="A2852" t="str">
        <f>"41401357  "</f>
        <v xml:space="preserve">41401357  </v>
      </c>
      <c r="B2852" t="s">
        <v>2796</v>
      </c>
      <c r="C2852">
        <v>186.01</v>
      </c>
      <c r="D2852" t="str">
        <f t="shared" si="123"/>
        <v>320</v>
      </c>
      <c r="E2852" t="str">
        <f>"77072"</f>
        <v>77072</v>
      </c>
    </row>
    <row r="2853" spans="1:5" x14ac:dyDescent="0.25">
      <c r="A2853" t="str">
        <f>"41401456  "</f>
        <v xml:space="preserve">41401456  </v>
      </c>
      <c r="B2853" t="s">
        <v>2797</v>
      </c>
      <c r="C2853">
        <v>382.36</v>
      </c>
      <c r="D2853" t="str">
        <f t="shared" si="123"/>
        <v>320</v>
      </c>
      <c r="E2853" t="str">
        <f>"77074"</f>
        <v>77074</v>
      </c>
    </row>
    <row r="2854" spans="1:5" x14ac:dyDescent="0.25">
      <c r="A2854" t="str">
        <f>"41401530  "</f>
        <v xml:space="preserve">41401530  </v>
      </c>
      <c r="B2854" t="s">
        <v>2798</v>
      </c>
      <c r="C2854" s="1">
        <v>1924.23</v>
      </c>
      <c r="D2854" t="str">
        <f>"611"</f>
        <v>611</v>
      </c>
      <c r="E2854" t="str">
        <f>"70552"</f>
        <v>70552</v>
      </c>
    </row>
    <row r="2855" spans="1:5" x14ac:dyDescent="0.25">
      <c r="A2855" t="str">
        <f>"41401951  "</f>
        <v xml:space="preserve">41401951  </v>
      </c>
      <c r="B2855" t="s">
        <v>2799</v>
      </c>
      <c r="C2855">
        <v>137.5</v>
      </c>
      <c r="D2855" t="str">
        <f>"324"</f>
        <v>324</v>
      </c>
      <c r="E2855" t="str">
        <f>"71045"</f>
        <v>71045</v>
      </c>
    </row>
    <row r="2856" spans="1:5" x14ac:dyDescent="0.25">
      <c r="A2856" t="str">
        <f>"41402009  "</f>
        <v xml:space="preserve">41402009  </v>
      </c>
      <c r="B2856" t="s">
        <v>2800</v>
      </c>
      <c r="C2856">
        <v>178.2</v>
      </c>
      <c r="D2856" t="str">
        <f>"324"</f>
        <v>324</v>
      </c>
      <c r="E2856" t="str">
        <f>"71046"</f>
        <v>71046</v>
      </c>
    </row>
    <row r="2857" spans="1:5" x14ac:dyDescent="0.25">
      <c r="A2857" t="str">
        <f>"41402058  "</f>
        <v xml:space="preserve">41402058  </v>
      </c>
      <c r="B2857" t="s">
        <v>2801</v>
      </c>
      <c r="C2857">
        <v>213.4</v>
      </c>
      <c r="D2857" t="str">
        <f t="shared" ref="D2857:D2889" si="124">"320"</f>
        <v>320</v>
      </c>
      <c r="E2857" t="str">
        <f>"71047"</f>
        <v>71047</v>
      </c>
    </row>
    <row r="2858" spans="1:5" x14ac:dyDescent="0.25">
      <c r="A2858" t="str">
        <f>"41402108  "</f>
        <v xml:space="preserve">41402108  </v>
      </c>
      <c r="B2858" t="s">
        <v>2802</v>
      </c>
      <c r="C2858">
        <v>232.1</v>
      </c>
      <c r="D2858" t="str">
        <f t="shared" si="124"/>
        <v>320</v>
      </c>
      <c r="E2858" t="str">
        <f>"71048"</f>
        <v>71048</v>
      </c>
    </row>
    <row r="2859" spans="1:5" x14ac:dyDescent="0.25">
      <c r="A2859" t="str">
        <f>"41402256  "</f>
        <v xml:space="preserve">41402256  </v>
      </c>
      <c r="B2859" t="s">
        <v>2803</v>
      </c>
      <c r="C2859">
        <v>302.5</v>
      </c>
      <c r="D2859" t="str">
        <f t="shared" si="124"/>
        <v>320</v>
      </c>
      <c r="E2859" t="str">
        <f>"74300"</f>
        <v>74300</v>
      </c>
    </row>
    <row r="2860" spans="1:5" x14ac:dyDescent="0.25">
      <c r="A2860" t="str">
        <f>"41402306  "</f>
        <v xml:space="preserve">41402306  </v>
      </c>
      <c r="B2860" t="s">
        <v>2804</v>
      </c>
      <c r="C2860">
        <v>288.2</v>
      </c>
      <c r="D2860" t="str">
        <f t="shared" si="124"/>
        <v>320</v>
      </c>
      <c r="E2860" t="str">
        <f>"74300"</f>
        <v>74300</v>
      </c>
    </row>
    <row r="2861" spans="1:5" x14ac:dyDescent="0.25">
      <c r="A2861" t="str">
        <f>"41402553  "</f>
        <v xml:space="preserve">41402553  </v>
      </c>
      <c r="B2861" t="s">
        <v>2805</v>
      </c>
      <c r="C2861">
        <v>159.38999999999999</v>
      </c>
      <c r="D2861" t="str">
        <f t="shared" si="124"/>
        <v>320</v>
      </c>
      <c r="E2861" t="str">
        <f>"73000"</f>
        <v>73000</v>
      </c>
    </row>
    <row r="2862" spans="1:5" x14ac:dyDescent="0.25">
      <c r="A2862" t="str">
        <f>"41402850  "</f>
        <v xml:space="preserve">41402850  </v>
      </c>
      <c r="B2862" t="s">
        <v>2806</v>
      </c>
      <c r="C2862">
        <v>16.5</v>
      </c>
      <c r="D2862" t="str">
        <f t="shared" si="124"/>
        <v>320</v>
      </c>
      <c r="E2862" t="str">
        <f>"76499"</f>
        <v>76499</v>
      </c>
    </row>
    <row r="2863" spans="1:5" x14ac:dyDescent="0.25">
      <c r="A2863" t="str">
        <f>"41403007  "</f>
        <v xml:space="preserve">41403007  </v>
      </c>
      <c r="B2863" t="s">
        <v>2807</v>
      </c>
      <c r="C2863">
        <v>158.4</v>
      </c>
      <c r="D2863" t="str">
        <f t="shared" si="124"/>
        <v>320</v>
      </c>
      <c r="E2863" t="str">
        <f>"73080"</f>
        <v>73080</v>
      </c>
    </row>
    <row r="2864" spans="1:5" x14ac:dyDescent="0.25">
      <c r="A2864" t="str">
        <f>"41403056  "</f>
        <v xml:space="preserve">41403056  </v>
      </c>
      <c r="B2864" t="s">
        <v>2808</v>
      </c>
      <c r="C2864">
        <v>139.69999999999999</v>
      </c>
      <c r="D2864" t="str">
        <f t="shared" si="124"/>
        <v>320</v>
      </c>
      <c r="E2864" t="str">
        <f>"73070"</f>
        <v>73070</v>
      </c>
    </row>
    <row r="2865" spans="1:5" x14ac:dyDescent="0.25">
      <c r="A2865" t="str">
        <f>"41403155  "</f>
        <v xml:space="preserve">41403155  </v>
      </c>
      <c r="B2865" t="s">
        <v>2809</v>
      </c>
      <c r="C2865">
        <v>349.8</v>
      </c>
      <c r="D2865" t="str">
        <f t="shared" si="124"/>
        <v>320</v>
      </c>
      <c r="E2865" t="str">
        <f>"74220"</f>
        <v>74220</v>
      </c>
    </row>
    <row r="2866" spans="1:5" x14ac:dyDescent="0.25">
      <c r="A2866" t="str">
        <f>"41403304  "</f>
        <v xml:space="preserve">41403304  </v>
      </c>
      <c r="B2866" t="s">
        <v>2810</v>
      </c>
      <c r="C2866">
        <v>302.5</v>
      </c>
      <c r="D2866" t="str">
        <f t="shared" si="124"/>
        <v>320</v>
      </c>
      <c r="E2866" t="str">
        <f>"76000"</f>
        <v>76000</v>
      </c>
    </row>
    <row r="2867" spans="1:5" x14ac:dyDescent="0.25">
      <c r="A2867" t="str">
        <f>"41403353  "</f>
        <v xml:space="preserve">41403353  </v>
      </c>
      <c r="B2867" t="s">
        <v>2811</v>
      </c>
      <c r="C2867">
        <v>149.05000000000001</v>
      </c>
      <c r="D2867" t="str">
        <f t="shared" si="124"/>
        <v>320</v>
      </c>
      <c r="E2867" t="str">
        <f>"76499"</f>
        <v>76499</v>
      </c>
    </row>
    <row r="2868" spans="1:5" x14ac:dyDescent="0.25">
      <c r="A2868" t="str">
        <f>"41403676  "</f>
        <v xml:space="preserve">41403676  </v>
      </c>
      <c r="B2868" t="s">
        <v>2812</v>
      </c>
      <c r="C2868">
        <v>364.1</v>
      </c>
      <c r="D2868" t="str">
        <f t="shared" si="124"/>
        <v>320</v>
      </c>
      <c r="E2868" t="str">
        <f>"75820"</f>
        <v>75820</v>
      </c>
    </row>
    <row r="2869" spans="1:5" x14ac:dyDescent="0.25">
      <c r="A2869" t="str">
        <f>"41403809  "</f>
        <v xml:space="preserve">41403809  </v>
      </c>
      <c r="B2869" t="s">
        <v>2813</v>
      </c>
      <c r="C2869">
        <v>269.17</v>
      </c>
      <c r="D2869" t="str">
        <f t="shared" si="124"/>
        <v>320</v>
      </c>
      <c r="E2869" t="str">
        <f>"70160"</f>
        <v>70160</v>
      </c>
    </row>
    <row r="2870" spans="1:5" x14ac:dyDescent="0.25">
      <c r="A2870" t="str">
        <f>"41403858  "</f>
        <v xml:space="preserve">41403858  </v>
      </c>
      <c r="B2870" t="s">
        <v>2814</v>
      </c>
      <c r="C2870">
        <v>233.31</v>
      </c>
      <c r="D2870" t="str">
        <f t="shared" si="124"/>
        <v>320</v>
      </c>
      <c r="E2870" t="str">
        <f>"70140"</f>
        <v>70140</v>
      </c>
    </row>
    <row r="2871" spans="1:5" x14ac:dyDescent="0.25">
      <c r="A2871" t="str">
        <f>"41403908  "</f>
        <v xml:space="preserve">41403908  </v>
      </c>
      <c r="B2871" t="s">
        <v>2815</v>
      </c>
      <c r="C2871">
        <v>235.62</v>
      </c>
      <c r="D2871" t="str">
        <f t="shared" si="124"/>
        <v>320</v>
      </c>
      <c r="E2871" t="str">
        <f>"70200"</f>
        <v>70200</v>
      </c>
    </row>
    <row r="2872" spans="1:5" x14ac:dyDescent="0.25">
      <c r="A2872" t="str">
        <f>"41403957  "</f>
        <v xml:space="preserve">41403957  </v>
      </c>
      <c r="B2872" t="s">
        <v>2816</v>
      </c>
      <c r="C2872">
        <v>158.4</v>
      </c>
      <c r="D2872" t="str">
        <f t="shared" si="124"/>
        <v>320</v>
      </c>
      <c r="E2872" t="str">
        <f>"73552"</f>
        <v>73552</v>
      </c>
    </row>
    <row r="2873" spans="1:5" x14ac:dyDescent="0.25">
      <c r="A2873" t="str">
        <f>"41404005  "</f>
        <v xml:space="preserve">41404005  </v>
      </c>
      <c r="B2873" t="s">
        <v>2817</v>
      </c>
      <c r="C2873">
        <v>115.5</v>
      </c>
      <c r="D2873" t="str">
        <f t="shared" si="124"/>
        <v>320</v>
      </c>
      <c r="E2873" t="str">
        <f>"73140"</f>
        <v>73140</v>
      </c>
    </row>
    <row r="2874" spans="1:5" x14ac:dyDescent="0.25">
      <c r="A2874" t="str">
        <f>"41404054  "</f>
        <v xml:space="preserve">41404054  </v>
      </c>
      <c r="B2874" t="s">
        <v>2818</v>
      </c>
      <c r="C2874">
        <v>342.1</v>
      </c>
      <c r="D2874" t="str">
        <f t="shared" si="124"/>
        <v>320</v>
      </c>
      <c r="E2874" t="str">
        <f>"76080"</f>
        <v>76080</v>
      </c>
    </row>
    <row r="2875" spans="1:5" x14ac:dyDescent="0.25">
      <c r="A2875" t="str">
        <f>"41404252  "</f>
        <v xml:space="preserve">41404252  </v>
      </c>
      <c r="B2875" t="s">
        <v>2819</v>
      </c>
      <c r="C2875">
        <v>302.5</v>
      </c>
      <c r="D2875" t="str">
        <f t="shared" si="124"/>
        <v>320</v>
      </c>
      <c r="E2875" t="str">
        <f>"76000"</f>
        <v>76000</v>
      </c>
    </row>
    <row r="2876" spans="1:5" x14ac:dyDescent="0.25">
      <c r="A2876" t="str">
        <f>"41404253"</f>
        <v>41404253</v>
      </c>
      <c r="B2876" t="s">
        <v>2820</v>
      </c>
      <c r="C2876">
        <v>990</v>
      </c>
      <c r="D2876" t="str">
        <f t="shared" si="124"/>
        <v>320</v>
      </c>
      <c r="E2876" t="str">
        <f>"77003"</f>
        <v>77003</v>
      </c>
    </row>
    <row r="2877" spans="1:5" x14ac:dyDescent="0.25">
      <c r="A2877" t="str">
        <f>"41404401  "</f>
        <v xml:space="preserve">41404401  </v>
      </c>
      <c r="B2877" t="s">
        <v>2821</v>
      </c>
      <c r="C2877">
        <v>147.4</v>
      </c>
      <c r="D2877" t="str">
        <f t="shared" si="124"/>
        <v>320</v>
      </c>
      <c r="E2877" t="str">
        <f>"73630"</f>
        <v>73630</v>
      </c>
    </row>
    <row r="2878" spans="1:5" x14ac:dyDescent="0.25">
      <c r="A2878" t="str">
        <f>"41404450  "</f>
        <v xml:space="preserve">41404450  </v>
      </c>
      <c r="B2878" t="s">
        <v>2822</v>
      </c>
      <c r="C2878">
        <v>136.4</v>
      </c>
      <c r="D2878" t="str">
        <f t="shared" si="124"/>
        <v>320</v>
      </c>
      <c r="E2878" t="str">
        <f>"73620"</f>
        <v>73620</v>
      </c>
    </row>
    <row r="2879" spans="1:5" x14ac:dyDescent="0.25">
      <c r="A2879" t="str">
        <f>"41404500  "</f>
        <v xml:space="preserve">41404500  </v>
      </c>
      <c r="B2879" t="s">
        <v>2823</v>
      </c>
      <c r="C2879">
        <v>141.9</v>
      </c>
      <c r="D2879" t="str">
        <f t="shared" si="124"/>
        <v>320</v>
      </c>
      <c r="E2879" t="str">
        <f>"73090"</f>
        <v>73090</v>
      </c>
    </row>
    <row r="2880" spans="1:5" x14ac:dyDescent="0.25">
      <c r="A2880" t="str">
        <f>"41404559  "</f>
        <v xml:space="preserve">41404559  </v>
      </c>
      <c r="B2880" t="s">
        <v>2824</v>
      </c>
      <c r="C2880">
        <v>136.4</v>
      </c>
      <c r="D2880" t="str">
        <f t="shared" si="124"/>
        <v>320</v>
      </c>
      <c r="E2880" t="str">
        <f>"73130"</f>
        <v>73130</v>
      </c>
    </row>
    <row r="2881" spans="1:5" x14ac:dyDescent="0.25">
      <c r="A2881" t="str">
        <f>"41404609  "</f>
        <v xml:space="preserve">41404609  </v>
      </c>
      <c r="B2881" t="s">
        <v>2825</v>
      </c>
      <c r="C2881">
        <v>136.4</v>
      </c>
      <c r="D2881" t="str">
        <f t="shared" si="124"/>
        <v>320</v>
      </c>
      <c r="E2881" t="str">
        <f>"73120"</f>
        <v>73120</v>
      </c>
    </row>
    <row r="2882" spans="1:5" x14ac:dyDescent="0.25">
      <c r="A2882" t="str">
        <f>"41404708  "</f>
        <v xml:space="preserve">41404708  </v>
      </c>
      <c r="B2882" t="s">
        <v>2826</v>
      </c>
      <c r="C2882">
        <v>276.10000000000002</v>
      </c>
      <c r="D2882" t="str">
        <f t="shared" si="124"/>
        <v>320</v>
      </c>
      <c r="E2882" t="str">
        <f>"73502"</f>
        <v>73502</v>
      </c>
    </row>
    <row r="2883" spans="1:5" x14ac:dyDescent="0.25">
      <c r="A2883" t="str">
        <f>"41404807  "</f>
        <v xml:space="preserve">41404807  </v>
      </c>
      <c r="B2883" t="s">
        <v>2827</v>
      </c>
      <c r="C2883">
        <v>147.84</v>
      </c>
      <c r="D2883" t="str">
        <f t="shared" si="124"/>
        <v>320</v>
      </c>
      <c r="E2883" t="str">
        <f>"73501"</f>
        <v>73501</v>
      </c>
    </row>
    <row r="2884" spans="1:5" x14ac:dyDescent="0.25">
      <c r="A2884" t="str">
        <f>"41404955  "</f>
        <v xml:space="preserve">41404955  </v>
      </c>
      <c r="B2884" t="s">
        <v>2828</v>
      </c>
      <c r="C2884">
        <v>217.14</v>
      </c>
      <c r="D2884" t="str">
        <f t="shared" si="124"/>
        <v>320</v>
      </c>
      <c r="E2884" t="str">
        <f>"73522"</f>
        <v>73522</v>
      </c>
    </row>
    <row r="2885" spans="1:5" x14ac:dyDescent="0.25">
      <c r="A2885" t="str">
        <f>"41405051  "</f>
        <v xml:space="preserve">41405051  </v>
      </c>
      <c r="B2885" t="s">
        <v>2829</v>
      </c>
      <c r="C2885">
        <v>158.4</v>
      </c>
      <c r="D2885" t="str">
        <f t="shared" si="124"/>
        <v>320</v>
      </c>
      <c r="E2885" t="str">
        <f>"73060"</f>
        <v>73060</v>
      </c>
    </row>
    <row r="2886" spans="1:5" x14ac:dyDescent="0.25">
      <c r="A2886" t="str">
        <f>"41405150  "</f>
        <v xml:space="preserve">41405150  </v>
      </c>
      <c r="B2886" t="s">
        <v>2830</v>
      </c>
      <c r="C2886">
        <v>510.4</v>
      </c>
      <c r="D2886" t="str">
        <f t="shared" si="124"/>
        <v>320</v>
      </c>
      <c r="E2886" t="str">
        <f>"74410"</f>
        <v>74410</v>
      </c>
    </row>
    <row r="2887" spans="1:5" x14ac:dyDescent="0.25">
      <c r="A2887" t="str">
        <f>"41405408  "</f>
        <v xml:space="preserve">41405408  </v>
      </c>
      <c r="B2887" t="s">
        <v>2831</v>
      </c>
      <c r="C2887">
        <v>306.13</v>
      </c>
      <c r="D2887" t="str">
        <f t="shared" si="124"/>
        <v>320</v>
      </c>
      <c r="E2887" t="str">
        <f>"70134"</f>
        <v>70134</v>
      </c>
    </row>
    <row r="2888" spans="1:5" x14ac:dyDescent="0.25">
      <c r="A2888" t="str">
        <f>"41405556  "</f>
        <v xml:space="preserve">41405556  </v>
      </c>
      <c r="B2888" t="s">
        <v>2832</v>
      </c>
      <c r="C2888">
        <v>179.08</v>
      </c>
      <c r="D2888" t="str">
        <f t="shared" si="124"/>
        <v>320</v>
      </c>
      <c r="E2888" t="str">
        <f>"73562"</f>
        <v>73562</v>
      </c>
    </row>
    <row r="2889" spans="1:5" x14ac:dyDescent="0.25">
      <c r="A2889" t="str">
        <f>"41405606  "</f>
        <v xml:space="preserve">41405606  </v>
      </c>
      <c r="B2889" t="s">
        <v>2833</v>
      </c>
      <c r="C2889">
        <v>145.19999999999999</v>
      </c>
      <c r="D2889" t="str">
        <f t="shared" si="124"/>
        <v>320</v>
      </c>
      <c r="E2889" t="str">
        <f>"73560"</f>
        <v>73560</v>
      </c>
    </row>
    <row r="2890" spans="1:5" x14ac:dyDescent="0.25">
      <c r="A2890" t="str">
        <f>"41405739  "</f>
        <v xml:space="preserve">41405739  </v>
      </c>
      <c r="B2890" t="s">
        <v>2834</v>
      </c>
      <c r="C2890">
        <v>987.58</v>
      </c>
      <c r="D2890" t="str">
        <f>"610"</f>
        <v>610</v>
      </c>
      <c r="E2890" t="str">
        <f>"73720"</f>
        <v>73720</v>
      </c>
    </row>
    <row r="2891" spans="1:5" x14ac:dyDescent="0.25">
      <c r="A2891" t="str">
        <f>"41405754  "</f>
        <v xml:space="preserve">41405754  </v>
      </c>
      <c r="B2891" t="s">
        <v>2835</v>
      </c>
      <c r="C2891">
        <v>188.1</v>
      </c>
      <c r="D2891" t="str">
        <f t="shared" ref="D2891:D2936" si="125">"320"</f>
        <v>320</v>
      </c>
      <c r="E2891" t="str">
        <f>"72100"</f>
        <v>72100</v>
      </c>
    </row>
    <row r="2892" spans="1:5" x14ac:dyDescent="0.25">
      <c r="A2892" t="str">
        <f>"41405853  "</f>
        <v xml:space="preserve">41405853  </v>
      </c>
      <c r="B2892" t="s">
        <v>2836</v>
      </c>
      <c r="C2892">
        <v>289.95999999999998</v>
      </c>
      <c r="D2892" t="str">
        <f t="shared" si="125"/>
        <v>320</v>
      </c>
      <c r="E2892" t="str">
        <f>"72100"</f>
        <v>72100</v>
      </c>
    </row>
    <row r="2893" spans="1:5" x14ac:dyDescent="0.25">
      <c r="A2893" t="str">
        <f>"41406109  "</f>
        <v xml:space="preserve">41406109  </v>
      </c>
      <c r="B2893" t="s">
        <v>2837</v>
      </c>
      <c r="C2893">
        <v>225.28</v>
      </c>
      <c r="D2893" t="str">
        <f t="shared" si="125"/>
        <v>320</v>
      </c>
      <c r="E2893" t="str">
        <f>"70110"</f>
        <v>70110</v>
      </c>
    </row>
    <row r="2894" spans="1:5" x14ac:dyDescent="0.25">
      <c r="A2894" t="str">
        <f>"41406158  "</f>
        <v xml:space="preserve">41406158  </v>
      </c>
      <c r="B2894" t="s">
        <v>2838</v>
      </c>
      <c r="C2894">
        <v>161.69999999999999</v>
      </c>
      <c r="D2894" t="str">
        <f t="shared" si="125"/>
        <v>320</v>
      </c>
      <c r="E2894" t="str">
        <f>"70100"</f>
        <v>70100</v>
      </c>
    </row>
    <row r="2895" spans="1:5" x14ac:dyDescent="0.25">
      <c r="A2895" t="str">
        <f>"41406208  "</f>
        <v xml:space="preserve">41406208  </v>
      </c>
      <c r="B2895" t="s">
        <v>2839</v>
      </c>
      <c r="C2895">
        <v>289.95999999999998</v>
      </c>
      <c r="D2895" t="str">
        <f t="shared" si="125"/>
        <v>320</v>
      </c>
      <c r="E2895" t="str">
        <f>"70130"</f>
        <v>70130</v>
      </c>
    </row>
    <row r="2896" spans="1:5" x14ac:dyDescent="0.25">
      <c r="A2896" t="str">
        <f>"41406257  "</f>
        <v xml:space="preserve">41406257  </v>
      </c>
      <c r="B2896" t="s">
        <v>2840</v>
      </c>
      <c r="C2896">
        <v>199.87</v>
      </c>
      <c r="D2896" t="str">
        <f t="shared" si="125"/>
        <v>320</v>
      </c>
      <c r="E2896" t="str">
        <f>"70120"</f>
        <v>70120</v>
      </c>
    </row>
    <row r="2897" spans="1:5" x14ac:dyDescent="0.25">
      <c r="A2897" t="str">
        <f>"41406406  "</f>
        <v xml:space="preserve">41406406  </v>
      </c>
      <c r="B2897" t="s">
        <v>2841</v>
      </c>
      <c r="C2897">
        <v>161.69999999999999</v>
      </c>
      <c r="D2897" t="str">
        <f t="shared" si="125"/>
        <v>320</v>
      </c>
      <c r="E2897" t="str">
        <f>"70160"</f>
        <v>70160</v>
      </c>
    </row>
    <row r="2898" spans="1:5" x14ac:dyDescent="0.25">
      <c r="A2898" t="str">
        <f>"41406505  "</f>
        <v xml:space="preserve">41406505  </v>
      </c>
      <c r="B2898" t="s">
        <v>2842</v>
      </c>
      <c r="C2898">
        <v>126.5</v>
      </c>
      <c r="D2898" t="str">
        <f t="shared" si="125"/>
        <v>320</v>
      </c>
      <c r="E2898" t="str">
        <f>"70360"</f>
        <v>70360</v>
      </c>
    </row>
    <row r="2899" spans="1:5" x14ac:dyDescent="0.25">
      <c r="A2899" t="str">
        <f>"41406703  "</f>
        <v xml:space="preserve">41406703  </v>
      </c>
      <c r="B2899" t="s">
        <v>2843</v>
      </c>
      <c r="C2899">
        <v>132</v>
      </c>
      <c r="D2899" t="str">
        <f t="shared" si="125"/>
        <v>320</v>
      </c>
      <c r="E2899" t="str">
        <f>"73650"</f>
        <v>73650</v>
      </c>
    </row>
    <row r="2900" spans="1:5" x14ac:dyDescent="0.25">
      <c r="A2900" t="str">
        <f>"41406752  "</f>
        <v xml:space="preserve">41406752  </v>
      </c>
      <c r="B2900" t="s">
        <v>2844</v>
      </c>
      <c r="C2900">
        <v>249.48</v>
      </c>
      <c r="D2900" t="str">
        <f t="shared" si="125"/>
        <v>320</v>
      </c>
      <c r="E2900" t="str">
        <f>"70220"</f>
        <v>70220</v>
      </c>
    </row>
    <row r="2901" spans="1:5" x14ac:dyDescent="0.25">
      <c r="A2901" t="str">
        <f>"41406950  "</f>
        <v xml:space="preserve">41406950  </v>
      </c>
      <c r="B2901" t="s">
        <v>2845</v>
      </c>
      <c r="C2901">
        <v>191.73</v>
      </c>
      <c r="D2901" t="str">
        <f t="shared" si="125"/>
        <v>320</v>
      </c>
      <c r="E2901" t="str">
        <f>"72170"</f>
        <v>72170</v>
      </c>
    </row>
    <row r="2902" spans="1:5" x14ac:dyDescent="0.25">
      <c r="A2902" t="str">
        <f>"41407008  "</f>
        <v xml:space="preserve">41407008  </v>
      </c>
      <c r="B2902" t="s">
        <v>2846</v>
      </c>
      <c r="C2902">
        <v>145.19999999999999</v>
      </c>
      <c r="D2902" t="str">
        <f t="shared" si="125"/>
        <v>320</v>
      </c>
      <c r="E2902" t="str">
        <f>"72170"</f>
        <v>72170</v>
      </c>
    </row>
    <row r="2903" spans="1:5" x14ac:dyDescent="0.25">
      <c r="A2903" t="str">
        <f>"41407404  "</f>
        <v xml:space="preserve">41407404  </v>
      </c>
      <c r="B2903" t="s">
        <v>2847</v>
      </c>
      <c r="C2903">
        <v>612.70000000000005</v>
      </c>
      <c r="D2903" t="str">
        <f t="shared" si="125"/>
        <v>320</v>
      </c>
      <c r="E2903" t="str">
        <f>"74420"</f>
        <v>74420</v>
      </c>
    </row>
    <row r="2904" spans="1:5" x14ac:dyDescent="0.25">
      <c r="A2904" t="str">
        <f>"41407503  "</f>
        <v xml:space="preserve">41407503  </v>
      </c>
      <c r="B2904" t="s">
        <v>2848</v>
      </c>
      <c r="C2904">
        <v>235.62</v>
      </c>
      <c r="D2904" t="str">
        <f t="shared" si="125"/>
        <v>320</v>
      </c>
      <c r="E2904" t="str">
        <f>"71110"</f>
        <v>71110</v>
      </c>
    </row>
    <row r="2905" spans="1:5" x14ac:dyDescent="0.25">
      <c r="A2905" t="str">
        <f>"41407552  "</f>
        <v xml:space="preserve">41407552  </v>
      </c>
      <c r="B2905" t="s">
        <v>2849</v>
      </c>
      <c r="C2905">
        <v>223.3</v>
      </c>
      <c r="D2905" t="str">
        <f t="shared" si="125"/>
        <v>320</v>
      </c>
      <c r="E2905" t="str">
        <f>"71110"</f>
        <v>71110</v>
      </c>
    </row>
    <row r="2906" spans="1:5" x14ac:dyDescent="0.25">
      <c r="A2906" t="str">
        <f>"41407651  "</f>
        <v xml:space="preserve">41407651  </v>
      </c>
      <c r="B2906" t="s">
        <v>2850</v>
      </c>
      <c r="C2906">
        <v>177.87</v>
      </c>
      <c r="D2906" t="str">
        <f t="shared" si="125"/>
        <v>320</v>
      </c>
      <c r="E2906" t="str">
        <f>"72202"</f>
        <v>72202</v>
      </c>
    </row>
    <row r="2907" spans="1:5" x14ac:dyDescent="0.25">
      <c r="A2907" t="str">
        <f>"41407701  "</f>
        <v xml:space="preserve">41407701  </v>
      </c>
      <c r="B2907" t="s">
        <v>2851</v>
      </c>
      <c r="C2907">
        <v>165.22</v>
      </c>
      <c r="D2907" t="str">
        <f t="shared" si="125"/>
        <v>320</v>
      </c>
      <c r="E2907" t="str">
        <f>"72220"</f>
        <v>72220</v>
      </c>
    </row>
    <row r="2908" spans="1:5" x14ac:dyDescent="0.25">
      <c r="A2908" t="str">
        <f>"41407800  "</f>
        <v xml:space="preserve">41407800  </v>
      </c>
      <c r="B2908" t="s">
        <v>2852</v>
      </c>
      <c r="C2908">
        <v>356.4</v>
      </c>
      <c r="D2908" t="str">
        <f t="shared" si="125"/>
        <v>320</v>
      </c>
      <c r="E2908" t="str">
        <f>"74740"</f>
        <v>74740</v>
      </c>
    </row>
    <row r="2909" spans="1:5" x14ac:dyDescent="0.25">
      <c r="A2909" t="str">
        <f>"41407859  "</f>
        <v xml:space="preserve">41407859  </v>
      </c>
      <c r="B2909" t="s">
        <v>2853</v>
      </c>
      <c r="C2909">
        <v>145.19999999999999</v>
      </c>
      <c r="D2909" t="str">
        <f t="shared" si="125"/>
        <v>320</v>
      </c>
      <c r="E2909" t="str">
        <f>"73010"</f>
        <v>73010</v>
      </c>
    </row>
    <row r="2910" spans="1:5" x14ac:dyDescent="0.25">
      <c r="A2910" t="str">
        <f>"41407909  "</f>
        <v xml:space="preserve">41407909  </v>
      </c>
      <c r="B2910" t="s">
        <v>2854</v>
      </c>
      <c r="C2910">
        <v>202.4</v>
      </c>
      <c r="D2910" t="str">
        <f t="shared" si="125"/>
        <v>320</v>
      </c>
      <c r="E2910" t="str">
        <f>"72082"</f>
        <v>72082</v>
      </c>
    </row>
    <row r="2911" spans="1:5" x14ac:dyDescent="0.25">
      <c r="A2911" t="str">
        <f>"41407958  "</f>
        <v xml:space="preserve">41407958  </v>
      </c>
      <c r="B2911" t="s">
        <v>2855</v>
      </c>
      <c r="C2911">
        <v>165.22</v>
      </c>
      <c r="D2911" t="str">
        <f t="shared" si="125"/>
        <v>320</v>
      </c>
      <c r="E2911" t="str">
        <f>"70240"</f>
        <v>70240</v>
      </c>
    </row>
    <row r="2912" spans="1:5" x14ac:dyDescent="0.25">
      <c r="A2912" t="str">
        <f>"41408055  "</f>
        <v xml:space="preserve">41408055  </v>
      </c>
      <c r="B2912" t="s">
        <v>2856</v>
      </c>
      <c r="C2912">
        <v>159.5</v>
      </c>
      <c r="D2912" t="str">
        <f t="shared" si="125"/>
        <v>320</v>
      </c>
      <c r="E2912" t="str">
        <f>"73030"</f>
        <v>73030</v>
      </c>
    </row>
    <row r="2913" spans="1:5" x14ac:dyDescent="0.25">
      <c r="A2913" t="str">
        <f>"41408105  "</f>
        <v xml:space="preserve">41408105  </v>
      </c>
      <c r="B2913" t="s">
        <v>2857</v>
      </c>
      <c r="C2913">
        <v>130.9</v>
      </c>
      <c r="D2913" t="str">
        <f t="shared" si="125"/>
        <v>320</v>
      </c>
      <c r="E2913" t="str">
        <f>"73020"</f>
        <v>73020</v>
      </c>
    </row>
    <row r="2914" spans="1:5" x14ac:dyDescent="0.25">
      <c r="A2914" t="str">
        <f>"41408162  "</f>
        <v xml:space="preserve">41408162  </v>
      </c>
      <c r="B2914" t="s">
        <v>2858</v>
      </c>
      <c r="C2914">
        <v>167.2</v>
      </c>
      <c r="D2914" t="str">
        <f t="shared" si="125"/>
        <v>320</v>
      </c>
      <c r="E2914" t="str">
        <f>"70210"</f>
        <v>70210</v>
      </c>
    </row>
    <row r="2915" spans="1:5" x14ac:dyDescent="0.25">
      <c r="A2915" t="str">
        <f>"41408204  "</f>
        <v xml:space="preserve">41408204  </v>
      </c>
      <c r="B2915" t="s">
        <v>2859</v>
      </c>
      <c r="C2915">
        <v>283.02999999999997</v>
      </c>
      <c r="D2915" t="str">
        <f t="shared" si="125"/>
        <v>320</v>
      </c>
      <c r="E2915" t="str">
        <f>"70260"</f>
        <v>70260</v>
      </c>
    </row>
    <row r="2916" spans="1:5" x14ac:dyDescent="0.25">
      <c r="A2916" t="str">
        <f>"41408253  "</f>
        <v xml:space="preserve">41408253  </v>
      </c>
      <c r="B2916" t="s">
        <v>2860</v>
      </c>
      <c r="C2916">
        <v>183.7</v>
      </c>
      <c r="D2916" t="str">
        <f t="shared" si="125"/>
        <v>320</v>
      </c>
      <c r="E2916" t="str">
        <f>"70250"</f>
        <v>70250</v>
      </c>
    </row>
    <row r="2917" spans="1:5" x14ac:dyDescent="0.25">
      <c r="A2917" t="str">
        <f>"41408303  "</f>
        <v xml:space="preserve">41408303  </v>
      </c>
      <c r="B2917" t="s">
        <v>2861</v>
      </c>
      <c r="C2917">
        <v>376.2</v>
      </c>
      <c r="D2917" t="str">
        <f t="shared" si="125"/>
        <v>320</v>
      </c>
      <c r="E2917" t="str">
        <f>"74250"</f>
        <v>74250</v>
      </c>
    </row>
    <row r="2918" spans="1:5" x14ac:dyDescent="0.25">
      <c r="A2918" t="str">
        <f>"41408352  "</f>
        <v xml:space="preserve">41408352  </v>
      </c>
      <c r="B2918" t="s">
        <v>2862</v>
      </c>
      <c r="C2918">
        <v>255.2</v>
      </c>
      <c r="D2918" t="str">
        <f t="shared" si="125"/>
        <v>320</v>
      </c>
      <c r="E2918" t="str">
        <f>"72050"</f>
        <v>72050</v>
      </c>
    </row>
    <row r="2919" spans="1:5" x14ac:dyDescent="0.25">
      <c r="A2919" t="str">
        <f>"41408402  "</f>
        <v xml:space="preserve">41408402  </v>
      </c>
      <c r="B2919" t="s">
        <v>2863</v>
      </c>
      <c r="C2919">
        <v>314.60000000000002</v>
      </c>
      <c r="D2919" t="str">
        <f t="shared" si="125"/>
        <v>320</v>
      </c>
      <c r="E2919" t="str">
        <f>"72052"</f>
        <v>72052</v>
      </c>
    </row>
    <row r="2920" spans="1:5" x14ac:dyDescent="0.25">
      <c r="A2920" t="str">
        <f>"41408451  "</f>
        <v xml:space="preserve">41408451  </v>
      </c>
      <c r="B2920" t="s">
        <v>2864</v>
      </c>
      <c r="C2920">
        <v>314.60000000000002</v>
      </c>
      <c r="D2920" t="str">
        <f t="shared" si="125"/>
        <v>320</v>
      </c>
      <c r="E2920" t="str">
        <f>"72052"</f>
        <v>72052</v>
      </c>
    </row>
    <row r="2921" spans="1:5" x14ac:dyDescent="0.25">
      <c r="A2921" t="str">
        <f>"41408501  "</f>
        <v xml:space="preserve">41408501  </v>
      </c>
      <c r="B2921" t="s">
        <v>2865</v>
      </c>
      <c r="C2921">
        <v>718.41</v>
      </c>
      <c r="D2921" t="str">
        <f t="shared" si="125"/>
        <v>320</v>
      </c>
      <c r="E2921" t="str">
        <f>"72010"</f>
        <v>72010</v>
      </c>
    </row>
    <row r="2922" spans="1:5" x14ac:dyDescent="0.25">
      <c r="A2922" t="str">
        <f>"41408550  "</f>
        <v xml:space="preserve">41408550  </v>
      </c>
      <c r="B2922" t="s">
        <v>2866</v>
      </c>
      <c r="C2922">
        <v>191.73</v>
      </c>
      <c r="D2922" t="str">
        <f t="shared" si="125"/>
        <v>320</v>
      </c>
      <c r="E2922" t="str">
        <f>"72080"</f>
        <v>72080</v>
      </c>
    </row>
    <row r="2923" spans="1:5" x14ac:dyDescent="0.25">
      <c r="A2923" t="str">
        <f>"41408600  "</f>
        <v xml:space="preserve">41408600  </v>
      </c>
      <c r="B2923" t="s">
        <v>2867</v>
      </c>
      <c r="C2923">
        <v>201.3</v>
      </c>
      <c r="D2923" t="str">
        <f t="shared" si="125"/>
        <v>320</v>
      </c>
      <c r="E2923" t="str">
        <f>"72072"</f>
        <v>72072</v>
      </c>
    </row>
    <row r="2924" spans="1:5" x14ac:dyDescent="0.25">
      <c r="A2924" t="str">
        <f>"41408808  "</f>
        <v xml:space="preserve">41408808  </v>
      </c>
      <c r="B2924" t="s">
        <v>2868</v>
      </c>
      <c r="C2924">
        <v>195.8</v>
      </c>
      <c r="D2924" t="str">
        <f t="shared" si="125"/>
        <v>320</v>
      </c>
      <c r="E2924" t="str">
        <f>"71130"</f>
        <v>71130</v>
      </c>
    </row>
    <row r="2925" spans="1:5" x14ac:dyDescent="0.25">
      <c r="A2925" t="str">
        <f>"41408857  "</f>
        <v xml:space="preserve">41408857  </v>
      </c>
      <c r="B2925" t="s">
        <v>2869</v>
      </c>
      <c r="C2925">
        <v>180.4</v>
      </c>
      <c r="D2925" t="str">
        <f t="shared" si="125"/>
        <v>320</v>
      </c>
      <c r="E2925" t="str">
        <f>"71120"</f>
        <v>71120</v>
      </c>
    </row>
    <row r="2926" spans="1:5" x14ac:dyDescent="0.25">
      <c r="A2926" t="str">
        <f>"41409103  "</f>
        <v xml:space="preserve">41409103  </v>
      </c>
      <c r="B2926" t="s">
        <v>2870</v>
      </c>
      <c r="C2926">
        <v>227.7</v>
      </c>
      <c r="D2926" t="str">
        <f t="shared" si="125"/>
        <v>320</v>
      </c>
      <c r="E2926" t="str">
        <f>"70330"</f>
        <v>70330</v>
      </c>
    </row>
    <row r="2927" spans="1:5" x14ac:dyDescent="0.25">
      <c r="A2927" t="str">
        <f>"41409251  "</f>
        <v xml:space="preserve">41409251  </v>
      </c>
      <c r="B2927" t="s">
        <v>2871</v>
      </c>
      <c r="C2927">
        <v>145.19999999999999</v>
      </c>
      <c r="D2927" t="str">
        <f t="shared" si="125"/>
        <v>320</v>
      </c>
      <c r="E2927" t="str">
        <f>"73590"</f>
        <v>73590</v>
      </c>
    </row>
    <row r="2928" spans="1:5" x14ac:dyDescent="0.25">
      <c r="A2928" t="str">
        <f>"41409301  "</f>
        <v xml:space="preserve">41409301  </v>
      </c>
      <c r="B2928" t="s">
        <v>2872</v>
      </c>
      <c r="C2928">
        <v>115.5</v>
      </c>
      <c r="D2928" t="str">
        <f t="shared" si="125"/>
        <v>320</v>
      </c>
      <c r="E2928" t="str">
        <f>"73660"</f>
        <v>73660</v>
      </c>
    </row>
    <row r="2929" spans="1:5" x14ac:dyDescent="0.25">
      <c r="A2929" t="str">
        <f>"41410028  "</f>
        <v xml:space="preserve">41410028  </v>
      </c>
      <c r="B2929" t="s">
        <v>2873</v>
      </c>
      <c r="C2929">
        <v>761.2</v>
      </c>
      <c r="D2929" t="str">
        <f t="shared" si="125"/>
        <v>320</v>
      </c>
      <c r="E2929" t="str">
        <f>"74320"</f>
        <v>74320</v>
      </c>
    </row>
    <row r="2930" spans="1:5" x14ac:dyDescent="0.25">
      <c r="A2930" t="str">
        <f>"41410051  "</f>
        <v xml:space="preserve">41410051  </v>
      </c>
      <c r="B2930" t="s">
        <v>2874</v>
      </c>
      <c r="C2930">
        <v>318.77999999999997</v>
      </c>
      <c r="D2930" t="str">
        <f t="shared" si="125"/>
        <v>320</v>
      </c>
      <c r="E2930" t="str">
        <f>"76499"</f>
        <v>76499</v>
      </c>
    </row>
    <row r="2931" spans="1:5" x14ac:dyDescent="0.25">
      <c r="A2931" t="str">
        <f>"41410101  "</f>
        <v xml:space="preserve">41410101  </v>
      </c>
      <c r="B2931" t="s">
        <v>2875</v>
      </c>
      <c r="C2931">
        <v>467.5</v>
      </c>
      <c r="D2931" t="str">
        <f t="shared" si="125"/>
        <v>320</v>
      </c>
      <c r="E2931" t="str">
        <f>"74241"</f>
        <v>74241</v>
      </c>
    </row>
    <row r="2932" spans="1:5" x14ac:dyDescent="0.25">
      <c r="A2932" t="str">
        <f>"41410358  "</f>
        <v xml:space="preserve">41410358  </v>
      </c>
      <c r="B2932" t="s">
        <v>2876</v>
      </c>
      <c r="C2932">
        <v>173.25</v>
      </c>
      <c r="D2932" t="str">
        <f t="shared" si="125"/>
        <v>320</v>
      </c>
      <c r="E2932" t="str">
        <f>"73110"</f>
        <v>73110</v>
      </c>
    </row>
    <row r="2933" spans="1:5" x14ac:dyDescent="0.25">
      <c r="A2933" t="str">
        <f>"41410408  "</f>
        <v xml:space="preserve">41410408  </v>
      </c>
      <c r="B2933" t="s">
        <v>2877</v>
      </c>
      <c r="C2933">
        <v>136.4</v>
      </c>
      <c r="D2933" t="str">
        <f t="shared" si="125"/>
        <v>320</v>
      </c>
      <c r="E2933" t="str">
        <f>"73100"</f>
        <v>73100</v>
      </c>
    </row>
    <row r="2934" spans="1:5" x14ac:dyDescent="0.25">
      <c r="A2934" t="str">
        <f>"41410457  "</f>
        <v xml:space="preserve">41410457  </v>
      </c>
      <c r="B2934" t="s">
        <v>2878</v>
      </c>
      <c r="C2934">
        <v>161.69999999999999</v>
      </c>
      <c r="D2934" t="str">
        <f t="shared" si="125"/>
        <v>320</v>
      </c>
      <c r="E2934" t="str">
        <f>"76499"</f>
        <v>76499</v>
      </c>
    </row>
    <row r="2935" spans="1:5" x14ac:dyDescent="0.25">
      <c r="A2935" t="str">
        <f>"41410507  "</f>
        <v xml:space="preserve">41410507  </v>
      </c>
      <c r="B2935" t="s">
        <v>2879</v>
      </c>
      <c r="C2935">
        <v>64.680000000000007</v>
      </c>
      <c r="D2935" t="str">
        <f t="shared" si="125"/>
        <v>320</v>
      </c>
    </row>
    <row r="2936" spans="1:5" x14ac:dyDescent="0.25">
      <c r="A2936" t="str">
        <f>"41410556  "</f>
        <v xml:space="preserve">41410556  </v>
      </c>
      <c r="B2936" t="s">
        <v>2880</v>
      </c>
      <c r="C2936">
        <v>46.2</v>
      </c>
      <c r="D2936" t="str">
        <f t="shared" si="125"/>
        <v>320</v>
      </c>
      <c r="E2936" t="str">
        <f>"76499"</f>
        <v>76499</v>
      </c>
    </row>
    <row r="2937" spans="1:5" x14ac:dyDescent="0.25">
      <c r="A2937" t="str">
        <f>"41410713  "</f>
        <v xml:space="preserve">41410713  </v>
      </c>
      <c r="B2937" t="s">
        <v>2881</v>
      </c>
      <c r="C2937" s="1">
        <v>1228.7</v>
      </c>
      <c r="D2937" t="str">
        <f>"400"</f>
        <v>400</v>
      </c>
      <c r="E2937" t="str">
        <f>"93880"</f>
        <v>93880</v>
      </c>
    </row>
    <row r="2938" spans="1:5" x14ac:dyDescent="0.25">
      <c r="A2938" t="str">
        <f>"41420001  "</f>
        <v xml:space="preserve">41420001  </v>
      </c>
      <c r="B2938" t="s">
        <v>2882</v>
      </c>
      <c r="C2938">
        <v>617.1</v>
      </c>
      <c r="D2938" t="str">
        <f>"402"</f>
        <v>402</v>
      </c>
      <c r="E2938" t="str">
        <f>"93965"</f>
        <v>93965</v>
      </c>
    </row>
    <row r="2939" spans="1:5" x14ac:dyDescent="0.25">
      <c r="A2939" t="str">
        <f>"41420019  "</f>
        <v xml:space="preserve">41420019  </v>
      </c>
      <c r="B2939" t="s">
        <v>2883</v>
      </c>
      <c r="C2939">
        <v>812.9</v>
      </c>
      <c r="D2939" t="str">
        <f>"402"</f>
        <v>402</v>
      </c>
      <c r="E2939" t="str">
        <f>"93971"</f>
        <v>93971</v>
      </c>
    </row>
    <row r="2940" spans="1:5" x14ac:dyDescent="0.25">
      <c r="A2940" t="str">
        <f>"41420043"</f>
        <v>41420043</v>
      </c>
      <c r="B2940" t="s">
        <v>2884</v>
      </c>
      <c r="C2940">
        <v>495</v>
      </c>
      <c r="D2940" t="str">
        <f>"610"</f>
        <v>610</v>
      </c>
    </row>
    <row r="2941" spans="1:5" x14ac:dyDescent="0.25">
      <c r="A2941" t="str">
        <f>"41421009  "</f>
        <v xml:space="preserve">41421009  </v>
      </c>
      <c r="B2941" t="s">
        <v>2885</v>
      </c>
      <c r="C2941">
        <v>924</v>
      </c>
      <c r="D2941" t="str">
        <f>"740"</f>
        <v>740</v>
      </c>
      <c r="E2941" t="str">
        <f>"95816"</f>
        <v>95816</v>
      </c>
    </row>
    <row r="2942" spans="1:5" x14ac:dyDescent="0.25">
      <c r="A2942" t="str">
        <f>"41421025  "</f>
        <v xml:space="preserve">41421025  </v>
      </c>
      <c r="B2942" t="s">
        <v>2886</v>
      </c>
      <c r="C2942">
        <v>924</v>
      </c>
      <c r="D2942" t="str">
        <f>"740"</f>
        <v>740</v>
      </c>
      <c r="E2942" t="str">
        <f>"95816"</f>
        <v>95816</v>
      </c>
    </row>
    <row r="2943" spans="1:5" x14ac:dyDescent="0.25">
      <c r="A2943" t="str">
        <f>"41430000  "</f>
        <v xml:space="preserve">41430000  </v>
      </c>
      <c r="B2943" t="s">
        <v>2887</v>
      </c>
      <c r="C2943">
        <v>251.9</v>
      </c>
      <c r="D2943" t="str">
        <f>"320"</f>
        <v>320</v>
      </c>
      <c r="E2943" t="str">
        <f>"73564"</f>
        <v>73564</v>
      </c>
    </row>
    <row r="2944" spans="1:5" x14ac:dyDescent="0.25">
      <c r="A2944" t="str">
        <f>"41430018  "</f>
        <v xml:space="preserve">41430018  </v>
      </c>
      <c r="B2944" t="s">
        <v>2888</v>
      </c>
      <c r="C2944">
        <v>234.96</v>
      </c>
      <c r="D2944" t="str">
        <f>"320"</f>
        <v>320</v>
      </c>
      <c r="E2944" t="str">
        <f>"73080"</f>
        <v>73080</v>
      </c>
    </row>
    <row r="2945" spans="1:5" x14ac:dyDescent="0.25">
      <c r="A2945" t="str">
        <f>"41430026  "</f>
        <v xml:space="preserve">41430026  </v>
      </c>
      <c r="B2945" t="s">
        <v>2889</v>
      </c>
      <c r="C2945">
        <v>240.24</v>
      </c>
      <c r="D2945" t="str">
        <f>"320"</f>
        <v>320</v>
      </c>
      <c r="E2945" t="str">
        <f>"73080"</f>
        <v>73080</v>
      </c>
    </row>
    <row r="2946" spans="1:5" x14ac:dyDescent="0.25">
      <c r="A2946" t="str">
        <f>"41430042  "</f>
        <v xml:space="preserve">41430042  </v>
      </c>
      <c r="B2946" t="s">
        <v>2890</v>
      </c>
      <c r="C2946">
        <v>314.60000000000002</v>
      </c>
      <c r="D2946" t="str">
        <f>"320"</f>
        <v>320</v>
      </c>
      <c r="E2946" t="str">
        <f>"73564"</f>
        <v>73564</v>
      </c>
    </row>
    <row r="2947" spans="1:5" x14ac:dyDescent="0.25">
      <c r="A2947" t="str">
        <f>"41440074  "</f>
        <v xml:space="preserve">41440074  </v>
      </c>
      <c r="B2947" t="s">
        <v>2891</v>
      </c>
      <c r="C2947">
        <v>808.5</v>
      </c>
      <c r="D2947" t="str">
        <f>"402"</f>
        <v>402</v>
      </c>
      <c r="E2947" t="str">
        <f>"76873"</f>
        <v>76873</v>
      </c>
    </row>
    <row r="2948" spans="1:5" x14ac:dyDescent="0.25">
      <c r="A2948" t="str">
        <f>"41452314"</f>
        <v>41452314</v>
      </c>
      <c r="B2948" t="s">
        <v>2892</v>
      </c>
      <c r="C2948" s="1">
        <v>1573</v>
      </c>
      <c r="D2948" t="str">
        <f>"610"</f>
        <v>610</v>
      </c>
      <c r="E2948" t="str">
        <f>"72141"</f>
        <v>72141</v>
      </c>
    </row>
    <row r="2949" spans="1:5" x14ac:dyDescent="0.25">
      <c r="A2949" t="str">
        <f>"41490004  "</f>
        <v xml:space="preserve">41490004  </v>
      </c>
      <c r="B2949" t="s">
        <v>2893</v>
      </c>
      <c r="C2949">
        <v>288.75</v>
      </c>
      <c r="D2949" t="str">
        <f>"320"</f>
        <v>320</v>
      </c>
      <c r="E2949" t="str">
        <f>"47531"</f>
        <v>47531</v>
      </c>
    </row>
    <row r="2950" spans="1:5" x14ac:dyDescent="0.25">
      <c r="A2950" t="str">
        <f>"41490012  "</f>
        <v xml:space="preserve">41490012  </v>
      </c>
      <c r="B2950" t="s">
        <v>2894</v>
      </c>
      <c r="C2950">
        <v>288.2</v>
      </c>
      <c r="D2950" t="str">
        <f>"320"</f>
        <v>320</v>
      </c>
    </row>
    <row r="2951" spans="1:5" x14ac:dyDescent="0.25">
      <c r="A2951" t="str">
        <f>"41490013"</f>
        <v>41490013</v>
      </c>
      <c r="B2951" t="s">
        <v>2895</v>
      </c>
      <c r="C2951">
        <v>440</v>
      </c>
      <c r="D2951" t="str">
        <f>"320"</f>
        <v>320</v>
      </c>
      <c r="E2951" t="str">
        <f>"74430"</f>
        <v>74430</v>
      </c>
    </row>
    <row r="2952" spans="1:5" x14ac:dyDescent="0.25">
      <c r="A2952" t="str">
        <f>"41600354  "</f>
        <v xml:space="preserve">41600354  </v>
      </c>
      <c r="B2952" t="s">
        <v>2896</v>
      </c>
      <c r="C2952">
        <v>770</v>
      </c>
      <c r="D2952" t="str">
        <f t="shared" ref="D2952:D2962" si="126">"340"</f>
        <v>340</v>
      </c>
      <c r="E2952" t="str">
        <f>"78300"</f>
        <v>78300</v>
      </c>
    </row>
    <row r="2953" spans="1:5" x14ac:dyDescent="0.25">
      <c r="A2953" t="str">
        <f>"41600404  "</f>
        <v xml:space="preserve">41600404  </v>
      </c>
      <c r="B2953" t="s">
        <v>2897</v>
      </c>
      <c r="C2953" s="1">
        <v>1265</v>
      </c>
      <c r="D2953" t="str">
        <f t="shared" si="126"/>
        <v>340</v>
      </c>
      <c r="E2953" t="str">
        <f>"78305"</f>
        <v>78305</v>
      </c>
    </row>
    <row r="2954" spans="1:5" x14ac:dyDescent="0.25">
      <c r="A2954" t="str">
        <f>"41600453  "</f>
        <v xml:space="preserve">41600453  </v>
      </c>
      <c r="B2954" t="s">
        <v>2898</v>
      </c>
      <c r="C2954">
        <v>907.5</v>
      </c>
      <c r="D2954" t="str">
        <f t="shared" si="126"/>
        <v>340</v>
      </c>
      <c r="E2954" t="str">
        <f>"78306"</f>
        <v>78306</v>
      </c>
    </row>
    <row r="2955" spans="1:5" x14ac:dyDescent="0.25">
      <c r="A2955" t="str">
        <f>"41600552  "</f>
        <v xml:space="preserve">41600552  </v>
      </c>
      <c r="B2955" t="s">
        <v>2899</v>
      </c>
      <c r="C2955">
        <v>990</v>
      </c>
      <c r="D2955" t="str">
        <f t="shared" si="126"/>
        <v>340</v>
      </c>
      <c r="E2955" t="str">
        <f>"78605"</f>
        <v>78605</v>
      </c>
    </row>
    <row r="2956" spans="1:5" x14ac:dyDescent="0.25">
      <c r="A2956" t="str">
        <f>"41600602  "</f>
        <v xml:space="preserve">41600602  </v>
      </c>
      <c r="B2956" t="s">
        <v>2900</v>
      </c>
      <c r="C2956">
        <v>990</v>
      </c>
      <c r="D2956" t="str">
        <f t="shared" si="126"/>
        <v>340</v>
      </c>
      <c r="E2956" t="str">
        <f>"78605"</f>
        <v>78605</v>
      </c>
    </row>
    <row r="2957" spans="1:5" x14ac:dyDescent="0.25">
      <c r="A2957" t="str">
        <f>"41600651  "</f>
        <v xml:space="preserve">41600651  </v>
      </c>
      <c r="B2957" t="s">
        <v>2901</v>
      </c>
      <c r="C2957">
        <v>759</v>
      </c>
      <c r="D2957" t="str">
        <f t="shared" si="126"/>
        <v>340</v>
      </c>
      <c r="E2957" t="str">
        <f>"78606"</f>
        <v>78606</v>
      </c>
    </row>
    <row r="2958" spans="1:5" x14ac:dyDescent="0.25">
      <c r="A2958" t="str">
        <f>"41600800  "</f>
        <v xml:space="preserve">41600800  </v>
      </c>
      <c r="B2958" t="s">
        <v>2902</v>
      </c>
      <c r="C2958">
        <v>700.7</v>
      </c>
      <c r="D2958" t="str">
        <f t="shared" si="126"/>
        <v>340</v>
      </c>
      <c r="E2958" t="str">
        <f>"78472"</f>
        <v>78472</v>
      </c>
    </row>
    <row r="2959" spans="1:5" x14ac:dyDescent="0.25">
      <c r="A2959" t="str">
        <f>"41600958  "</f>
        <v xml:space="preserve">41600958  </v>
      </c>
      <c r="B2959" t="s">
        <v>2903</v>
      </c>
      <c r="C2959">
        <v>829.4</v>
      </c>
      <c r="D2959" t="str">
        <f t="shared" si="126"/>
        <v>340</v>
      </c>
      <c r="E2959" t="str">
        <f>"78805"</f>
        <v>78805</v>
      </c>
    </row>
    <row r="2960" spans="1:5" x14ac:dyDescent="0.25">
      <c r="A2960" t="str">
        <f>"41601006  "</f>
        <v xml:space="preserve">41601006  </v>
      </c>
      <c r="B2960" t="s">
        <v>2904</v>
      </c>
      <c r="C2960" s="1">
        <v>1072.5</v>
      </c>
      <c r="D2960" t="str">
        <f t="shared" si="126"/>
        <v>340</v>
      </c>
      <c r="E2960" t="str">
        <f>"78806"</f>
        <v>78806</v>
      </c>
    </row>
    <row r="2961" spans="1:5" x14ac:dyDescent="0.25">
      <c r="A2961" t="str">
        <f>"41601055  "</f>
        <v xml:space="preserve">41601055  </v>
      </c>
      <c r="B2961" t="s">
        <v>2905</v>
      </c>
      <c r="C2961" s="1">
        <v>1072.5</v>
      </c>
      <c r="D2961" t="str">
        <f t="shared" si="126"/>
        <v>340</v>
      </c>
      <c r="E2961" t="str">
        <f>"78399"</f>
        <v>78399</v>
      </c>
    </row>
    <row r="2962" spans="1:5" x14ac:dyDescent="0.25">
      <c r="A2962" t="str">
        <f>"41601105  "</f>
        <v xml:space="preserve">41601105  </v>
      </c>
      <c r="B2962" t="s">
        <v>2906</v>
      </c>
      <c r="C2962">
        <v>390.5</v>
      </c>
      <c r="D2962" t="str">
        <f t="shared" si="126"/>
        <v>340</v>
      </c>
      <c r="E2962" t="str">
        <f>"78399"</f>
        <v>78399</v>
      </c>
    </row>
    <row r="2963" spans="1:5" x14ac:dyDescent="0.25">
      <c r="A2963" t="str">
        <f>"41601154  "</f>
        <v xml:space="preserve">41601154  </v>
      </c>
      <c r="B2963" t="s">
        <v>2907</v>
      </c>
      <c r="C2963">
        <v>462</v>
      </c>
      <c r="D2963" t="str">
        <f>"350"</f>
        <v>350</v>
      </c>
      <c r="E2963" t="str">
        <f>"78226"</f>
        <v>78226</v>
      </c>
    </row>
    <row r="2964" spans="1:5" x14ac:dyDescent="0.25">
      <c r="A2964" t="str">
        <f>"41601204  "</f>
        <v xml:space="preserve">41601204  </v>
      </c>
      <c r="B2964" t="s">
        <v>2908</v>
      </c>
      <c r="C2964">
        <v>770</v>
      </c>
      <c r="D2964" t="str">
        <f>"340"</f>
        <v>340</v>
      </c>
      <c r="E2964" t="str">
        <f>"78278"</f>
        <v>78278</v>
      </c>
    </row>
    <row r="2965" spans="1:5" x14ac:dyDescent="0.25">
      <c r="A2965" t="str">
        <f>"41601451  "</f>
        <v xml:space="preserve">41601451  </v>
      </c>
      <c r="B2965" t="s">
        <v>2909</v>
      </c>
      <c r="C2965">
        <v>225.5</v>
      </c>
      <c r="D2965" t="str">
        <f>"340"</f>
        <v>340</v>
      </c>
      <c r="E2965" t="str">
        <f>"78499"</f>
        <v>78499</v>
      </c>
    </row>
    <row r="2966" spans="1:5" x14ac:dyDescent="0.25">
      <c r="A2966" t="str">
        <f>"41601501  "</f>
        <v xml:space="preserve">41601501  </v>
      </c>
      <c r="B2966" t="s">
        <v>2910</v>
      </c>
      <c r="C2966">
        <v>225.5</v>
      </c>
      <c r="D2966" t="str">
        <f>"340"</f>
        <v>340</v>
      </c>
      <c r="E2966" t="str">
        <f t="shared" ref="E2966:E2984" si="127">"78999"</f>
        <v>78999</v>
      </c>
    </row>
    <row r="2967" spans="1:5" x14ac:dyDescent="0.25">
      <c r="A2967" t="str">
        <f>"41601550  "</f>
        <v xml:space="preserve">41601550  </v>
      </c>
      <c r="B2967" t="s">
        <v>2911</v>
      </c>
      <c r="C2967">
        <v>225.5</v>
      </c>
      <c r="D2967" t="str">
        <f>"255"</f>
        <v>255</v>
      </c>
      <c r="E2967" t="str">
        <f t="shared" si="127"/>
        <v>78999</v>
      </c>
    </row>
    <row r="2968" spans="1:5" x14ac:dyDescent="0.25">
      <c r="A2968" t="str">
        <f>"41601600  "</f>
        <v xml:space="preserve">41601600  </v>
      </c>
      <c r="B2968" t="s">
        <v>2912</v>
      </c>
      <c r="C2968">
        <v>225.5</v>
      </c>
      <c r="D2968" t="str">
        <f t="shared" ref="D2968:D2979" si="128">"340"</f>
        <v>340</v>
      </c>
      <c r="E2968" t="str">
        <f t="shared" si="127"/>
        <v>78999</v>
      </c>
    </row>
    <row r="2969" spans="1:5" x14ac:dyDescent="0.25">
      <c r="A2969" t="str">
        <f>"41601659  "</f>
        <v xml:space="preserve">41601659  </v>
      </c>
      <c r="B2969" t="s">
        <v>2913</v>
      </c>
      <c r="C2969">
        <v>225.5</v>
      </c>
      <c r="D2969" t="str">
        <f t="shared" si="128"/>
        <v>340</v>
      </c>
      <c r="E2969" t="str">
        <f t="shared" si="127"/>
        <v>78999</v>
      </c>
    </row>
    <row r="2970" spans="1:5" x14ac:dyDescent="0.25">
      <c r="A2970" t="str">
        <f>"41601758  "</f>
        <v xml:space="preserve">41601758  </v>
      </c>
      <c r="B2970" t="s">
        <v>2914</v>
      </c>
      <c r="C2970">
        <v>225.5</v>
      </c>
      <c r="D2970" t="str">
        <f t="shared" si="128"/>
        <v>340</v>
      </c>
      <c r="E2970" t="str">
        <f t="shared" si="127"/>
        <v>78999</v>
      </c>
    </row>
    <row r="2971" spans="1:5" x14ac:dyDescent="0.25">
      <c r="A2971" t="str">
        <f>"41601808  "</f>
        <v xml:space="preserve">41601808  </v>
      </c>
      <c r="B2971" t="s">
        <v>2915</v>
      </c>
      <c r="C2971">
        <v>225.5</v>
      </c>
      <c r="D2971" t="str">
        <f t="shared" si="128"/>
        <v>340</v>
      </c>
      <c r="E2971" t="str">
        <f t="shared" si="127"/>
        <v>78999</v>
      </c>
    </row>
    <row r="2972" spans="1:5" x14ac:dyDescent="0.25">
      <c r="A2972" t="str">
        <f>"41601857  "</f>
        <v xml:space="preserve">41601857  </v>
      </c>
      <c r="B2972" t="s">
        <v>2916</v>
      </c>
      <c r="C2972">
        <v>225.5</v>
      </c>
      <c r="D2972" t="str">
        <f t="shared" si="128"/>
        <v>340</v>
      </c>
      <c r="E2972" t="str">
        <f t="shared" si="127"/>
        <v>78999</v>
      </c>
    </row>
    <row r="2973" spans="1:5" x14ac:dyDescent="0.25">
      <c r="A2973" t="str">
        <f>"41601907  "</f>
        <v xml:space="preserve">41601907  </v>
      </c>
      <c r="B2973" t="s">
        <v>2917</v>
      </c>
      <c r="C2973">
        <v>225.5</v>
      </c>
      <c r="D2973" t="str">
        <f t="shared" si="128"/>
        <v>340</v>
      </c>
      <c r="E2973" t="str">
        <f t="shared" si="127"/>
        <v>78999</v>
      </c>
    </row>
    <row r="2974" spans="1:5" x14ac:dyDescent="0.25">
      <c r="A2974" t="str">
        <f>"41602004  "</f>
        <v xml:space="preserve">41602004  </v>
      </c>
      <c r="B2974" t="s">
        <v>2918</v>
      </c>
      <c r="C2974">
        <v>225.5</v>
      </c>
      <c r="D2974" t="str">
        <f t="shared" si="128"/>
        <v>340</v>
      </c>
      <c r="E2974" t="str">
        <f t="shared" si="127"/>
        <v>78999</v>
      </c>
    </row>
    <row r="2975" spans="1:5" x14ac:dyDescent="0.25">
      <c r="A2975" t="str">
        <f>"41602053  "</f>
        <v xml:space="preserve">41602053  </v>
      </c>
      <c r="B2975" t="s">
        <v>2919</v>
      </c>
      <c r="C2975">
        <v>225.5</v>
      </c>
      <c r="D2975" t="str">
        <f t="shared" si="128"/>
        <v>340</v>
      </c>
      <c r="E2975" t="str">
        <f t="shared" si="127"/>
        <v>78999</v>
      </c>
    </row>
    <row r="2976" spans="1:5" x14ac:dyDescent="0.25">
      <c r="A2976" t="str">
        <f>"41602103  "</f>
        <v xml:space="preserve">41602103  </v>
      </c>
      <c r="B2976" t="s">
        <v>2920</v>
      </c>
      <c r="C2976">
        <v>225.5</v>
      </c>
      <c r="D2976" t="str">
        <f t="shared" si="128"/>
        <v>340</v>
      </c>
      <c r="E2976" t="str">
        <f t="shared" si="127"/>
        <v>78999</v>
      </c>
    </row>
    <row r="2977" spans="1:5" x14ac:dyDescent="0.25">
      <c r="A2977" t="str">
        <f>"41602152  "</f>
        <v xml:space="preserve">41602152  </v>
      </c>
      <c r="B2977" t="s">
        <v>2921</v>
      </c>
      <c r="C2977">
        <v>225.5</v>
      </c>
      <c r="D2977" t="str">
        <f t="shared" si="128"/>
        <v>340</v>
      </c>
      <c r="E2977" t="str">
        <f t="shared" si="127"/>
        <v>78999</v>
      </c>
    </row>
    <row r="2978" spans="1:5" x14ac:dyDescent="0.25">
      <c r="A2978" t="str">
        <f>"41602202  "</f>
        <v xml:space="preserve">41602202  </v>
      </c>
      <c r="B2978" t="s">
        <v>2922</v>
      </c>
      <c r="C2978">
        <v>225.5</v>
      </c>
      <c r="D2978" t="str">
        <f t="shared" si="128"/>
        <v>340</v>
      </c>
      <c r="E2978" t="str">
        <f t="shared" si="127"/>
        <v>78999</v>
      </c>
    </row>
    <row r="2979" spans="1:5" x14ac:dyDescent="0.25">
      <c r="A2979" t="str">
        <f>"41602203"</f>
        <v>41602203</v>
      </c>
      <c r="B2979" t="s">
        <v>2923</v>
      </c>
      <c r="C2979">
        <v>225.5</v>
      </c>
      <c r="D2979" t="str">
        <f t="shared" si="128"/>
        <v>340</v>
      </c>
      <c r="E2979" t="str">
        <f t="shared" si="127"/>
        <v>78999</v>
      </c>
    </row>
    <row r="2980" spans="1:5" x14ac:dyDescent="0.25">
      <c r="A2980" t="str">
        <f>"41602251  "</f>
        <v xml:space="preserve">41602251  </v>
      </c>
      <c r="B2980" t="s">
        <v>2924</v>
      </c>
      <c r="C2980">
        <v>225.5</v>
      </c>
      <c r="D2980" t="str">
        <f>"255"</f>
        <v>255</v>
      </c>
      <c r="E2980" t="str">
        <f t="shared" si="127"/>
        <v>78999</v>
      </c>
    </row>
    <row r="2981" spans="1:5" x14ac:dyDescent="0.25">
      <c r="A2981" t="str">
        <f>"41602301  "</f>
        <v xml:space="preserve">41602301  </v>
      </c>
      <c r="B2981" t="s">
        <v>2925</v>
      </c>
      <c r="C2981">
        <v>225.5</v>
      </c>
      <c r="D2981" t="str">
        <f t="shared" ref="D2981:D2998" si="129">"340"</f>
        <v>340</v>
      </c>
      <c r="E2981" t="str">
        <f t="shared" si="127"/>
        <v>78999</v>
      </c>
    </row>
    <row r="2982" spans="1:5" x14ac:dyDescent="0.25">
      <c r="A2982" t="str">
        <f>"41602350  "</f>
        <v xml:space="preserve">41602350  </v>
      </c>
      <c r="B2982" t="s">
        <v>2926</v>
      </c>
      <c r="C2982">
        <v>225.5</v>
      </c>
      <c r="D2982" t="str">
        <f t="shared" si="129"/>
        <v>340</v>
      </c>
      <c r="E2982" t="str">
        <f t="shared" si="127"/>
        <v>78999</v>
      </c>
    </row>
    <row r="2983" spans="1:5" x14ac:dyDescent="0.25">
      <c r="A2983" t="str">
        <f>"41602400  "</f>
        <v xml:space="preserve">41602400  </v>
      </c>
      <c r="B2983" t="s">
        <v>2927</v>
      </c>
      <c r="C2983">
        <v>225.5</v>
      </c>
      <c r="D2983" t="str">
        <f t="shared" si="129"/>
        <v>340</v>
      </c>
      <c r="E2983" t="str">
        <f t="shared" si="127"/>
        <v>78999</v>
      </c>
    </row>
    <row r="2984" spans="1:5" x14ac:dyDescent="0.25">
      <c r="A2984" t="str">
        <f>"41602459  "</f>
        <v xml:space="preserve">41602459  </v>
      </c>
      <c r="B2984" t="s">
        <v>2928</v>
      </c>
      <c r="C2984">
        <v>225.5</v>
      </c>
      <c r="D2984" t="str">
        <f t="shared" si="129"/>
        <v>340</v>
      </c>
      <c r="E2984" t="str">
        <f t="shared" si="127"/>
        <v>78999</v>
      </c>
    </row>
    <row r="2985" spans="1:5" x14ac:dyDescent="0.25">
      <c r="A2985" t="str">
        <f>"41602608  "</f>
        <v xml:space="preserve">41602608  </v>
      </c>
      <c r="B2985" t="s">
        <v>2929</v>
      </c>
      <c r="C2985">
        <v>735.9</v>
      </c>
      <c r="D2985" t="str">
        <f t="shared" si="129"/>
        <v>340</v>
      </c>
      <c r="E2985" t="str">
        <f>"78701"</f>
        <v>78701</v>
      </c>
    </row>
    <row r="2986" spans="1:5" x14ac:dyDescent="0.25">
      <c r="A2986" t="str">
        <f>"41602657  "</f>
        <v xml:space="preserve">41602657  </v>
      </c>
      <c r="B2986" t="s">
        <v>2930</v>
      </c>
      <c r="C2986">
        <v>735.9</v>
      </c>
      <c r="D2986" t="str">
        <f t="shared" si="129"/>
        <v>340</v>
      </c>
      <c r="E2986" t="str">
        <f>"78700"</f>
        <v>78700</v>
      </c>
    </row>
    <row r="2987" spans="1:5" x14ac:dyDescent="0.25">
      <c r="A2987" t="str">
        <f>"41602756  "</f>
        <v xml:space="preserve">41602756  </v>
      </c>
      <c r="B2987" t="s">
        <v>2931</v>
      </c>
      <c r="C2987">
        <v>642.4</v>
      </c>
      <c r="D2987" t="str">
        <f t="shared" si="129"/>
        <v>340</v>
      </c>
      <c r="E2987" t="str">
        <f>"78707"</f>
        <v>78707</v>
      </c>
    </row>
    <row r="2988" spans="1:5" x14ac:dyDescent="0.25">
      <c r="A2988" t="str">
        <f>"41602806  "</f>
        <v xml:space="preserve">41602806  </v>
      </c>
      <c r="B2988" t="s">
        <v>2932</v>
      </c>
      <c r="C2988">
        <v>456.5</v>
      </c>
      <c r="D2988" t="str">
        <f t="shared" si="129"/>
        <v>340</v>
      </c>
      <c r="E2988" t="str">
        <f>"78226"</f>
        <v>78226</v>
      </c>
    </row>
    <row r="2989" spans="1:5" x14ac:dyDescent="0.25">
      <c r="A2989" t="str">
        <f>"41602855  "</f>
        <v xml:space="preserve">41602855  </v>
      </c>
      <c r="B2989" t="s">
        <v>2933</v>
      </c>
      <c r="C2989">
        <v>715</v>
      </c>
      <c r="D2989" t="str">
        <f t="shared" si="129"/>
        <v>340</v>
      </c>
      <c r="E2989" t="str">
        <f>"78215"</f>
        <v>78215</v>
      </c>
    </row>
    <row r="2990" spans="1:5" x14ac:dyDescent="0.25">
      <c r="A2990" t="str">
        <f>"41602905  "</f>
        <v xml:space="preserve">41602905  </v>
      </c>
      <c r="B2990" t="s">
        <v>2934</v>
      </c>
      <c r="C2990">
        <v>614.9</v>
      </c>
      <c r="D2990" t="str">
        <f t="shared" si="129"/>
        <v>340</v>
      </c>
      <c r="E2990" t="str">
        <f>"78202"</f>
        <v>78202</v>
      </c>
    </row>
    <row r="2991" spans="1:5" x14ac:dyDescent="0.25">
      <c r="A2991" t="str">
        <f>"41603002  "</f>
        <v xml:space="preserve">41603002  </v>
      </c>
      <c r="B2991" t="s">
        <v>2935</v>
      </c>
      <c r="C2991">
        <v>635.79999999999995</v>
      </c>
      <c r="D2991" t="str">
        <f t="shared" si="129"/>
        <v>340</v>
      </c>
      <c r="E2991" t="str">
        <f>"78201"</f>
        <v>78201</v>
      </c>
    </row>
    <row r="2992" spans="1:5" x14ac:dyDescent="0.25">
      <c r="A2992" t="str">
        <f>"41603051  "</f>
        <v xml:space="preserve">41603051  </v>
      </c>
      <c r="B2992" t="s">
        <v>2936</v>
      </c>
      <c r="C2992">
        <v>691.9</v>
      </c>
      <c r="D2992" t="str">
        <f t="shared" si="129"/>
        <v>340</v>
      </c>
      <c r="E2992" t="str">
        <f>"78202"</f>
        <v>78202</v>
      </c>
    </row>
    <row r="2993" spans="1:5" x14ac:dyDescent="0.25">
      <c r="A2993" t="str">
        <f>"41603101  "</f>
        <v xml:space="preserve">41603101  </v>
      </c>
      <c r="B2993" t="s">
        <v>2937</v>
      </c>
      <c r="C2993">
        <v>858</v>
      </c>
      <c r="D2993" t="str">
        <f t="shared" si="129"/>
        <v>340</v>
      </c>
      <c r="E2993" t="str">
        <f>"78216"</f>
        <v>78216</v>
      </c>
    </row>
    <row r="2994" spans="1:5" x14ac:dyDescent="0.25">
      <c r="A2994" t="str">
        <f>"41603200  "</f>
        <v xml:space="preserve">41603200  </v>
      </c>
      <c r="B2994" t="s">
        <v>2938</v>
      </c>
      <c r="C2994" s="1">
        <v>1155</v>
      </c>
      <c r="D2994" t="str">
        <f t="shared" si="129"/>
        <v>340</v>
      </c>
      <c r="E2994" t="str">
        <f>"78580"</f>
        <v>78580</v>
      </c>
    </row>
    <row r="2995" spans="1:5" x14ac:dyDescent="0.25">
      <c r="A2995" t="str">
        <f>"41603309  "</f>
        <v xml:space="preserve">41603309  </v>
      </c>
      <c r="B2995" t="s">
        <v>2939</v>
      </c>
      <c r="C2995">
        <v>797.5</v>
      </c>
      <c r="D2995" t="str">
        <f t="shared" si="129"/>
        <v>340</v>
      </c>
      <c r="E2995" t="str">
        <f>"78580"</f>
        <v>78580</v>
      </c>
    </row>
    <row r="2996" spans="1:5" x14ac:dyDescent="0.25">
      <c r="A2996" t="str">
        <f>"41603408  "</f>
        <v xml:space="preserve">41603408  </v>
      </c>
      <c r="B2996" t="s">
        <v>2940</v>
      </c>
      <c r="C2996">
        <v>715</v>
      </c>
      <c r="D2996" t="str">
        <f t="shared" si="129"/>
        <v>340</v>
      </c>
      <c r="E2996" t="str">
        <f>"78579"</f>
        <v>78579</v>
      </c>
    </row>
    <row r="2997" spans="1:5" x14ac:dyDescent="0.25">
      <c r="A2997" t="str">
        <f>"41603416  "</f>
        <v xml:space="preserve">41603416  </v>
      </c>
      <c r="B2997" t="s">
        <v>2941</v>
      </c>
      <c r="C2997" s="1">
        <v>1155</v>
      </c>
      <c r="D2997" t="str">
        <f t="shared" si="129"/>
        <v>340</v>
      </c>
      <c r="E2997" t="str">
        <f>"78582"</f>
        <v>78582</v>
      </c>
    </row>
    <row r="2998" spans="1:5" x14ac:dyDescent="0.25">
      <c r="A2998" t="str">
        <f>"41603556  "</f>
        <v xml:space="preserve">41603556  </v>
      </c>
      <c r="B2998" t="s">
        <v>2942</v>
      </c>
      <c r="C2998">
        <v>510.4</v>
      </c>
      <c r="D2998" t="str">
        <f t="shared" si="129"/>
        <v>340</v>
      </c>
      <c r="E2998" t="str">
        <f>"78451"</f>
        <v>78451</v>
      </c>
    </row>
    <row r="2999" spans="1:5" x14ac:dyDescent="0.25">
      <c r="A2999" t="str">
        <f>"41603705  "</f>
        <v xml:space="preserve">41603705  </v>
      </c>
      <c r="B2999" t="s">
        <v>2943</v>
      </c>
      <c r="C2999">
        <v>660</v>
      </c>
      <c r="D2999" t="str">
        <f>"255"</f>
        <v>255</v>
      </c>
    </row>
    <row r="3000" spans="1:5" x14ac:dyDescent="0.25">
      <c r="A3000" t="str">
        <f>"41604505  "</f>
        <v xml:space="preserve">41604505  </v>
      </c>
      <c r="B3000" t="s">
        <v>2944</v>
      </c>
      <c r="C3000">
        <v>759</v>
      </c>
      <c r="D3000" t="str">
        <f t="shared" ref="D3000:D3013" si="130">"340"</f>
        <v>340</v>
      </c>
      <c r="E3000" t="str">
        <f>"78701"</f>
        <v>78701</v>
      </c>
    </row>
    <row r="3001" spans="1:5" x14ac:dyDescent="0.25">
      <c r="A3001" t="str">
        <f>"41604554  "</f>
        <v xml:space="preserve">41604554  </v>
      </c>
      <c r="B3001" t="s">
        <v>2945</v>
      </c>
      <c r="C3001" s="1">
        <v>1045</v>
      </c>
      <c r="D3001" t="str">
        <f t="shared" si="130"/>
        <v>340</v>
      </c>
      <c r="E3001" t="str">
        <f>"78701"</f>
        <v>78701</v>
      </c>
    </row>
    <row r="3002" spans="1:5" x14ac:dyDescent="0.25">
      <c r="A3002" t="str">
        <f>"41604760  "</f>
        <v xml:space="preserve">41604760  </v>
      </c>
      <c r="B3002" t="s">
        <v>2946</v>
      </c>
      <c r="C3002">
        <v>420.2</v>
      </c>
      <c r="D3002" t="str">
        <f t="shared" si="130"/>
        <v>340</v>
      </c>
      <c r="E3002" t="str">
        <f>"78761"</f>
        <v>78761</v>
      </c>
    </row>
    <row r="3003" spans="1:5" x14ac:dyDescent="0.25">
      <c r="A3003" t="str">
        <f>"41604802  "</f>
        <v xml:space="preserve">41604802  </v>
      </c>
      <c r="B3003" t="s">
        <v>2947</v>
      </c>
      <c r="C3003">
        <v>486.2</v>
      </c>
      <c r="D3003" t="str">
        <f t="shared" si="130"/>
        <v>340</v>
      </c>
      <c r="E3003" t="str">
        <f>"78185"</f>
        <v>78185</v>
      </c>
    </row>
    <row r="3004" spans="1:5" x14ac:dyDescent="0.25">
      <c r="A3004" t="str">
        <f>"41604851  "</f>
        <v xml:space="preserve">41604851  </v>
      </c>
      <c r="B3004" t="s">
        <v>2948</v>
      </c>
      <c r="C3004">
        <v>486.2</v>
      </c>
      <c r="D3004" t="str">
        <f t="shared" si="130"/>
        <v>340</v>
      </c>
      <c r="E3004" t="str">
        <f>"78185"</f>
        <v>78185</v>
      </c>
    </row>
    <row r="3005" spans="1:5" x14ac:dyDescent="0.25">
      <c r="A3005" t="str">
        <f>"41605155  "</f>
        <v xml:space="preserve">41605155  </v>
      </c>
      <c r="B3005" t="s">
        <v>2949</v>
      </c>
      <c r="C3005" s="1">
        <v>1452</v>
      </c>
      <c r="D3005" t="str">
        <f t="shared" si="130"/>
        <v>340</v>
      </c>
      <c r="E3005" t="str">
        <f>"78013"</f>
        <v>78013</v>
      </c>
    </row>
    <row r="3006" spans="1:5" x14ac:dyDescent="0.25">
      <c r="A3006" t="str">
        <f>"41605205  "</f>
        <v xml:space="preserve">41605205  </v>
      </c>
      <c r="B3006" t="s">
        <v>2950</v>
      </c>
      <c r="C3006">
        <v>770</v>
      </c>
      <c r="D3006" t="str">
        <f t="shared" si="130"/>
        <v>340</v>
      </c>
      <c r="E3006" t="str">
        <f>"78013"</f>
        <v>78013</v>
      </c>
    </row>
    <row r="3007" spans="1:5" x14ac:dyDescent="0.25">
      <c r="A3007" t="str">
        <f>"41605452  "</f>
        <v xml:space="preserve">41605452  </v>
      </c>
      <c r="B3007" t="s">
        <v>2951</v>
      </c>
      <c r="C3007">
        <v>412.5</v>
      </c>
      <c r="D3007" t="str">
        <f t="shared" si="130"/>
        <v>340</v>
      </c>
      <c r="E3007" t="str">
        <f>"78012"</f>
        <v>78012</v>
      </c>
    </row>
    <row r="3008" spans="1:5" x14ac:dyDescent="0.25">
      <c r="A3008" t="str">
        <f>"41605817  "</f>
        <v xml:space="preserve">41605817  </v>
      </c>
      <c r="B3008" t="s">
        <v>2952</v>
      </c>
      <c r="C3008">
        <v>420.2</v>
      </c>
      <c r="D3008" t="str">
        <f t="shared" si="130"/>
        <v>340</v>
      </c>
      <c r="E3008" t="str">
        <f>"78761"</f>
        <v>78761</v>
      </c>
    </row>
    <row r="3009" spans="1:5" x14ac:dyDescent="0.25">
      <c r="A3009" t="str">
        <f>"41606302  "</f>
        <v xml:space="preserve">41606302  </v>
      </c>
      <c r="B3009" t="s">
        <v>2953</v>
      </c>
      <c r="C3009">
        <v>121</v>
      </c>
      <c r="D3009" t="str">
        <f t="shared" si="130"/>
        <v>340</v>
      </c>
      <c r="E3009" t="str">
        <f>"78999"</f>
        <v>78999</v>
      </c>
    </row>
    <row r="3010" spans="1:5" x14ac:dyDescent="0.25">
      <c r="A3010" t="str">
        <f>"41606468  "</f>
        <v xml:space="preserve">41606468  </v>
      </c>
      <c r="B3010" t="s">
        <v>2954</v>
      </c>
      <c r="C3010">
        <v>154</v>
      </c>
      <c r="D3010" t="str">
        <f t="shared" si="130"/>
        <v>340</v>
      </c>
      <c r="E3010" t="str">
        <f>"99050"</f>
        <v>99050</v>
      </c>
    </row>
    <row r="3011" spans="1:5" x14ac:dyDescent="0.25">
      <c r="A3011" t="str">
        <f>"41606609  "</f>
        <v xml:space="preserve">41606609  </v>
      </c>
      <c r="B3011" t="s">
        <v>2955</v>
      </c>
      <c r="C3011" s="1">
        <v>1157.2</v>
      </c>
      <c r="D3011" t="str">
        <f t="shared" si="130"/>
        <v>340</v>
      </c>
      <c r="E3011" t="str">
        <f>"78999"</f>
        <v>78999</v>
      </c>
    </row>
    <row r="3012" spans="1:5" x14ac:dyDescent="0.25">
      <c r="A3012" t="str">
        <f>"41612356"</f>
        <v>41612356</v>
      </c>
      <c r="B3012" t="s">
        <v>2956</v>
      </c>
      <c r="C3012" s="1">
        <v>2200</v>
      </c>
      <c r="D3012" t="str">
        <f t="shared" si="130"/>
        <v>340</v>
      </c>
      <c r="E3012" t="str">
        <f>"78315"</f>
        <v>78315</v>
      </c>
    </row>
    <row r="3013" spans="1:5" x14ac:dyDescent="0.25">
      <c r="A3013" t="str">
        <f>"41612470"</f>
        <v>41612470</v>
      </c>
      <c r="B3013" t="s">
        <v>2957</v>
      </c>
      <c r="C3013" s="1">
        <v>1980</v>
      </c>
      <c r="D3013" t="str">
        <f t="shared" si="130"/>
        <v>340</v>
      </c>
      <c r="E3013" t="str">
        <f>"78264"</f>
        <v>78264</v>
      </c>
    </row>
    <row r="3014" spans="1:5" x14ac:dyDescent="0.25">
      <c r="A3014" t="str">
        <f>"40799804"</f>
        <v>40799804</v>
      </c>
      <c r="B3014" t="s">
        <v>2958</v>
      </c>
      <c r="C3014">
        <v>160.49</v>
      </c>
      <c r="D3014" t="str">
        <f t="shared" ref="D3014:D3032" si="131">"250"</f>
        <v>250</v>
      </c>
    </row>
    <row r="3015" spans="1:5" x14ac:dyDescent="0.25">
      <c r="A3015" t="str">
        <f>"41700006  "</f>
        <v xml:space="preserve">41700006  </v>
      </c>
      <c r="B3015" t="s">
        <v>2959</v>
      </c>
      <c r="C3015">
        <v>91.58</v>
      </c>
      <c r="D3015" t="str">
        <f t="shared" si="131"/>
        <v>250</v>
      </c>
      <c r="E3015" t="str">
        <f>"J3490"</f>
        <v>J3490</v>
      </c>
    </row>
    <row r="3016" spans="1:5" x14ac:dyDescent="0.25">
      <c r="A3016" t="str">
        <f>"41700007"</f>
        <v>41700007</v>
      </c>
      <c r="B3016" t="s">
        <v>2960</v>
      </c>
      <c r="C3016">
        <v>55</v>
      </c>
      <c r="D3016" t="str">
        <f t="shared" si="131"/>
        <v>250</v>
      </c>
    </row>
    <row r="3017" spans="1:5" x14ac:dyDescent="0.25">
      <c r="A3017" t="str">
        <f>"41700008"</f>
        <v>41700008</v>
      </c>
      <c r="B3017" t="s">
        <v>2961</v>
      </c>
      <c r="C3017">
        <v>30.8</v>
      </c>
      <c r="D3017" t="str">
        <f t="shared" si="131"/>
        <v>250</v>
      </c>
    </row>
    <row r="3018" spans="1:5" x14ac:dyDescent="0.25">
      <c r="A3018" t="str">
        <f>"41700009"</f>
        <v>41700009</v>
      </c>
      <c r="B3018" t="s">
        <v>2962</v>
      </c>
      <c r="C3018">
        <v>41.8</v>
      </c>
      <c r="D3018" t="str">
        <f t="shared" si="131"/>
        <v>250</v>
      </c>
    </row>
    <row r="3019" spans="1:5" x14ac:dyDescent="0.25">
      <c r="A3019" t="str">
        <f>"41700010"</f>
        <v>41700010</v>
      </c>
      <c r="B3019" t="s">
        <v>2963</v>
      </c>
      <c r="C3019">
        <v>49.5</v>
      </c>
      <c r="D3019" t="str">
        <f t="shared" si="131"/>
        <v>250</v>
      </c>
    </row>
    <row r="3020" spans="1:5" x14ac:dyDescent="0.25">
      <c r="A3020" t="str">
        <f>"41700014  "</f>
        <v xml:space="preserve">41700014  </v>
      </c>
      <c r="B3020" t="s">
        <v>2964</v>
      </c>
      <c r="C3020">
        <v>12.1</v>
      </c>
      <c r="D3020" t="str">
        <f t="shared" si="131"/>
        <v>250</v>
      </c>
    </row>
    <row r="3021" spans="1:5" x14ac:dyDescent="0.25">
      <c r="A3021" t="str">
        <f>"41700022  "</f>
        <v xml:space="preserve">41700022  </v>
      </c>
      <c r="B3021" t="s">
        <v>2965</v>
      </c>
      <c r="C3021">
        <v>24.87</v>
      </c>
      <c r="D3021" t="str">
        <f t="shared" si="131"/>
        <v>250</v>
      </c>
    </row>
    <row r="3022" spans="1:5" x14ac:dyDescent="0.25">
      <c r="A3022" t="str">
        <f>"41700030  "</f>
        <v xml:space="preserve">41700030  </v>
      </c>
      <c r="B3022" t="s">
        <v>2966</v>
      </c>
      <c r="C3022">
        <v>539</v>
      </c>
      <c r="D3022" t="str">
        <f t="shared" si="131"/>
        <v>250</v>
      </c>
    </row>
    <row r="3023" spans="1:5" x14ac:dyDescent="0.25">
      <c r="A3023" t="str">
        <f>"41700055  "</f>
        <v xml:space="preserve">41700055  </v>
      </c>
      <c r="B3023" t="s">
        <v>2967</v>
      </c>
      <c r="C3023">
        <v>91.33</v>
      </c>
      <c r="D3023" t="str">
        <f t="shared" si="131"/>
        <v>250</v>
      </c>
      <c r="E3023" t="str">
        <f>"J3490"</f>
        <v>J3490</v>
      </c>
    </row>
    <row r="3024" spans="1:5" x14ac:dyDescent="0.25">
      <c r="A3024" t="str">
        <f>"41700063  "</f>
        <v xml:space="preserve">41700063  </v>
      </c>
      <c r="B3024" t="s">
        <v>2968</v>
      </c>
      <c r="C3024">
        <v>8.8000000000000007</v>
      </c>
      <c r="D3024" t="str">
        <f t="shared" si="131"/>
        <v>250</v>
      </c>
    </row>
    <row r="3025" spans="1:5" x14ac:dyDescent="0.25">
      <c r="A3025" t="str">
        <f>"41700071  "</f>
        <v xml:space="preserve">41700071  </v>
      </c>
      <c r="B3025" t="s">
        <v>2969</v>
      </c>
      <c r="C3025">
        <v>8.25</v>
      </c>
      <c r="D3025" t="str">
        <f t="shared" si="131"/>
        <v>250</v>
      </c>
    </row>
    <row r="3026" spans="1:5" x14ac:dyDescent="0.25">
      <c r="A3026" t="str">
        <f>"41700089  "</f>
        <v xml:space="preserve">41700089  </v>
      </c>
      <c r="B3026" t="s">
        <v>2970</v>
      </c>
      <c r="C3026">
        <v>253</v>
      </c>
      <c r="D3026" t="str">
        <f t="shared" si="131"/>
        <v>250</v>
      </c>
    </row>
    <row r="3027" spans="1:5" x14ac:dyDescent="0.25">
      <c r="A3027" t="str">
        <f>"41700105  "</f>
        <v xml:space="preserve">41700105  </v>
      </c>
      <c r="B3027" t="s">
        <v>2971</v>
      </c>
      <c r="C3027">
        <v>29.22</v>
      </c>
      <c r="D3027" t="str">
        <f t="shared" si="131"/>
        <v>250</v>
      </c>
    </row>
    <row r="3028" spans="1:5" x14ac:dyDescent="0.25">
      <c r="A3028" t="str">
        <f>"41700139  "</f>
        <v xml:space="preserve">41700139  </v>
      </c>
      <c r="B3028" t="s">
        <v>2972</v>
      </c>
      <c r="C3028">
        <v>117.7</v>
      </c>
      <c r="D3028" t="str">
        <f t="shared" si="131"/>
        <v>250</v>
      </c>
    </row>
    <row r="3029" spans="1:5" x14ac:dyDescent="0.25">
      <c r="A3029" t="str">
        <f>"41700147  "</f>
        <v xml:space="preserve">41700147  </v>
      </c>
      <c r="B3029" t="s">
        <v>2973</v>
      </c>
      <c r="C3029" s="1">
        <v>1276</v>
      </c>
      <c r="D3029" t="str">
        <f t="shared" si="131"/>
        <v>250</v>
      </c>
    </row>
    <row r="3030" spans="1:5" x14ac:dyDescent="0.25">
      <c r="A3030" t="str">
        <f>"41700154  "</f>
        <v xml:space="preserve">41700154  </v>
      </c>
      <c r="B3030" t="s">
        <v>2974</v>
      </c>
      <c r="C3030">
        <v>80.3</v>
      </c>
      <c r="D3030" t="str">
        <f t="shared" si="131"/>
        <v>250</v>
      </c>
    </row>
    <row r="3031" spans="1:5" x14ac:dyDescent="0.25">
      <c r="A3031" t="str">
        <f>"41700162  "</f>
        <v xml:space="preserve">41700162  </v>
      </c>
      <c r="B3031" t="s">
        <v>2975</v>
      </c>
      <c r="C3031">
        <v>16.28</v>
      </c>
      <c r="D3031" t="str">
        <f t="shared" si="131"/>
        <v>250</v>
      </c>
    </row>
    <row r="3032" spans="1:5" x14ac:dyDescent="0.25">
      <c r="A3032" t="str">
        <f>"41700169"</f>
        <v>41700169</v>
      </c>
      <c r="B3032" t="s">
        <v>2976</v>
      </c>
      <c r="C3032">
        <v>16.5</v>
      </c>
      <c r="D3032" t="str">
        <f t="shared" si="131"/>
        <v>250</v>
      </c>
    </row>
    <row r="3033" spans="1:5" x14ac:dyDescent="0.25">
      <c r="A3033" t="str">
        <f>"41700188  "</f>
        <v xml:space="preserve">41700188  </v>
      </c>
      <c r="B3033" t="s">
        <v>2977</v>
      </c>
      <c r="C3033">
        <v>13.2</v>
      </c>
      <c r="D3033" t="str">
        <f>"257"</f>
        <v>257</v>
      </c>
    </row>
    <row r="3034" spans="1:5" x14ac:dyDescent="0.25">
      <c r="A3034" t="str">
        <f>"41700196  "</f>
        <v xml:space="preserve">41700196  </v>
      </c>
      <c r="B3034" t="s">
        <v>2978</v>
      </c>
      <c r="C3034">
        <v>71.45</v>
      </c>
      <c r="D3034" t="str">
        <f t="shared" ref="D3034:D3039" si="132">"250"</f>
        <v>250</v>
      </c>
    </row>
    <row r="3035" spans="1:5" x14ac:dyDescent="0.25">
      <c r="A3035" t="str">
        <f>"41700240"</f>
        <v>41700240</v>
      </c>
      <c r="B3035" t="s">
        <v>2979</v>
      </c>
      <c r="C3035">
        <v>87.45</v>
      </c>
      <c r="D3035" t="str">
        <f t="shared" si="132"/>
        <v>250</v>
      </c>
    </row>
    <row r="3036" spans="1:5" x14ac:dyDescent="0.25">
      <c r="A3036" t="str">
        <f>"41700253  "</f>
        <v xml:space="preserve">41700253  </v>
      </c>
      <c r="B3036" t="s">
        <v>2980</v>
      </c>
      <c r="C3036">
        <v>6.6</v>
      </c>
      <c r="D3036" t="str">
        <f t="shared" si="132"/>
        <v>250</v>
      </c>
    </row>
    <row r="3037" spans="1:5" x14ac:dyDescent="0.25">
      <c r="A3037" t="str">
        <f>"41700279  "</f>
        <v xml:space="preserve">41700279  </v>
      </c>
      <c r="B3037" t="s">
        <v>2981</v>
      </c>
      <c r="C3037">
        <v>401.5</v>
      </c>
      <c r="D3037" t="str">
        <f t="shared" si="132"/>
        <v>250</v>
      </c>
    </row>
    <row r="3038" spans="1:5" x14ac:dyDescent="0.25">
      <c r="A3038" t="str">
        <f>"41700287  "</f>
        <v xml:space="preserve">41700287  </v>
      </c>
      <c r="B3038" t="s">
        <v>2982</v>
      </c>
      <c r="C3038">
        <v>360.8</v>
      </c>
      <c r="D3038" t="str">
        <f t="shared" si="132"/>
        <v>250</v>
      </c>
    </row>
    <row r="3039" spans="1:5" x14ac:dyDescent="0.25">
      <c r="A3039" t="str">
        <f>"41700320"</f>
        <v>41700320</v>
      </c>
      <c r="B3039" t="s">
        <v>2983</v>
      </c>
      <c r="C3039">
        <v>8.25</v>
      </c>
      <c r="D3039" t="str">
        <f t="shared" si="132"/>
        <v>250</v>
      </c>
    </row>
    <row r="3040" spans="1:5" x14ac:dyDescent="0.25">
      <c r="A3040" t="str">
        <f>"41700329  "</f>
        <v xml:space="preserve">41700329  </v>
      </c>
      <c r="B3040" t="s">
        <v>2984</v>
      </c>
      <c r="C3040">
        <v>71.5</v>
      </c>
      <c r="D3040" t="str">
        <f>"257"</f>
        <v>257</v>
      </c>
      <c r="E3040" t="str">
        <f>"J3490"</f>
        <v>J3490</v>
      </c>
    </row>
    <row r="3041" spans="1:5" x14ac:dyDescent="0.25">
      <c r="A3041" t="str">
        <f>"41700345  "</f>
        <v xml:space="preserve">41700345  </v>
      </c>
      <c r="B3041" t="s">
        <v>2985</v>
      </c>
      <c r="C3041">
        <v>25.15</v>
      </c>
      <c r="D3041" t="str">
        <f>"250"</f>
        <v>250</v>
      </c>
      <c r="E3041" t="str">
        <f>"J8499"</f>
        <v>J8499</v>
      </c>
    </row>
    <row r="3042" spans="1:5" x14ac:dyDescent="0.25">
      <c r="A3042" t="str">
        <f>"41700354"</f>
        <v>41700354</v>
      </c>
      <c r="B3042" t="s">
        <v>2986</v>
      </c>
      <c r="C3042">
        <v>11</v>
      </c>
      <c r="D3042" t="str">
        <f>"250"</f>
        <v>250</v>
      </c>
    </row>
    <row r="3043" spans="1:5" x14ac:dyDescent="0.25">
      <c r="A3043" t="str">
        <f>"41700469  "</f>
        <v xml:space="preserve">41700469  </v>
      </c>
      <c r="B3043" t="s">
        <v>2987</v>
      </c>
      <c r="C3043">
        <v>7.7</v>
      </c>
      <c r="D3043" t="str">
        <f>"250"</f>
        <v>250</v>
      </c>
      <c r="E3043" t="str">
        <f>"J8499"</f>
        <v>J8499</v>
      </c>
    </row>
    <row r="3044" spans="1:5" x14ac:dyDescent="0.25">
      <c r="A3044" t="str">
        <f>"41700485  "</f>
        <v xml:space="preserve">41700485  </v>
      </c>
      <c r="B3044" t="s">
        <v>2985</v>
      </c>
      <c r="C3044">
        <v>25.08</v>
      </c>
      <c r="D3044" t="str">
        <f>"250"</f>
        <v>250</v>
      </c>
      <c r="E3044" t="str">
        <f>"J8499"</f>
        <v>J8499</v>
      </c>
    </row>
    <row r="3045" spans="1:5" x14ac:dyDescent="0.25">
      <c r="A3045" t="str">
        <f>"41700493  "</f>
        <v xml:space="preserve">41700493  </v>
      </c>
      <c r="B3045" t="s">
        <v>2988</v>
      </c>
      <c r="C3045">
        <v>28.29</v>
      </c>
      <c r="D3045" t="str">
        <f>"250"</f>
        <v>250</v>
      </c>
    </row>
    <row r="3046" spans="1:5" x14ac:dyDescent="0.25">
      <c r="A3046" t="str">
        <f>"41700520"</f>
        <v>41700520</v>
      </c>
      <c r="B3046" t="s">
        <v>2989</v>
      </c>
      <c r="C3046">
        <v>6.6</v>
      </c>
      <c r="D3046" t="str">
        <f>"257"</f>
        <v>257</v>
      </c>
    </row>
    <row r="3047" spans="1:5" x14ac:dyDescent="0.25">
      <c r="A3047" t="str">
        <f>"41700550  "</f>
        <v xml:space="preserve">41700550  </v>
      </c>
      <c r="B3047" t="s">
        <v>2990</v>
      </c>
      <c r="C3047">
        <v>6.6</v>
      </c>
      <c r="D3047" t="str">
        <f>"257"</f>
        <v>257</v>
      </c>
      <c r="E3047" t="str">
        <f>"J3490"</f>
        <v>J3490</v>
      </c>
    </row>
    <row r="3048" spans="1:5" x14ac:dyDescent="0.25">
      <c r="A3048" t="str">
        <f>"41700576  "</f>
        <v xml:space="preserve">41700576  </v>
      </c>
      <c r="B3048" t="s">
        <v>2991</v>
      </c>
      <c r="C3048">
        <v>10.45</v>
      </c>
      <c r="D3048" t="str">
        <f>"250"</f>
        <v>250</v>
      </c>
      <c r="E3048" t="str">
        <f>"J8499"</f>
        <v>J8499</v>
      </c>
    </row>
    <row r="3049" spans="1:5" x14ac:dyDescent="0.25">
      <c r="A3049" t="str">
        <f>"41700600  "</f>
        <v xml:space="preserve">41700600  </v>
      </c>
      <c r="B3049" t="s">
        <v>2992</v>
      </c>
      <c r="C3049">
        <v>6.6</v>
      </c>
      <c r="D3049" t="str">
        <f>"257"</f>
        <v>257</v>
      </c>
      <c r="E3049" t="str">
        <f>"J3490"</f>
        <v>J3490</v>
      </c>
    </row>
    <row r="3050" spans="1:5" x14ac:dyDescent="0.25">
      <c r="A3050" t="str">
        <f>"41700709  "</f>
        <v xml:space="preserve">41700709  </v>
      </c>
      <c r="B3050" t="s">
        <v>2993</v>
      </c>
      <c r="C3050">
        <v>115.5</v>
      </c>
      <c r="D3050" t="str">
        <f>"250"</f>
        <v>250</v>
      </c>
    </row>
    <row r="3051" spans="1:5" x14ac:dyDescent="0.25">
      <c r="A3051" t="str">
        <f>"41700857  "</f>
        <v xml:space="preserve">41700857  </v>
      </c>
      <c r="B3051" t="s">
        <v>2994</v>
      </c>
      <c r="C3051">
        <v>427.9</v>
      </c>
      <c r="D3051" t="str">
        <f>"250"</f>
        <v>250</v>
      </c>
      <c r="E3051" t="str">
        <f>"J3490"</f>
        <v>J3490</v>
      </c>
    </row>
    <row r="3052" spans="1:5" x14ac:dyDescent="0.25">
      <c r="A3052" t="str">
        <f>"41700865  "</f>
        <v xml:space="preserve">41700865  </v>
      </c>
      <c r="B3052" t="s">
        <v>2995</v>
      </c>
      <c r="C3052">
        <v>300.02999999999997</v>
      </c>
      <c r="D3052" t="str">
        <f>"250"</f>
        <v>250</v>
      </c>
      <c r="E3052" t="str">
        <f>"J3490"</f>
        <v>J3490</v>
      </c>
    </row>
    <row r="3053" spans="1:5" x14ac:dyDescent="0.25">
      <c r="A3053" t="str">
        <f>"41700873  "</f>
        <v xml:space="preserve">41700873  </v>
      </c>
      <c r="B3053" t="s">
        <v>2996</v>
      </c>
      <c r="C3053">
        <v>505.32</v>
      </c>
      <c r="D3053" t="str">
        <f>"250"</f>
        <v>250</v>
      </c>
      <c r="E3053" t="str">
        <f>"J3490"</f>
        <v>J3490</v>
      </c>
    </row>
    <row r="3054" spans="1:5" x14ac:dyDescent="0.25">
      <c r="A3054" t="str">
        <f>"41700956  "</f>
        <v xml:space="preserve">41700956  </v>
      </c>
      <c r="B3054" t="s">
        <v>2997</v>
      </c>
      <c r="C3054">
        <v>44</v>
      </c>
      <c r="D3054" t="str">
        <f>"257"</f>
        <v>257</v>
      </c>
    </row>
    <row r="3055" spans="1:5" x14ac:dyDescent="0.25">
      <c r="A3055" t="str">
        <f>"41700964  "</f>
        <v xml:space="preserve">41700964  </v>
      </c>
      <c r="B3055" t="s">
        <v>2998</v>
      </c>
      <c r="C3055">
        <v>459.8</v>
      </c>
      <c r="D3055" t="str">
        <f t="shared" ref="D3055:D3063" si="133">"250"</f>
        <v>250</v>
      </c>
      <c r="E3055" t="str">
        <f>"J3490"</f>
        <v>J3490</v>
      </c>
    </row>
    <row r="3056" spans="1:5" x14ac:dyDescent="0.25">
      <c r="A3056" t="str">
        <f>"41701053  "</f>
        <v xml:space="preserve">41701053  </v>
      </c>
      <c r="B3056" t="s">
        <v>2999</v>
      </c>
      <c r="C3056">
        <v>6.6</v>
      </c>
      <c r="D3056" t="str">
        <f t="shared" si="133"/>
        <v>250</v>
      </c>
      <c r="E3056" t="str">
        <f>"J8499"</f>
        <v>J8499</v>
      </c>
    </row>
    <row r="3057" spans="1:5" x14ac:dyDescent="0.25">
      <c r="A3057" t="str">
        <f>"41701061  "</f>
        <v xml:space="preserve">41701061  </v>
      </c>
      <c r="B3057" t="s">
        <v>3000</v>
      </c>
      <c r="C3057">
        <v>7.7</v>
      </c>
      <c r="D3057" t="str">
        <f t="shared" si="133"/>
        <v>250</v>
      </c>
      <c r="E3057" t="str">
        <f>"J8499"</f>
        <v>J8499</v>
      </c>
    </row>
    <row r="3058" spans="1:5" x14ac:dyDescent="0.25">
      <c r="A3058" t="str">
        <f>"41701111  "</f>
        <v xml:space="preserve">41701111  </v>
      </c>
      <c r="B3058" t="s">
        <v>3001</v>
      </c>
      <c r="C3058">
        <v>95.7</v>
      </c>
      <c r="D3058" t="str">
        <f t="shared" si="133"/>
        <v>250</v>
      </c>
      <c r="E3058" t="str">
        <f>"J3490"</f>
        <v>J3490</v>
      </c>
    </row>
    <row r="3059" spans="1:5" x14ac:dyDescent="0.25">
      <c r="A3059" t="str">
        <f>"41701152  "</f>
        <v xml:space="preserve">41701152  </v>
      </c>
      <c r="B3059" t="s">
        <v>3002</v>
      </c>
      <c r="C3059">
        <v>6.6</v>
      </c>
      <c r="D3059" t="str">
        <f t="shared" si="133"/>
        <v>250</v>
      </c>
      <c r="E3059" t="str">
        <f>"J8499"</f>
        <v>J8499</v>
      </c>
    </row>
    <row r="3060" spans="1:5" x14ac:dyDescent="0.25">
      <c r="A3060" t="str">
        <f>"41701160  "</f>
        <v xml:space="preserve">41701160  </v>
      </c>
      <c r="B3060" t="s">
        <v>3003</v>
      </c>
      <c r="C3060">
        <v>7.7</v>
      </c>
      <c r="D3060" t="str">
        <f t="shared" si="133"/>
        <v>250</v>
      </c>
      <c r="E3060" t="str">
        <f>"J8499"</f>
        <v>J8499</v>
      </c>
    </row>
    <row r="3061" spans="1:5" x14ac:dyDescent="0.25">
      <c r="A3061" t="str">
        <f>"41701200"</f>
        <v>41701200</v>
      </c>
      <c r="B3061" t="s">
        <v>3004</v>
      </c>
      <c r="C3061">
        <v>9.36</v>
      </c>
      <c r="D3061" t="str">
        <f t="shared" si="133"/>
        <v>250</v>
      </c>
    </row>
    <row r="3062" spans="1:5" x14ac:dyDescent="0.25">
      <c r="A3062" t="str">
        <f>"41701202  "</f>
        <v xml:space="preserve">41701202  </v>
      </c>
      <c r="B3062" t="s">
        <v>3005</v>
      </c>
      <c r="C3062">
        <v>27.61</v>
      </c>
      <c r="D3062" t="str">
        <f t="shared" si="133"/>
        <v>250</v>
      </c>
      <c r="E3062" t="str">
        <f>"J8499"</f>
        <v>J8499</v>
      </c>
    </row>
    <row r="3063" spans="1:5" x14ac:dyDescent="0.25">
      <c r="A3063" t="str">
        <f>"41701234"</f>
        <v>41701234</v>
      </c>
      <c r="B3063" t="s">
        <v>3006</v>
      </c>
      <c r="C3063">
        <v>8.8000000000000007</v>
      </c>
      <c r="D3063" t="str">
        <f t="shared" si="133"/>
        <v>250</v>
      </c>
    </row>
    <row r="3064" spans="1:5" x14ac:dyDescent="0.25">
      <c r="A3064" t="str">
        <f>"41701251  "</f>
        <v xml:space="preserve">41701251  </v>
      </c>
      <c r="B3064" t="s">
        <v>3007</v>
      </c>
      <c r="C3064">
        <v>49.5</v>
      </c>
      <c r="D3064" t="str">
        <f>"257"</f>
        <v>257</v>
      </c>
    </row>
    <row r="3065" spans="1:5" x14ac:dyDescent="0.25">
      <c r="A3065" t="str">
        <f>"41701269  "</f>
        <v xml:space="preserve">41701269  </v>
      </c>
      <c r="B3065" t="s">
        <v>3008</v>
      </c>
      <c r="C3065">
        <v>13.75</v>
      </c>
      <c r="D3065" t="str">
        <f t="shared" ref="D3065:D3070" si="134">"250"</f>
        <v>250</v>
      </c>
      <c r="E3065" t="str">
        <f>"J8499"</f>
        <v>J8499</v>
      </c>
    </row>
    <row r="3066" spans="1:5" x14ac:dyDescent="0.25">
      <c r="A3066" t="str">
        <f>"41701277  "</f>
        <v xml:space="preserve">41701277  </v>
      </c>
      <c r="B3066" t="s">
        <v>3009</v>
      </c>
      <c r="C3066">
        <v>23.9</v>
      </c>
      <c r="D3066" t="str">
        <f t="shared" si="134"/>
        <v>250</v>
      </c>
    </row>
    <row r="3067" spans="1:5" x14ac:dyDescent="0.25">
      <c r="A3067" t="str">
        <f>"41701368  "</f>
        <v xml:space="preserve">41701368  </v>
      </c>
      <c r="B3067" t="s">
        <v>3010</v>
      </c>
      <c r="C3067">
        <v>134.75</v>
      </c>
      <c r="D3067" t="str">
        <f t="shared" si="134"/>
        <v>250</v>
      </c>
      <c r="E3067" t="str">
        <f>"J3490"</f>
        <v>J3490</v>
      </c>
    </row>
    <row r="3068" spans="1:5" x14ac:dyDescent="0.25">
      <c r="A3068" t="str">
        <f>"41701418  "</f>
        <v xml:space="preserve">41701418  </v>
      </c>
      <c r="B3068" t="s">
        <v>3011</v>
      </c>
      <c r="C3068">
        <v>8.8000000000000007</v>
      </c>
      <c r="D3068" t="str">
        <f t="shared" si="134"/>
        <v>250</v>
      </c>
      <c r="E3068" t="str">
        <f>"J8499"</f>
        <v>J8499</v>
      </c>
    </row>
    <row r="3069" spans="1:5" x14ac:dyDescent="0.25">
      <c r="A3069" t="str">
        <f>"41701426  "</f>
        <v xml:space="preserve">41701426  </v>
      </c>
      <c r="B3069" t="s">
        <v>3012</v>
      </c>
      <c r="C3069">
        <v>393.36</v>
      </c>
      <c r="D3069" t="str">
        <f t="shared" si="134"/>
        <v>250</v>
      </c>
      <c r="E3069" t="str">
        <f>"X5562"</f>
        <v>X5562</v>
      </c>
    </row>
    <row r="3070" spans="1:5" x14ac:dyDescent="0.25">
      <c r="A3070" t="str">
        <f>"41701426  "</f>
        <v xml:space="preserve">41701426  </v>
      </c>
      <c r="B3070" t="s">
        <v>3012</v>
      </c>
      <c r="C3070">
        <v>393.36</v>
      </c>
      <c r="D3070" t="str">
        <f t="shared" si="134"/>
        <v>250</v>
      </c>
      <c r="E3070" t="str">
        <f>"J3490"</f>
        <v>J3490</v>
      </c>
    </row>
    <row r="3071" spans="1:5" x14ac:dyDescent="0.25">
      <c r="A3071" t="str">
        <f>"41701459  "</f>
        <v xml:space="preserve">41701459  </v>
      </c>
      <c r="B3071" t="s">
        <v>3013</v>
      </c>
      <c r="C3071">
        <v>6.6</v>
      </c>
      <c r="D3071" t="str">
        <f>"257"</f>
        <v>257</v>
      </c>
      <c r="E3071" t="str">
        <f>"J3490"</f>
        <v>J3490</v>
      </c>
    </row>
    <row r="3072" spans="1:5" x14ac:dyDescent="0.25">
      <c r="A3072" t="str">
        <f>"41701467  "</f>
        <v xml:space="preserve">41701467  </v>
      </c>
      <c r="B3072" t="s">
        <v>3014</v>
      </c>
      <c r="C3072">
        <v>11.92</v>
      </c>
      <c r="D3072" t="str">
        <f t="shared" ref="D3072:D3091" si="135">"250"</f>
        <v>250</v>
      </c>
      <c r="E3072" t="str">
        <f>"J8499"</f>
        <v>J8499</v>
      </c>
    </row>
    <row r="3073" spans="1:5" x14ac:dyDescent="0.25">
      <c r="A3073" t="str">
        <f>"41701558  "</f>
        <v xml:space="preserve">41701558  </v>
      </c>
      <c r="B3073" t="s">
        <v>3015</v>
      </c>
      <c r="C3073">
        <v>159.5</v>
      </c>
      <c r="D3073" t="str">
        <f t="shared" si="135"/>
        <v>250</v>
      </c>
      <c r="E3073" t="str">
        <f>"J3535"</f>
        <v>J3535</v>
      </c>
    </row>
    <row r="3074" spans="1:5" x14ac:dyDescent="0.25">
      <c r="A3074" t="str">
        <f>"41701657  "</f>
        <v xml:space="preserve">41701657  </v>
      </c>
      <c r="B3074" t="s">
        <v>3016</v>
      </c>
      <c r="C3074">
        <v>6.6</v>
      </c>
      <c r="D3074" t="str">
        <f t="shared" si="135"/>
        <v>250</v>
      </c>
      <c r="E3074" t="str">
        <f>"J8499"</f>
        <v>J8499</v>
      </c>
    </row>
    <row r="3075" spans="1:5" x14ac:dyDescent="0.25">
      <c r="A3075" t="str">
        <f>"41701707  "</f>
        <v xml:space="preserve">41701707  </v>
      </c>
      <c r="B3075" t="s">
        <v>3017</v>
      </c>
      <c r="C3075">
        <v>6.6</v>
      </c>
      <c r="D3075" t="str">
        <f t="shared" si="135"/>
        <v>250</v>
      </c>
      <c r="E3075" t="str">
        <f>"J8499"</f>
        <v>J8499</v>
      </c>
    </row>
    <row r="3076" spans="1:5" x14ac:dyDescent="0.25">
      <c r="A3076" t="str">
        <f>"41701855  "</f>
        <v xml:space="preserve">41701855  </v>
      </c>
      <c r="B3076" t="s">
        <v>3018</v>
      </c>
      <c r="C3076">
        <v>491.7</v>
      </c>
      <c r="D3076" t="str">
        <f t="shared" si="135"/>
        <v>250</v>
      </c>
      <c r="E3076" t="str">
        <f>"X5562"</f>
        <v>X5562</v>
      </c>
    </row>
    <row r="3077" spans="1:5" x14ac:dyDescent="0.25">
      <c r="A3077" t="str">
        <f>"41701855  "</f>
        <v xml:space="preserve">41701855  </v>
      </c>
      <c r="B3077" t="s">
        <v>3018</v>
      </c>
      <c r="C3077">
        <v>491.7</v>
      </c>
      <c r="D3077" t="str">
        <f t="shared" si="135"/>
        <v>250</v>
      </c>
      <c r="E3077" t="str">
        <f>"J3490"</f>
        <v>J3490</v>
      </c>
    </row>
    <row r="3078" spans="1:5" x14ac:dyDescent="0.25">
      <c r="A3078" t="str">
        <f>"41701871  "</f>
        <v xml:space="preserve">41701871  </v>
      </c>
      <c r="B3078" t="s">
        <v>3019</v>
      </c>
      <c r="C3078">
        <v>9.35</v>
      </c>
      <c r="D3078" t="str">
        <f t="shared" si="135"/>
        <v>250</v>
      </c>
      <c r="E3078" t="str">
        <f>"J8499"</f>
        <v>J8499</v>
      </c>
    </row>
    <row r="3079" spans="1:5" x14ac:dyDescent="0.25">
      <c r="A3079" t="str">
        <f>"41701962  "</f>
        <v xml:space="preserve">41701962  </v>
      </c>
      <c r="B3079" t="s">
        <v>3020</v>
      </c>
      <c r="C3079">
        <v>51.7</v>
      </c>
      <c r="D3079" t="str">
        <f t="shared" si="135"/>
        <v>250</v>
      </c>
      <c r="E3079" t="str">
        <f>"J7060"</f>
        <v>J7060</v>
      </c>
    </row>
    <row r="3080" spans="1:5" x14ac:dyDescent="0.25">
      <c r="A3080" t="str">
        <f>"41702101  "</f>
        <v xml:space="preserve">41702101  </v>
      </c>
      <c r="B3080" t="s">
        <v>3021</v>
      </c>
      <c r="C3080">
        <v>31.9</v>
      </c>
      <c r="D3080" t="str">
        <f t="shared" si="135"/>
        <v>250</v>
      </c>
      <c r="E3080" t="str">
        <f>"90779"</f>
        <v>90779</v>
      </c>
    </row>
    <row r="3081" spans="1:5" x14ac:dyDescent="0.25">
      <c r="A3081" t="str">
        <f>"41702101  "</f>
        <v xml:space="preserve">41702101  </v>
      </c>
      <c r="B3081" t="s">
        <v>3021</v>
      </c>
      <c r="C3081">
        <v>31.9</v>
      </c>
      <c r="D3081" t="str">
        <f t="shared" si="135"/>
        <v>250</v>
      </c>
      <c r="E3081" t="str">
        <f>"J0280"</f>
        <v>J0280</v>
      </c>
    </row>
    <row r="3082" spans="1:5" x14ac:dyDescent="0.25">
      <c r="A3082" t="str">
        <f>"41702150  "</f>
        <v xml:space="preserve">41702150  </v>
      </c>
      <c r="B3082" t="s">
        <v>3022</v>
      </c>
      <c r="C3082">
        <v>47.3</v>
      </c>
      <c r="D3082" t="str">
        <f t="shared" si="135"/>
        <v>250</v>
      </c>
      <c r="E3082" t="str">
        <f>"90779"</f>
        <v>90779</v>
      </c>
    </row>
    <row r="3083" spans="1:5" x14ac:dyDescent="0.25">
      <c r="A3083" t="str">
        <f>"41702150  "</f>
        <v xml:space="preserve">41702150  </v>
      </c>
      <c r="B3083" t="s">
        <v>3022</v>
      </c>
      <c r="C3083">
        <v>47.3</v>
      </c>
      <c r="D3083" t="str">
        <f t="shared" si="135"/>
        <v>250</v>
      </c>
      <c r="E3083" t="str">
        <f>"J0280"</f>
        <v>J0280</v>
      </c>
    </row>
    <row r="3084" spans="1:5" x14ac:dyDescent="0.25">
      <c r="A3084" t="str">
        <f>"41702275  "</f>
        <v xml:space="preserve">41702275  </v>
      </c>
      <c r="B3084" t="s">
        <v>3023</v>
      </c>
      <c r="C3084">
        <v>397.1</v>
      </c>
      <c r="D3084" t="str">
        <f t="shared" si="135"/>
        <v>250</v>
      </c>
      <c r="E3084" t="str">
        <f>"X5562"</f>
        <v>X5562</v>
      </c>
    </row>
    <row r="3085" spans="1:5" x14ac:dyDescent="0.25">
      <c r="A3085" t="str">
        <f>"41702275  "</f>
        <v xml:space="preserve">41702275  </v>
      </c>
      <c r="B3085" t="s">
        <v>3023</v>
      </c>
      <c r="C3085">
        <v>397.1</v>
      </c>
      <c r="D3085" t="str">
        <f t="shared" si="135"/>
        <v>250</v>
      </c>
      <c r="E3085" t="str">
        <f>"J3490"</f>
        <v>J3490</v>
      </c>
    </row>
    <row r="3086" spans="1:5" x14ac:dyDescent="0.25">
      <c r="A3086" t="str">
        <f>"41702290"</f>
        <v>41702290</v>
      </c>
      <c r="B3086" t="s">
        <v>3024</v>
      </c>
      <c r="C3086">
        <v>435.22</v>
      </c>
      <c r="D3086" t="str">
        <f t="shared" si="135"/>
        <v>250</v>
      </c>
    </row>
    <row r="3087" spans="1:5" x14ac:dyDescent="0.25">
      <c r="A3087" t="str">
        <f>"41702323"</f>
        <v>41702323</v>
      </c>
      <c r="B3087" t="s">
        <v>3025</v>
      </c>
      <c r="C3087">
        <v>52.09</v>
      </c>
      <c r="D3087" t="str">
        <f t="shared" si="135"/>
        <v>250</v>
      </c>
    </row>
    <row r="3088" spans="1:5" x14ac:dyDescent="0.25">
      <c r="A3088" t="str">
        <f>"41702334"</f>
        <v>41702334</v>
      </c>
      <c r="B3088" t="s">
        <v>3026</v>
      </c>
      <c r="C3088">
        <v>11</v>
      </c>
      <c r="D3088" t="str">
        <f t="shared" si="135"/>
        <v>250</v>
      </c>
    </row>
    <row r="3089" spans="1:5" x14ac:dyDescent="0.25">
      <c r="A3089" t="str">
        <f>"41702366  "</f>
        <v xml:space="preserve">41702366  </v>
      </c>
      <c r="B3089" t="s">
        <v>3027</v>
      </c>
      <c r="C3089">
        <v>6.6</v>
      </c>
      <c r="D3089" t="str">
        <f t="shared" si="135"/>
        <v>250</v>
      </c>
      <c r="E3089" t="str">
        <f>"J8499"</f>
        <v>J8499</v>
      </c>
    </row>
    <row r="3090" spans="1:5" x14ac:dyDescent="0.25">
      <c r="A3090" t="str">
        <f>"41702390  "</f>
        <v xml:space="preserve">41702390  </v>
      </c>
      <c r="B3090" t="s">
        <v>3028</v>
      </c>
      <c r="C3090">
        <v>6.6</v>
      </c>
      <c r="D3090" t="str">
        <f t="shared" si="135"/>
        <v>250</v>
      </c>
      <c r="E3090" t="str">
        <f>"J8499"</f>
        <v>J8499</v>
      </c>
    </row>
    <row r="3091" spans="1:5" x14ac:dyDescent="0.25">
      <c r="A3091" t="str">
        <f>"41702424  "</f>
        <v xml:space="preserve">41702424  </v>
      </c>
      <c r="B3091" t="s">
        <v>3029</v>
      </c>
      <c r="C3091">
        <v>7.7</v>
      </c>
      <c r="D3091" t="str">
        <f t="shared" si="135"/>
        <v>250</v>
      </c>
      <c r="E3091" t="str">
        <f>"J8499"</f>
        <v>J8499</v>
      </c>
    </row>
    <row r="3092" spans="1:5" x14ac:dyDescent="0.25">
      <c r="A3092" t="str">
        <f>"41702465  "</f>
        <v xml:space="preserve">41702465  </v>
      </c>
      <c r="B3092" t="s">
        <v>3030</v>
      </c>
      <c r="C3092">
        <v>6.6</v>
      </c>
      <c r="D3092" t="str">
        <f>"257"</f>
        <v>257</v>
      </c>
      <c r="E3092" t="str">
        <f>"J3490"</f>
        <v>J3490</v>
      </c>
    </row>
    <row r="3093" spans="1:5" x14ac:dyDescent="0.25">
      <c r="A3093" t="str">
        <f>"41702507  "</f>
        <v xml:space="preserve">41702507  </v>
      </c>
      <c r="B3093" t="s">
        <v>3031</v>
      </c>
      <c r="C3093">
        <v>359.7</v>
      </c>
      <c r="D3093" t="str">
        <f t="shared" ref="D3093:D3126" si="136">"250"</f>
        <v>250</v>
      </c>
      <c r="E3093" t="str">
        <f>"X5572"</f>
        <v>X5572</v>
      </c>
    </row>
    <row r="3094" spans="1:5" x14ac:dyDescent="0.25">
      <c r="A3094" t="str">
        <f>"41702507  "</f>
        <v xml:space="preserve">41702507  </v>
      </c>
      <c r="B3094" t="s">
        <v>3031</v>
      </c>
      <c r="C3094">
        <v>359.7</v>
      </c>
      <c r="D3094" t="str">
        <f t="shared" si="136"/>
        <v>250</v>
      </c>
      <c r="E3094" t="str">
        <f>"J0285"</f>
        <v>J0285</v>
      </c>
    </row>
    <row r="3095" spans="1:5" x14ac:dyDescent="0.25">
      <c r="A3095" t="str">
        <f>"41702531  "</f>
        <v xml:space="preserve">41702531  </v>
      </c>
      <c r="B3095" t="s">
        <v>3032</v>
      </c>
      <c r="C3095">
        <v>41.27</v>
      </c>
      <c r="D3095" t="str">
        <f t="shared" si="136"/>
        <v>250</v>
      </c>
    </row>
    <row r="3096" spans="1:5" x14ac:dyDescent="0.25">
      <c r="A3096" t="str">
        <f>"41702606  "</f>
        <v xml:space="preserve">41702606  </v>
      </c>
      <c r="B3096" t="s">
        <v>3033</v>
      </c>
      <c r="C3096">
        <v>28.6</v>
      </c>
      <c r="D3096" t="str">
        <f t="shared" si="136"/>
        <v>250</v>
      </c>
      <c r="E3096" t="str">
        <f>"X5588"</f>
        <v>X5588</v>
      </c>
    </row>
    <row r="3097" spans="1:5" x14ac:dyDescent="0.25">
      <c r="A3097" t="str">
        <f>"41702606  "</f>
        <v xml:space="preserve">41702606  </v>
      </c>
      <c r="B3097" t="s">
        <v>3033</v>
      </c>
      <c r="C3097">
        <v>28.6</v>
      </c>
      <c r="D3097" t="str">
        <f t="shared" si="136"/>
        <v>250</v>
      </c>
      <c r="E3097" t="str">
        <f>"J0290"</f>
        <v>J0290</v>
      </c>
    </row>
    <row r="3098" spans="1:5" x14ac:dyDescent="0.25">
      <c r="A3098" t="str">
        <f>"41702614  "</f>
        <v xml:space="preserve">41702614  </v>
      </c>
      <c r="B3098" t="s">
        <v>3034</v>
      </c>
      <c r="C3098">
        <v>28.6</v>
      </c>
      <c r="D3098" t="str">
        <f t="shared" si="136"/>
        <v>250</v>
      </c>
      <c r="E3098" t="str">
        <f>"X5588"</f>
        <v>X5588</v>
      </c>
    </row>
    <row r="3099" spans="1:5" x14ac:dyDescent="0.25">
      <c r="A3099" t="str">
        <f>"41702614  "</f>
        <v xml:space="preserve">41702614  </v>
      </c>
      <c r="B3099" t="s">
        <v>3034</v>
      </c>
      <c r="C3099">
        <v>28.6</v>
      </c>
      <c r="D3099" t="str">
        <f t="shared" si="136"/>
        <v>250</v>
      </c>
      <c r="E3099" t="str">
        <f>"J0290"</f>
        <v>J0290</v>
      </c>
    </row>
    <row r="3100" spans="1:5" x14ac:dyDescent="0.25">
      <c r="A3100" t="str">
        <f>"41702705  "</f>
        <v xml:space="preserve">41702705  </v>
      </c>
      <c r="B3100" t="s">
        <v>3035</v>
      </c>
      <c r="C3100">
        <v>37.4</v>
      </c>
      <c r="D3100" t="str">
        <f t="shared" si="136"/>
        <v>250</v>
      </c>
      <c r="E3100" t="str">
        <f>"X5586"</f>
        <v>X5586</v>
      </c>
    </row>
    <row r="3101" spans="1:5" x14ac:dyDescent="0.25">
      <c r="A3101" t="str">
        <f>"41702705  "</f>
        <v xml:space="preserve">41702705  </v>
      </c>
      <c r="B3101" t="s">
        <v>3035</v>
      </c>
      <c r="C3101">
        <v>37.4</v>
      </c>
      <c r="D3101" t="str">
        <f t="shared" si="136"/>
        <v>250</v>
      </c>
      <c r="E3101" t="str">
        <f>"J0290"</f>
        <v>J0290</v>
      </c>
    </row>
    <row r="3102" spans="1:5" x14ac:dyDescent="0.25">
      <c r="A3102" t="str">
        <f>"41702713  "</f>
        <v xml:space="preserve">41702713  </v>
      </c>
      <c r="B3102" t="s">
        <v>3036</v>
      </c>
      <c r="C3102">
        <v>37.4</v>
      </c>
      <c r="D3102" t="str">
        <f t="shared" si="136"/>
        <v>250</v>
      </c>
      <c r="E3102" t="str">
        <f>"X5586"</f>
        <v>X5586</v>
      </c>
    </row>
    <row r="3103" spans="1:5" x14ac:dyDescent="0.25">
      <c r="A3103" t="str">
        <f>"41702713  "</f>
        <v xml:space="preserve">41702713  </v>
      </c>
      <c r="B3103" t="s">
        <v>3036</v>
      </c>
      <c r="C3103">
        <v>37.4</v>
      </c>
      <c r="D3103" t="str">
        <f t="shared" si="136"/>
        <v>250</v>
      </c>
      <c r="E3103" t="str">
        <f>"J0290"</f>
        <v>J0290</v>
      </c>
    </row>
    <row r="3104" spans="1:5" x14ac:dyDescent="0.25">
      <c r="A3104" t="str">
        <f>"41702754  "</f>
        <v xml:space="preserve">41702754  </v>
      </c>
      <c r="B3104" t="s">
        <v>3037</v>
      </c>
      <c r="C3104">
        <v>44</v>
      </c>
      <c r="D3104" t="str">
        <f t="shared" si="136"/>
        <v>250</v>
      </c>
      <c r="E3104" t="str">
        <f>"X5582"</f>
        <v>X5582</v>
      </c>
    </row>
    <row r="3105" spans="1:5" x14ac:dyDescent="0.25">
      <c r="A3105" t="str">
        <f>"41702762  "</f>
        <v xml:space="preserve">41702762  </v>
      </c>
      <c r="B3105" t="s">
        <v>3038</v>
      </c>
      <c r="C3105">
        <v>44</v>
      </c>
      <c r="D3105" t="str">
        <f t="shared" si="136"/>
        <v>250</v>
      </c>
      <c r="E3105" t="str">
        <f>"X5582"</f>
        <v>X5582</v>
      </c>
    </row>
    <row r="3106" spans="1:5" x14ac:dyDescent="0.25">
      <c r="A3106" t="str">
        <f>"41702762  "</f>
        <v xml:space="preserve">41702762  </v>
      </c>
      <c r="B3106" t="s">
        <v>3038</v>
      </c>
      <c r="C3106">
        <v>44</v>
      </c>
      <c r="D3106" t="str">
        <f t="shared" si="136"/>
        <v>250</v>
      </c>
      <c r="E3106" t="str">
        <f>"J0290"</f>
        <v>J0290</v>
      </c>
    </row>
    <row r="3107" spans="1:5" x14ac:dyDescent="0.25">
      <c r="A3107" t="str">
        <f>"41702804  "</f>
        <v xml:space="preserve">41702804  </v>
      </c>
      <c r="B3107" t="s">
        <v>3039</v>
      </c>
      <c r="C3107">
        <v>80.3</v>
      </c>
      <c r="D3107" t="str">
        <f t="shared" si="136"/>
        <v>250</v>
      </c>
      <c r="E3107" t="str">
        <f>"X5578"</f>
        <v>X5578</v>
      </c>
    </row>
    <row r="3108" spans="1:5" x14ac:dyDescent="0.25">
      <c r="A3108" t="str">
        <f>"41702804  "</f>
        <v xml:space="preserve">41702804  </v>
      </c>
      <c r="B3108" t="s">
        <v>3039</v>
      </c>
      <c r="C3108">
        <v>80.3</v>
      </c>
      <c r="D3108" t="str">
        <f t="shared" si="136"/>
        <v>250</v>
      </c>
      <c r="E3108" t="str">
        <f>"J0290"</f>
        <v>J0290</v>
      </c>
    </row>
    <row r="3109" spans="1:5" x14ac:dyDescent="0.25">
      <c r="A3109" t="str">
        <f>"41702853  "</f>
        <v xml:space="preserve">41702853  </v>
      </c>
      <c r="B3109" t="s">
        <v>3040</v>
      </c>
      <c r="C3109">
        <v>6.6</v>
      </c>
      <c r="D3109" t="str">
        <f t="shared" si="136"/>
        <v>250</v>
      </c>
      <c r="E3109" t="str">
        <f>"J8499"</f>
        <v>J8499</v>
      </c>
    </row>
    <row r="3110" spans="1:5" x14ac:dyDescent="0.25">
      <c r="A3110" t="str">
        <f>"41702903  "</f>
        <v xml:space="preserve">41702903  </v>
      </c>
      <c r="B3110" t="s">
        <v>3041</v>
      </c>
      <c r="C3110">
        <v>7.7</v>
      </c>
      <c r="D3110" t="str">
        <f t="shared" si="136"/>
        <v>250</v>
      </c>
      <c r="E3110" t="str">
        <f>"J8499"</f>
        <v>J8499</v>
      </c>
    </row>
    <row r="3111" spans="1:5" x14ac:dyDescent="0.25">
      <c r="A3111" t="str">
        <f>"41703109  "</f>
        <v xml:space="preserve">41703109  </v>
      </c>
      <c r="B3111" t="s">
        <v>3042</v>
      </c>
      <c r="C3111">
        <v>60.5</v>
      </c>
      <c r="D3111" t="str">
        <f t="shared" si="136"/>
        <v>250</v>
      </c>
      <c r="E3111" t="str">
        <f>"X5608"</f>
        <v>X5608</v>
      </c>
    </row>
    <row r="3112" spans="1:5" x14ac:dyDescent="0.25">
      <c r="A3112" t="str">
        <f>"41703109  "</f>
        <v xml:space="preserve">41703109  </v>
      </c>
      <c r="B3112" t="s">
        <v>3042</v>
      </c>
      <c r="C3112">
        <v>60.5</v>
      </c>
      <c r="D3112" t="str">
        <f t="shared" si="136"/>
        <v>250</v>
      </c>
      <c r="E3112" t="str">
        <f>"J0690"</f>
        <v>J0690</v>
      </c>
    </row>
    <row r="3113" spans="1:5" x14ac:dyDescent="0.25">
      <c r="A3113" t="str">
        <f>"41703117  "</f>
        <v xml:space="preserve">41703117  </v>
      </c>
      <c r="B3113" t="s">
        <v>3043</v>
      </c>
      <c r="C3113">
        <v>44</v>
      </c>
      <c r="D3113" t="str">
        <f t="shared" si="136"/>
        <v>250</v>
      </c>
      <c r="E3113" t="str">
        <f>"X5608"</f>
        <v>X5608</v>
      </c>
    </row>
    <row r="3114" spans="1:5" x14ac:dyDescent="0.25">
      <c r="A3114" t="str">
        <f>"41703117  "</f>
        <v xml:space="preserve">41703117  </v>
      </c>
      <c r="B3114" t="s">
        <v>3043</v>
      </c>
      <c r="C3114">
        <v>44</v>
      </c>
      <c r="D3114" t="str">
        <f t="shared" si="136"/>
        <v>250</v>
      </c>
      <c r="E3114" t="str">
        <f>"J3490"</f>
        <v>J3490</v>
      </c>
    </row>
    <row r="3115" spans="1:5" x14ac:dyDescent="0.25">
      <c r="A3115" t="str">
        <f>"41703158  "</f>
        <v xml:space="preserve">41703158  </v>
      </c>
      <c r="B3115" t="s">
        <v>3044</v>
      </c>
      <c r="C3115">
        <v>33</v>
      </c>
      <c r="D3115" t="str">
        <f t="shared" si="136"/>
        <v>250</v>
      </c>
      <c r="E3115" t="str">
        <f>"X5612"</f>
        <v>X5612</v>
      </c>
    </row>
    <row r="3116" spans="1:5" x14ac:dyDescent="0.25">
      <c r="A3116" t="str">
        <f>"41703158  "</f>
        <v xml:space="preserve">41703158  </v>
      </c>
      <c r="B3116" t="s">
        <v>3044</v>
      </c>
      <c r="C3116">
        <v>33</v>
      </c>
      <c r="D3116" t="str">
        <f t="shared" si="136"/>
        <v>250</v>
      </c>
      <c r="E3116" t="str">
        <f>"J0690"</f>
        <v>J0690</v>
      </c>
    </row>
    <row r="3117" spans="1:5" x14ac:dyDescent="0.25">
      <c r="A3117" t="str">
        <f>"41703166  "</f>
        <v xml:space="preserve">41703166  </v>
      </c>
      <c r="B3117" t="s">
        <v>3045</v>
      </c>
      <c r="C3117">
        <v>24.2</v>
      </c>
      <c r="D3117" t="str">
        <f t="shared" si="136"/>
        <v>250</v>
      </c>
      <c r="E3117" t="str">
        <f>"X5612"</f>
        <v>X5612</v>
      </c>
    </row>
    <row r="3118" spans="1:5" x14ac:dyDescent="0.25">
      <c r="A3118" t="str">
        <f>"41703166  "</f>
        <v xml:space="preserve">41703166  </v>
      </c>
      <c r="B3118" t="s">
        <v>3045</v>
      </c>
      <c r="C3118">
        <v>24.2</v>
      </c>
      <c r="D3118" t="str">
        <f t="shared" si="136"/>
        <v>250</v>
      </c>
      <c r="E3118" t="str">
        <f>"J3490"</f>
        <v>J3490</v>
      </c>
    </row>
    <row r="3119" spans="1:5" x14ac:dyDescent="0.25">
      <c r="A3119" t="str">
        <f>"41703208  "</f>
        <v xml:space="preserve">41703208  </v>
      </c>
      <c r="B3119" t="s">
        <v>3046</v>
      </c>
      <c r="C3119">
        <v>151.80000000000001</v>
      </c>
      <c r="D3119" t="str">
        <f t="shared" si="136"/>
        <v>250</v>
      </c>
      <c r="E3119" t="str">
        <f>"X5636"</f>
        <v>X5636</v>
      </c>
    </row>
    <row r="3120" spans="1:5" x14ac:dyDescent="0.25">
      <c r="A3120" t="str">
        <f>"41703208  "</f>
        <v xml:space="preserve">41703208  </v>
      </c>
      <c r="B3120" t="s">
        <v>3046</v>
      </c>
      <c r="C3120">
        <v>151.80000000000001</v>
      </c>
      <c r="D3120" t="str">
        <f t="shared" si="136"/>
        <v>250</v>
      </c>
      <c r="E3120" t="str">
        <f>"J0330"</f>
        <v>J0330</v>
      </c>
    </row>
    <row r="3121" spans="1:5" x14ac:dyDescent="0.25">
      <c r="A3121" t="str">
        <f>"41703216  "</f>
        <v xml:space="preserve">41703216  </v>
      </c>
      <c r="B3121" t="s">
        <v>3047</v>
      </c>
      <c r="C3121">
        <v>442.2</v>
      </c>
      <c r="D3121" t="str">
        <f t="shared" si="136"/>
        <v>250</v>
      </c>
      <c r="E3121" t="str">
        <f>"X5562"</f>
        <v>X5562</v>
      </c>
    </row>
    <row r="3122" spans="1:5" x14ac:dyDescent="0.25">
      <c r="A3122" t="str">
        <f>"41703216  "</f>
        <v xml:space="preserve">41703216  </v>
      </c>
      <c r="B3122" t="s">
        <v>3047</v>
      </c>
      <c r="C3122">
        <v>442.2</v>
      </c>
      <c r="D3122" t="str">
        <f t="shared" si="136"/>
        <v>250</v>
      </c>
      <c r="E3122" t="str">
        <f>"J3490"</f>
        <v>J3490</v>
      </c>
    </row>
    <row r="3123" spans="1:5" x14ac:dyDescent="0.25">
      <c r="A3123" t="str">
        <f>"41703265  "</f>
        <v xml:space="preserve">41703265  </v>
      </c>
      <c r="B3123" t="s">
        <v>3048</v>
      </c>
      <c r="C3123">
        <v>293.7</v>
      </c>
      <c r="D3123" t="str">
        <f t="shared" si="136"/>
        <v>250</v>
      </c>
      <c r="E3123" t="str">
        <f>"X5562"</f>
        <v>X5562</v>
      </c>
    </row>
    <row r="3124" spans="1:5" x14ac:dyDescent="0.25">
      <c r="A3124" t="str">
        <f>"41703265  "</f>
        <v xml:space="preserve">41703265  </v>
      </c>
      <c r="B3124" t="s">
        <v>3048</v>
      </c>
      <c r="C3124">
        <v>293.7</v>
      </c>
      <c r="D3124" t="str">
        <f t="shared" si="136"/>
        <v>250</v>
      </c>
      <c r="E3124" t="str">
        <f>"J3490"</f>
        <v>J3490</v>
      </c>
    </row>
    <row r="3125" spans="1:5" x14ac:dyDescent="0.25">
      <c r="A3125" t="str">
        <f>"41703356  "</f>
        <v xml:space="preserve">41703356  </v>
      </c>
      <c r="B3125" t="s">
        <v>3049</v>
      </c>
      <c r="C3125">
        <v>77</v>
      </c>
      <c r="D3125" t="str">
        <f t="shared" si="136"/>
        <v>250</v>
      </c>
      <c r="E3125" t="str">
        <f>"X5640"</f>
        <v>X5640</v>
      </c>
    </row>
    <row r="3126" spans="1:5" x14ac:dyDescent="0.25">
      <c r="A3126" t="str">
        <f>"41703356  "</f>
        <v xml:space="preserve">41703356  </v>
      </c>
      <c r="B3126" t="s">
        <v>3049</v>
      </c>
      <c r="C3126">
        <v>77</v>
      </c>
      <c r="D3126" t="str">
        <f t="shared" si="136"/>
        <v>250</v>
      </c>
      <c r="E3126" t="str">
        <f>"J3490"</f>
        <v>J3490</v>
      </c>
    </row>
    <row r="3127" spans="1:5" x14ac:dyDescent="0.25">
      <c r="A3127" t="str">
        <f>"41703406  "</f>
        <v xml:space="preserve">41703406  </v>
      </c>
      <c r="B3127" t="s">
        <v>3050</v>
      </c>
      <c r="C3127">
        <v>6.6</v>
      </c>
      <c r="D3127" t="str">
        <f>"257"</f>
        <v>257</v>
      </c>
      <c r="E3127" t="str">
        <f>"J8499"</f>
        <v>J8499</v>
      </c>
    </row>
    <row r="3128" spans="1:5" x14ac:dyDescent="0.25">
      <c r="A3128" t="str">
        <f>"41703414  "</f>
        <v xml:space="preserve">41703414  </v>
      </c>
      <c r="B3128" t="s">
        <v>3051</v>
      </c>
      <c r="C3128">
        <v>6.6</v>
      </c>
      <c r="D3128" t="str">
        <f>"257"</f>
        <v>257</v>
      </c>
      <c r="E3128" t="str">
        <f>"J8499"</f>
        <v>J8499</v>
      </c>
    </row>
    <row r="3129" spans="1:5" x14ac:dyDescent="0.25">
      <c r="A3129" t="str">
        <f>"41703455  "</f>
        <v xml:space="preserve">41703455  </v>
      </c>
      <c r="B3129" t="s">
        <v>3052</v>
      </c>
      <c r="C3129">
        <v>163.9</v>
      </c>
      <c r="D3129" t="str">
        <f>"250"</f>
        <v>250</v>
      </c>
      <c r="E3129" t="str">
        <f>"J3490"</f>
        <v>J3490</v>
      </c>
    </row>
    <row r="3130" spans="1:5" x14ac:dyDescent="0.25">
      <c r="A3130" t="str">
        <f>"41703463  "</f>
        <v xml:space="preserve">41703463  </v>
      </c>
      <c r="B3130" t="s">
        <v>3053</v>
      </c>
      <c r="C3130">
        <v>6.6</v>
      </c>
      <c r="D3130" t="str">
        <f>"250"</f>
        <v>250</v>
      </c>
      <c r="E3130" t="str">
        <f>"J8499"</f>
        <v>J8499</v>
      </c>
    </row>
    <row r="3131" spans="1:5" x14ac:dyDescent="0.25">
      <c r="A3131" t="str">
        <f>"41703471  "</f>
        <v xml:space="preserve">41703471  </v>
      </c>
      <c r="B3131" t="s">
        <v>3054</v>
      </c>
      <c r="C3131">
        <v>6.6</v>
      </c>
      <c r="D3131" t="str">
        <f>"257"</f>
        <v>257</v>
      </c>
      <c r="E3131" t="str">
        <f>"J3490"</f>
        <v>J3490</v>
      </c>
    </row>
    <row r="3132" spans="1:5" x14ac:dyDescent="0.25">
      <c r="A3132" t="str">
        <f>"41703505  "</f>
        <v xml:space="preserve">41703505  </v>
      </c>
      <c r="B3132" t="s">
        <v>3055</v>
      </c>
      <c r="C3132">
        <v>13.2</v>
      </c>
      <c r="D3132" t="str">
        <f t="shared" ref="D3132:D3142" si="137">"250"</f>
        <v>250</v>
      </c>
      <c r="E3132" t="str">
        <f>"J3490"</f>
        <v>J3490</v>
      </c>
    </row>
    <row r="3133" spans="1:5" x14ac:dyDescent="0.25">
      <c r="A3133" t="str">
        <f>"41703554  "</f>
        <v xml:space="preserve">41703554  </v>
      </c>
      <c r="B3133" t="s">
        <v>3056</v>
      </c>
      <c r="C3133">
        <v>275</v>
      </c>
      <c r="D3133" t="str">
        <f t="shared" si="137"/>
        <v>250</v>
      </c>
      <c r="E3133" t="str">
        <f>"J3490"</f>
        <v>J3490</v>
      </c>
    </row>
    <row r="3134" spans="1:5" x14ac:dyDescent="0.25">
      <c r="A3134" t="str">
        <f>"41703604  "</f>
        <v xml:space="preserve">41703604  </v>
      </c>
      <c r="B3134" t="s">
        <v>3057</v>
      </c>
      <c r="C3134">
        <v>31.9</v>
      </c>
      <c r="D3134" t="str">
        <f t="shared" si="137"/>
        <v>250</v>
      </c>
    </row>
    <row r="3135" spans="1:5" x14ac:dyDescent="0.25">
      <c r="A3135" t="str">
        <f>"41703653  "</f>
        <v xml:space="preserve">41703653  </v>
      </c>
      <c r="B3135" t="s">
        <v>3058</v>
      </c>
      <c r="C3135">
        <v>6.6</v>
      </c>
      <c r="D3135" t="str">
        <f t="shared" si="137"/>
        <v>250</v>
      </c>
      <c r="E3135" t="str">
        <f>"J8499"</f>
        <v>J8499</v>
      </c>
    </row>
    <row r="3136" spans="1:5" x14ac:dyDescent="0.25">
      <c r="A3136" t="str">
        <f>"41703661  "</f>
        <v xml:space="preserve">41703661  </v>
      </c>
      <c r="B3136" t="s">
        <v>3059</v>
      </c>
      <c r="C3136">
        <v>6.6</v>
      </c>
      <c r="D3136" t="str">
        <f t="shared" si="137"/>
        <v>250</v>
      </c>
      <c r="E3136" t="str">
        <f>"J3430"</f>
        <v>J3430</v>
      </c>
    </row>
    <row r="3137" spans="1:5" x14ac:dyDescent="0.25">
      <c r="A3137" t="str">
        <f>"41703679  "</f>
        <v xml:space="preserve">41703679  </v>
      </c>
      <c r="B3137" t="s">
        <v>3060</v>
      </c>
      <c r="C3137">
        <v>6.6</v>
      </c>
      <c r="D3137" t="str">
        <f t="shared" si="137"/>
        <v>250</v>
      </c>
      <c r="E3137" t="str">
        <f>"J8499"</f>
        <v>J8499</v>
      </c>
    </row>
    <row r="3138" spans="1:5" x14ac:dyDescent="0.25">
      <c r="A3138" t="str">
        <f>"41703711  "</f>
        <v xml:space="preserve">41703711  </v>
      </c>
      <c r="B3138" t="s">
        <v>3061</v>
      </c>
      <c r="C3138">
        <v>24.2</v>
      </c>
      <c r="D3138" t="str">
        <f t="shared" si="137"/>
        <v>250</v>
      </c>
      <c r="E3138" t="str">
        <f>"X5652"</f>
        <v>X5652</v>
      </c>
    </row>
    <row r="3139" spans="1:5" x14ac:dyDescent="0.25">
      <c r="A3139" t="str">
        <f>"41703711  "</f>
        <v xml:space="preserve">41703711  </v>
      </c>
      <c r="B3139" t="s">
        <v>3061</v>
      </c>
      <c r="C3139">
        <v>24.2</v>
      </c>
      <c r="D3139" t="str">
        <f t="shared" si="137"/>
        <v>250</v>
      </c>
      <c r="E3139" t="str">
        <f>"J3430"</f>
        <v>J3430</v>
      </c>
    </row>
    <row r="3140" spans="1:5" x14ac:dyDescent="0.25">
      <c r="A3140" t="str">
        <f>"41703851  "</f>
        <v xml:space="preserve">41703851  </v>
      </c>
      <c r="B3140" t="s">
        <v>3062</v>
      </c>
      <c r="C3140">
        <v>51.7</v>
      </c>
      <c r="D3140" t="str">
        <f t="shared" si="137"/>
        <v>250</v>
      </c>
      <c r="E3140" t="str">
        <f>"90779"</f>
        <v>90779</v>
      </c>
    </row>
    <row r="3141" spans="1:5" x14ac:dyDescent="0.25">
      <c r="A3141" t="str">
        <f>"41703851  "</f>
        <v xml:space="preserve">41703851  </v>
      </c>
      <c r="B3141" t="s">
        <v>3062</v>
      </c>
      <c r="C3141">
        <v>51.7</v>
      </c>
      <c r="D3141" t="str">
        <f t="shared" si="137"/>
        <v>250</v>
      </c>
      <c r="E3141" t="str">
        <f>"J3490"</f>
        <v>J3490</v>
      </c>
    </row>
    <row r="3142" spans="1:5" x14ac:dyDescent="0.25">
      <c r="A3142" t="str">
        <f>"41703901  "</f>
        <v xml:space="preserve">41703901  </v>
      </c>
      <c r="B3142" t="s">
        <v>3063</v>
      </c>
      <c r="C3142">
        <v>61.6</v>
      </c>
      <c r="D3142" t="str">
        <f t="shared" si="137"/>
        <v>250</v>
      </c>
      <c r="E3142" t="str">
        <f>"J3490"</f>
        <v>J3490</v>
      </c>
    </row>
    <row r="3143" spans="1:5" x14ac:dyDescent="0.25">
      <c r="A3143" t="str">
        <f>"41703919  "</f>
        <v xml:space="preserve">41703919  </v>
      </c>
      <c r="B3143" t="s">
        <v>3064</v>
      </c>
      <c r="C3143">
        <v>16.5</v>
      </c>
      <c r="D3143" t="str">
        <f>"257"</f>
        <v>257</v>
      </c>
      <c r="E3143" t="str">
        <f>"J3490"</f>
        <v>J3490</v>
      </c>
    </row>
    <row r="3144" spans="1:5" x14ac:dyDescent="0.25">
      <c r="A3144" t="str">
        <f>"41704156  "</f>
        <v xml:space="preserve">41704156  </v>
      </c>
      <c r="B3144" t="s">
        <v>3065</v>
      </c>
      <c r="C3144">
        <v>6.6</v>
      </c>
      <c r="D3144" t="str">
        <f>"250"</f>
        <v>250</v>
      </c>
      <c r="E3144" t="str">
        <f>"J8499"</f>
        <v>J8499</v>
      </c>
    </row>
    <row r="3145" spans="1:5" x14ac:dyDescent="0.25">
      <c r="A3145" t="str">
        <f>"41704255  "</f>
        <v xml:space="preserve">41704255  </v>
      </c>
      <c r="B3145" t="s">
        <v>3066</v>
      </c>
      <c r="C3145">
        <v>39.6</v>
      </c>
      <c r="D3145" t="str">
        <f>"257"</f>
        <v>257</v>
      </c>
      <c r="E3145" t="str">
        <f>"J3490"</f>
        <v>J3490</v>
      </c>
    </row>
    <row r="3146" spans="1:5" x14ac:dyDescent="0.25">
      <c r="A3146" t="str">
        <f>"41704271  "</f>
        <v xml:space="preserve">41704271  </v>
      </c>
      <c r="B3146" t="s">
        <v>3067</v>
      </c>
      <c r="C3146">
        <v>6.6</v>
      </c>
      <c r="D3146" t="str">
        <f>"257"</f>
        <v>257</v>
      </c>
      <c r="E3146" t="str">
        <f>"J3490"</f>
        <v>J3490</v>
      </c>
    </row>
    <row r="3147" spans="1:5" x14ac:dyDescent="0.25">
      <c r="A3147" t="str">
        <f>"41704289  "</f>
        <v xml:space="preserve">41704289  </v>
      </c>
      <c r="B3147" t="s">
        <v>3068</v>
      </c>
      <c r="C3147">
        <v>7.7</v>
      </c>
      <c r="D3147" t="str">
        <f>"257"</f>
        <v>257</v>
      </c>
      <c r="E3147" t="str">
        <f>"J3490"</f>
        <v>J3490</v>
      </c>
    </row>
    <row r="3148" spans="1:5" x14ac:dyDescent="0.25">
      <c r="A3148" t="str">
        <f>"41704297  "</f>
        <v xml:space="preserve">41704297  </v>
      </c>
      <c r="B3148" t="s">
        <v>3069</v>
      </c>
      <c r="C3148">
        <v>6.6</v>
      </c>
      <c r="D3148" t="str">
        <f>"257"</f>
        <v>257</v>
      </c>
      <c r="E3148" t="str">
        <f>"J3490"</f>
        <v>J3490</v>
      </c>
    </row>
    <row r="3149" spans="1:5" x14ac:dyDescent="0.25">
      <c r="A3149" t="str">
        <f>"41704552  "</f>
        <v xml:space="preserve">41704552  </v>
      </c>
      <c r="B3149" t="s">
        <v>3070</v>
      </c>
      <c r="C3149">
        <v>6.6</v>
      </c>
      <c r="D3149" t="str">
        <f t="shared" ref="D3149:D3176" si="138">"250"</f>
        <v>250</v>
      </c>
      <c r="E3149" t="str">
        <f>"J8499"</f>
        <v>J8499</v>
      </c>
    </row>
    <row r="3150" spans="1:5" x14ac:dyDescent="0.25">
      <c r="A3150" t="str">
        <f>"41704560  "</f>
        <v xml:space="preserve">41704560  </v>
      </c>
      <c r="B3150" t="s">
        <v>3071</v>
      </c>
      <c r="C3150">
        <v>6.6</v>
      </c>
      <c r="D3150" t="str">
        <f t="shared" si="138"/>
        <v>250</v>
      </c>
      <c r="E3150" t="str">
        <f>"J8499"</f>
        <v>J8499</v>
      </c>
    </row>
    <row r="3151" spans="1:5" x14ac:dyDescent="0.25">
      <c r="A3151" t="str">
        <f>"41704594  "</f>
        <v xml:space="preserve">41704594  </v>
      </c>
      <c r="B3151" t="s">
        <v>3072</v>
      </c>
      <c r="C3151">
        <v>245.85</v>
      </c>
      <c r="D3151" t="str">
        <f t="shared" si="138"/>
        <v>250</v>
      </c>
      <c r="E3151" t="str">
        <f>"X5562"</f>
        <v>X5562</v>
      </c>
    </row>
    <row r="3152" spans="1:5" x14ac:dyDescent="0.25">
      <c r="A3152" t="str">
        <f>"41704594  "</f>
        <v xml:space="preserve">41704594  </v>
      </c>
      <c r="B3152" t="s">
        <v>3072</v>
      </c>
      <c r="C3152">
        <v>245.85</v>
      </c>
      <c r="D3152" t="str">
        <f t="shared" si="138"/>
        <v>250</v>
      </c>
      <c r="E3152" t="str">
        <f>"J3490"</f>
        <v>J3490</v>
      </c>
    </row>
    <row r="3153" spans="1:5" x14ac:dyDescent="0.25">
      <c r="A3153" t="str">
        <f>"41704602  "</f>
        <v xml:space="preserve">41704602  </v>
      </c>
      <c r="B3153" t="s">
        <v>3073</v>
      </c>
      <c r="C3153">
        <v>7.7</v>
      </c>
      <c r="D3153" t="str">
        <f t="shared" si="138"/>
        <v>250</v>
      </c>
      <c r="E3153" t="str">
        <f>"J8499"</f>
        <v>J8499</v>
      </c>
    </row>
    <row r="3154" spans="1:5" x14ac:dyDescent="0.25">
      <c r="A3154" t="str">
        <f>"41704610  "</f>
        <v xml:space="preserve">41704610  </v>
      </c>
      <c r="B3154" t="s">
        <v>3074</v>
      </c>
      <c r="C3154">
        <v>7.7</v>
      </c>
      <c r="D3154" t="str">
        <f t="shared" si="138"/>
        <v>250</v>
      </c>
      <c r="E3154" t="str">
        <f>"J8499"</f>
        <v>J8499</v>
      </c>
    </row>
    <row r="3155" spans="1:5" x14ac:dyDescent="0.25">
      <c r="A3155" t="str">
        <f>"41704628  "</f>
        <v xml:space="preserve">41704628  </v>
      </c>
      <c r="B3155" t="s">
        <v>3075</v>
      </c>
      <c r="C3155">
        <v>113.3</v>
      </c>
      <c r="D3155" t="str">
        <f t="shared" si="138"/>
        <v>250</v>
      </c>
      <c r="E3155" t="str">
        <f>"J3490"</f>
        <v>J3490</v>
      </c>
    </row>
    <row r="3156" spans="1:5" x14ac:dyDescent="0.25">
      <c r="A3156" t="str">
        <f>"41704636  "</f>
        <v xml:space="preserve">41704636  </v>
      </c>
      <c r="B3156" t="s">
        <v>3076</v>
      </c>
      <c r="C3156">
        <v>107.8</v>
      </c>
      <c r="D3156" t="str">
        <f t="shared" si="138"/>
        <v>250</v>
      </c>
      <c r="E3156" t="str">
        <f>"J2060"</f>
        <v>J2060</v>
      </c>
    </row>
    <row r="3157" spans="1:5" x14ac:dyDescent="0.25">
      <c r="A3157" t="str">
        <f>"41704669  "</f>
        <v xml:space="preserve">41704669  </v>
      </c>
      <c r="B3157" t="s">
        <v>3077</v>
      </c>
      <c r="C3157">
        <v>6.94</v>
      </c>
      <c r="D3157" t="str">
        <f t="shared" si="138"/>
        <v>250</v>
      </c>
      <c r="E3157" t="str">
        <f>"J8499"</f>
        <v>J8499</v>
      </c>
    </row>
    <row r="3158" spans="1:5" x14ac:dyDescent="0.25">
      <c r="A3158" t="str">
        <f>"41704701  "</f>
        <v xml:space="preserve">41704701  </v>
      </c>
      <c r="B3158" t="s">
        <v>3078</v>
      </c>
      <c r="C3158">
        <v>77</v>
      </c>
      <c r="D3158" t="str">
        <f t="shared" si="138"/>
        <v>250</v>
      </c>
    </row>
    <row r="3159" spans="1:5" x14ac:dyDescent="0.25">
      <c r="A3159" t="str">
        <f>"41704800  "</f>
        <v xml:space="preserve">41704800  </v>
      </c>
      <c r="B3159" t="s">
        <v>3079</v>
      </c>
      <c r="C3159">
        <v>89.1</v>
      </c>
      <c r="D3159" t="str">
        <f t="shared" si="138"/>
        <v>250</v>
      </c>
      <c r="E3159" t="str">
        <f>"J0461"</f>
        <v>J0461</v>
      </c>
    </row>
    <row r="3160" spans="1:5" x14ac:dyDescent="0.25">
      <c r="A3160" t="str">
        <f>"41704859  "</f>
        <v xml:space="preserve">41704859  </v>
      </c>
      <c r="B3160" t="s">
        <v>3080</v>
      </c>
      <c r="C3160">
        <v>132</v>
      </c>
      <c r="D3160" t="str">
        <f t="shared" si="138"/>
        <v>250</v>
      </c>
      <c r="E3160" t="str">
        <f>"J3490"</f>
        <v>J3490</v>
      </c>
    </row>
    <row r="3161" spans="1:5" x14ac:dyDescent="0.25">
      <c r="A3161" t="str">
        <f>"41704875  "</f>
        <v xml:space="preserve">41704875  </v>
      </c>
      <c r="B3161" t="s">
        <v>3081</v>
      </c>
      <c r="C3161">
        <v>217.8</v>
      </c>
      <c r="D3161" t="str">
        <f t="shared" si="138"/>
        <v>250</v>
      </c>
      <c r="E3161" t="str">
        <f>"J3535"</f>
        <v>J3535</v>
      </c>
    </row>
    <row r="3162" spans="1:5" x14ac:dyDescent="0.25">
      <c r="A3162" t="str">
        <f>"41704909  "</f>
        <v xml:space="preserve">41704909  </v>
      </c>
      <c r="B3162" t="s">
        <v>3082</v>
      </c>
      <c r="C3162">
        <v>97.9</v>
      </c>
      <c r="D3162" t="str">
        <f t="shared" si="138"/>
        <v>250</v>
      </c>
      <c r="E3162" t="str">
        <f>"J8499"</f>
        <v>J8499</v>
      </c>
    </row>
    <row r="3163" spans="1:5" x14ac:dyDescent="0.25">
      <c r="A3163" t="str">
        <f>"41704925  "</f>
        <v xml:space="preserve">41704925  </v>
      </c>
      <c r="B3163" t="s">
        <v>3083</v>
      </c>
      <c r="C3163">
        <v>15.4</v>
      </c>
      <c r="D3163" t="str">
        <f t="shared" si="138"/>
        <v>250</v>
      </c>
      <c r="E3163" t="str">
        <f>"J8499"</f>
        <v>J8499</v>
      </c>
    </row>
    <row r="3164" spans="1:5" x14ac:dyDescent="0.25">
      <c r="A3164" t="str">
        <f>"41704933  "</f>
        <v xml:space="preserve">41704933  </v>
      </c>
      <c r="B3164" t="s">
        <v>3084</v>
      </c>
      <c r="C3164">
        <v>23.1</v>
      </c>
      <c r="D3164" t="str">
        <f t="shared" si="138"/>
        <v>250</v>
      </c>
      <c r="E3164" t="str">
        <f>"J8499"</f>
        <v>J8499</v>
      </c>
    </row>
    <row r="3165" spans="1:5" x14ac:dyDescent="0.25">
      <c r="A3165" t="str">
        <f>"41705005  "</f>
        <v xml:space="preserve">41705005  </v>
      </c>
      <c r="B3165" t="s">
        <v>3085</v>
      </c>
      <c r="C3165">
        <v>91.58</v>
      </c>
      <c r="D3165" t="str">
        <f t="shared" si="138"/>
        <v>250</v>
      </c>
      <c r="E3165" t="str">
        <f>"J3490"</f>
        <v>J3490</v>
      </c>
    </row>
    <row r="3166" spans="1:5" x14ac:dyDescent="0.25">
      <c r="A3166" t="str">
        <f>"41705013  "</f>
        <v xml:space="preserve">41705013  </v>
      </c>
      <c r="B3166" t="s">
        <v>3086</v>
      </c>
      <c r="C3166">
        <v>63.12</v>
      </c>
      <c r="D3166" t="str">
        <f t="shared" si="138"/>
        <v>250</v>
      </c>
      <c r="E3166" t="str">
        <f>"J3490"</f>
        <v>J3490</v>
      </c>
    </row>
    <row r="3167" spans="1:5" x14ac:dyDescent="0.25">
      <c r="A3167" t="str">
        <f>"41705021  "</f>
        <v xml:space="preserve">41705021  </v>
      </c>
      <c r="B3167" t="s">
        <v>3087</v>
      </c>
      <c r="C3167">
        <v>203.02</v>
      </c>
      <c r="D3167" t="str">
        <f t="shared" si="138"/>
        <v>250</v>
      </c>
      <c r="E3167" t="str">
        <f>"J3490"</f>
        <v>J3490</v>
      </c>
    </row>
    <row r="3168" spans="1:5" x14ac:dyDescent="0.25">
      <c r="A3168" t="str">
        <f>"41705203  "</f>
        <v xml:space="preserve">41705203  </v>
      </c>
      <c r="B3168" t="s">
        <v>3088</v>
      </c>
      <c r="C3168">
        <v>872.3</v>
      </c>
      <c r="D3168" t="str">
        <f t="shared" si="138"/>
        <v>250</v>
      </c>
      <c r="E3168" t="str">
        <f>"J3490"</f>
        <v>J3490</v>
      </c>
    </row>
    <row r="3169" spans="1:5" x14ac:dyDescent="0.25">
      <c r="A3169" t="str">
        <f>"41705237  "</f>
        <v xml:space="preserve">41705237  </v>
      </c>
      <c r="B3169" t="s">
        <v>3089</v>
      </c>
      <c r="C3169">
        <v>231</v>
      </c>
      <c r="D3169" t="str">
        <f t="shared" si="138"/>
        <v>250</v>
      </c>
      <c r="E3169" t="str">
        <f>"90779"</f>
        <v>90779</v>
      </c>
    </row>
    <row r="3170" spans="1:5" x14ac:dyDescent="0.25">
      <c r="A3170" t="str">
        <f>"41705237  "</f>
        <v xml:space="preserve">41705237  </v>
      </c>
      <c r="B3170" t="s">
        <v>3089</v>
      </c>
      <c r="C3170">
        <v>231</v>
      </c>
      <c r="D3170" t="str">
        <f t="shared" si="138"/>
        <v>250</v>
      </c>
      <c r="E3170" t="str">
        <f>"J3490"</f>
        <v>J3490</v>
      </c>
    </row>
    <row r="3171" spans="1:5" x14ac:dyDescent="0.25">
      <c r="A3171" t="str">
        <f>"41705245  "</f>
        <v xml:space="preserve">41705245  </v>
      </c>
      <c r="B3171" t="s">
        <v>3090</v>
      </c>
      <c r="C3171">
        <v>605</v>
      </c>
      <c r="D3171" t="str">
        <f t="shared" si="138"/>
        <v>250</v>
      </c>
      <c r="E3171" t="str">
        <f>"X5562"</f>
        <v>X5562</v>
      </c>
    </row>
    <row r="3172" spans="1:5" x14ac:dyDescent="0.25">
      <c r="A3172" t="str">
        <f>"41705245  "</f>
        <v xml:space="preserve">41705245  </v>
      </c>
      <c r="B3172" t="s">
        <v>3090</v>
      </c>
      <c r="C3172">
        <v>605</v>
      </c>
      <c r="D3172" t="str">
        <f t="shared" si="138"/>
        <v>250</v>
      </c>
      <c r="E3172" t="str">
        <f>"J3490"</f>
        <v>J3490</v>
      </c>
    </row>
    <row r="3173" spans="1:5" x14ac:dyDescent="0.25">
      <c r="A3173" t="str">
        <f>"41705310  "</f>
        <v xml:space="preserve">41705310  </v>
      </c>
      <c r="B3173" t="s">
        <v>3091</v>
      </c>
      <c r="C3173">
        <v>313.5</v>
      </c>
      <c r="D3173" t="str">
        <f t="shared" si="138"/>
        <v>250</v>
      </c>
      <c r="E3173" t="str">
        <f>"90779"</f>
        <v>90779</v>
      </c>
    </row>
    <row r="3174" spans="1:5" x14ac:dyDescent="0.25">
      <c r="A3174" t="str">
        <f>"41705310  "</f>
        <v xml:space="preserve">41705310  </v>
      </c>
      <c r="B3174" t="s">
        <v>3091</v>
      </c>
      <c r="C3174">
        <v>313.5</v>
      </c>
      <c r="D3174" t="str">
        <f t="shared" si="138"/>
        <v>250</v>
      </c>
      <c r="E3174" t="str">
        <f>"J3535"</f>
        <v>J3535</v>
      </c>
    </row>
    <row r="3175" spans="1:5" x14ac:dyDescent="0.25">
      <c r="A3175" t="str">
        <f>"41705351  "</f>
        <v xml:space="preserve">41705351  </v>
      </c>
      <c r="B3175" t="s">
        <v>3092</v>
      </c>
      <c r="C3175">
        <v>3.3</v>
      </c>
      <c r="D3175" t="str">
        <f t="shared" si="138"/>
        <v>250</v>
      </c>
      <c r="E3175" t="str">
        <f>"J8499"</f>
        <v>J8499</v>
      </c>
    </row>
    <row r="3176" spans="1:5" x14ac:dyDescent="0.25">
      <c r="A3176" t="str">
        <f>"41705401  "</f>
        <v xml:space="preserve">41705401  </v>
      </c>
      <c r="B3176" t="s">
        <v>3093</v>
      </c>
      <c r="C3176">
        <v>11</v>
      </c>
      <c r="D3176" t="str">
        <f t="shared" si="138"/>
        <v>250</v>
      </c>
      <c r="E3176" t="str">
        <f>"J8499"</f>
        <v>J8499</v>
      </c>
    </row>
    <row r="3177" spans="1:5" x14ac:dyDescent="0.25">
      <c r="A3177" t="str">
        <f>"41705450  "</f>
        <v xml:space="preserve">41705450  </v>
      </c>
      <c r="B3177" t="s">
        <v>3094</v>
      </c>
      <c r="C3177">
        <v>6.6</v>
      </c>
      <c r="D3177" t="str">
        <f>"257"</f>
        <v>257</v>
      </c>
      <c r="E3177" t="str">
        <f>"J3490"</f>
        <v>J3490</v>
      </c>
    </row>
    <row r="3178" spans="1:5" x14ac:dyDescent="0.25">
      <c r="A3178" t="str">
        <f>"41705468  "</f>
        <v xml:space="preserve">41705468  </v>
      </c>
      <c r="B3178" t="s">
        <v>3095</v>
      </c>
      <c r="C3178">
        <v>56.1</v>
      </c>
      <c r="D3178" t="str">
        <f>"250"</f>
        <v>250</v>
      </c>
      <c r="E3178" t="str">
        <f>"J3420"</f>
        <v>J3420</v>
      </c>
    </row>
    <row r="3179" spans="1:5" x14ac:dyDescent="0.25">
      <c r="A3179" t="str">
        <f>"41705500  "</f>
        <v xml:space="preserve">41705500  </v>
      </c>
      <c r="B3179" t="s">
        <v>3096</v>
      </c>
      <c r="C3179">
        <v>88</v>
      </c>
      <c r="D3179" t="str">
        <f>"250"</f>
        <v>250</v>
      </c>
      <c r="E3179" t="str">
        <f>"X5716"</f>
        <v>X5716</v>
      </c>
    </row>
    <row r="3180" spans="1:5" x14ac:dyDescent="0.25">
      <c r="A3180" t="str">
        <f>"41705500  "</f>
        <v xml:space="preserve">41705500  </v>
      </c>
      <c r="B3180" t="s">
        <v>3096</v>
      </c>
      <c r="C3180">
        <v>88</v>
      </c>
      <c r="D3180" t="str">
        <f>"250"</f>
        <v>250</v>
      </c>
      <c r="E3180" t="str">
        <f>"J3490"</f>
        <v>J3490</v>
      </c>
    </row>
    <row r="3181" spans="1:5" x14ac:dyDescent="0.25">
      <c r="A3181" t="str">
        <f>"41705609  "</f>
        <v xml:space="preserve">41705609  </v>
      </c>
      <c r="B3181" t="s">
        <v>3097</v>
      </c>
      <c r="C3181">
        <v>16.5</v>
      </c>
      <c r="D3181" t="str">
        <f>"257"</f>
        <v>257</v>
      </c>
      <c r="E3181" t="str">
        <f>"J3490"</f>
        <v>J3490</v>
      </c>
    </row>
    <row r="3182" spans="1:5" x14ac:dyDescent="0.25">
      <c r="A3182" t="str">
        <f>"41705617  "</f>
        <v xml:space="preserve">41705617  </v>
      </c>
      <c r="B3182" t="s">
        <v>3098</v>
      </c>
      <c r="C3182">
        <v>12.1</v>
      </c>
      <c r="D3182" t="str">
        <f t="shared" ref="D3182:D3196" si="139">"250"</f>
        <v>250</v>
      </c>
    </row>
    <row r="3183" spans="1:5" x14ac:dyDescent="0.25">
      <c r="A3183" t="str">
        <f>"41705625  "</f>
        <v xml:space="preserve">41705625  </v>
      </c>
      <c r="B3183" t="s">
        <v>3099</v>
      </c>
      <c r="C3183">
        <v>135.87</v>
      </c>
      <c r="D3183" t="str">
        <f t="shared" si="139"/>
        <v>250</v>
      </c>
      <c r="E3183" t="str">
        <f>"J3490"</f>
        <v>J3490</v>
      </c>
    </row>
    <row r="3184" spans="1:5" x14ac:dyDescent="0.25">
      <c r="A3184" t="str">
        <f>"41705633  "</f>
        <v xml:space="preserve">41705633  </v>
      </c>
      <c r="B3184" t="s">
        <v>3100</v>
      </c>
      <c r="C3184">
        <v>343.2</v>
      </c>
      <c r="D3184" t="str">
        <f t="shared" si="139"/>
        <v>250</v>
      </c>
      <c r="E3184" t="str">
        <f>"X5562"</f>
        <v>X5562</v>
      </c>
    </row>
    <row r="3185" spans="1:5" x14ac:dyDescent="0.25">
      <c r="A3185" t="str">
        <f>"41705633  "</f>
        <v xml:space="preserve">41705633  </v>
      </c>
      <c r="B3185" t="s">
        <v>3100</v>
      </c>
      <c r="C3185">
        <v>343.2</v>
      </c>
      <c r="D3185" t="str">
        <f t="shared" si="139"/>
        <v>250</v>
      </c>
      <c r="E3185" t="str">
        <f>"J3490"</f>
        <v>J3490</v>
      </c>
    </row>
    <row r="3186" spans="1:5" x14ac:dyDescent="0.25">
      <c r="A3186" t="str">
        <f>"41705658  "</f>
        <v xml:space="preserve">41705658  </v>
      </c>
      <c r="B3186" t="s">
        <v>3101</v>
      </c>
      <c r="C3186">
        <v>27.5</v>
      </c>
      <c r="D3186" t="str">
        <f t="shared" si="139"/>
        <v>250</v>
      </c>
      <c r="E3186" t="str">
        <f>"J8499"</f>
        <v>J8499</v>
      </c>
    </row>
    <row r="3187" spans="1:5" x14ac:dyDescent="0.25">
      <c r="A3187" t="str">
        <f>"41705666  "</f>
        <v xml:space="preserve">41705666  </v>
      </c>
      <c r="B3187" t="s">
        <v>3102</v>
      </c>
      <c r="C3187">
        <v>75.849999999999994</v>
      </c>
      <c r="D3187" t="str">
        <f t="shared" si="139"/>
        <v>250</v>
      </c>
      <c r="E3187" t="str">
        <f>"J3490"</f>
        <v>J3490</v>
      </c>
    </row>
    <row r="3188" spans="1:5" x14ac:dyDescent="0.25">
      <c r="A3188" t="str">
        <f>"41705674  "</f>
        <v xml:space="preserve">41705674  </v>
      </c>
      <c r="B3188" t="s">
        <v>3103</v>
      </c>
      <c r="C3188">
        <v>462</v>
      </c>
      <c r="D3188" t="str">
        <f t="shared" si="139"/>
        <v>250</v>
      </c>
      <c r="E3188" t="str">
        <f>"J3490"</f>
        <v>J3490</v>
      </c>
    </row>
    <row r="3189" spans="1:5" x14ac:dyDescent="0.25">
      <c r="A3189" t="str">
        <f>"41705682  "</f>
        <v xml:space="preserve">41705682  </v>
      </c>
      <c r="B3189" t="s">
        <v>3104</v>
      </c>
      <c r="C3189">
        <v>7.7</v>
      </c>
      <c r="D3189" t="str">
        <f t="shared" si="139"/>
        <v>250</v>
      </c>
      <c r="E3189" t="str">
        <f>"J8499"</f>
        <v>J8499</v>
      </c>
    </row>
    <row r="3190" spans="1:5" x14ac:dyDescent="0.25">
      <c r="A3190" t="str">
        <f>"41705708  "</f>
        <v xml:space="preserve">41705708  </v>
      </c>
      <c r="B3190" t="s">
        <v>3105</v>
      </c>
      <c r="C3190">
        <v>7.7</v>
      </c>
      <c r="D3190" t="str">
        <f t="shared" si="139"/>
        <v>250</v>
      </c>
      <c r="E3190" t="str">
        <f>"J8499"</f>
        <v>J8499</v>
      </c>
    </row>
    <row r="3191" spans="1:5" x14ac:dyDescent="0.25">
      <c r="A3191" t="str">
        <f>"41705716  "</f>
        <v xml:space="preserve">41705716  </v>
      </c>
      <c r="B3191" t="s">
        <v>3106</v>
      </c>
      <c r="C3191">
        <v>6.6</v>
      </c>
      <c r="D3191" t="str">
        <f t="shared" si="139"/>
        <v>250</v>
      </c>
      <c r="E3191" t="str">
        <f>"J8499"</f>
        <v>J8499</v>
      </c>
    </row>
    <row r="3192" spans="1:5" x14ac:dyDescent="0.25">
      <c r="A3192" t="str">
        <f>"41705757  "</f>
        <v xml:space="preserve">41705757  </v>
      </c>
      <c r="B3192" t="s">
        <v>3107</v>
      </c>
      <c r="C3192">
        <v>99</v>
      </c>
      <c r="D3192" t="str">
        <f t="shared" si="139"/>
        <v>250</v>
      </c>
      <c r="E3192" t="str">
        <f>"J3490"</f>
        <v>J3490</v>
      </c>
    </row>
    <row r="3193" spans="1:5" x14ac:dyDescent="0.25">
      <c r="A3193" t="str">
        <f>"41705864  "</f>
        <v xml:space="preserve">41705864  </v>
      </c>
      <c r="B3193" t="s">
        <v>3108</v>
      </c>
      <c r="C3193">
        <v>149.49</v>
      </c>
      <c r="D3193" t="str">
        <f t="shared" si="139"/>
        <v>250</v>
      </c>
      <c r="E3193" t="str">
        <f>"J3490"</f>
        <v>J3490</v>
      </c>
    </row>
    <row r="3194" spans="1:5" x14ac:dyDescent="0.25">
      <c r="A3194" t="str">
        <f>"41705955  "</f>
        <v xml:space="preserve">41705955  </v>
      </c>
      <c r="B3194" t="s">
        <v>3109</v>
      </c>
      <c r="C3194">
        <v>243.1</v>
      </c>
      <c r="D3194" t="str">
        <f t="shared" si="139"/>
        <v>250</v>
      </c>
      <c r="E3194" t="str">
        <f>"J3490"</f>
        <v>J3490</v>
      </c>
    </row>
    <row r="3195" spans="1:5" x14ac:dyDescent="0.25">
      <c r="A3195" t="str">
        <f>"41705963  "</f>
        <v xml:space="preserve">41705963  </v>
      </c>
      <c r="B3195" t="s">
        <v>3110</v>
      </c>
      <c r="C3195">
        <v>17.690000000000001</v>
      </c>
      <c r="D3195" t="str">
        <f t="shared" si="139"/>
        <v>250</v>
      </c>
      <c r="E3195" t="str">
        <f>"J8499"</f>
        <v>J8499</v>
      </c>
    </row>
    <row r="3196" spans="1:5" x14ac:dyDescent="0.25">
      <c r="A3196" t="str">
        <f>"41706011  "</f>
        <v xml:space="preserve">41706011  </v>
      </c>
      <c r="B3196" t="s">
        <v>3111</v>
      </c>
      <c r="C3196">
        <v>8.56</v>
      </c>
      <c r="D3196" t="str">
        <f t="shared" si="139"/>
        <v>250</v>
      </c>
      <c r="E3196" t="str">
        <f>"J8499"</f>
        <v>J8499</v>
      </c>
    </row>
    <row r="3197" spans="1:5" x14ac:dyDescent="0.25">
      <c r="A3197" t="str">
        <f>"41706300  "</f>
        <v xml:space="preserve">41706300  </v>
      </c>
      <c r="B3197" t="s">
        <v>3112</v>
      </c>
      <c r="C3197">
        <v>55</v>
      </c>
      <c r="D3197" t="str">
        <f>"257"</f>
        <v>257</v>
      </c>
      <c r="E3197" t="str">
        <f>"J3490"</f>
        <v>J3490</v>
      </c>
    </row>
    <row r="3198" spans="1:5" x14ac:dyDescent="0.25">
      <c r="A3198" t="str">
        <f>"41706342  "</f>
        <v xml:space="preserve">41706342  </v>
      </c>
      <c r="B3198" t="s">
        <v>3113</v>
      </c>
      <c r="C3198">
        <v>6.6</v>
      </c>
      <c r="D3198" t="str">
        <f>"257"</f>
        <v>257</v>
      </c>
      <c r="E3198" t="str">
        <f>"J3490"</f>
        <v>J3490</v>
      </c>
    </row>
    <row r="3199" spans="1:5" x14ac:dyDescent="0.25">
      <c r="A3199" t="str">
        <f>"41706359  "</f>
        <v xml:space="preserve">41706359  </v>
      </c>
      <c r="B3199" t="s">
        <v>3114</v>
      </c>
      <c r="C3199">
        <v>27.5</v>
      </c>
      <c r="D3199" t="str">
        <f>"257"</f>
        <v>257</v>
      </c>
      <c r="E3199" t="str">
        <f>"J3535"</f>
        <v>J3535</v>
      </c>
    </row>
    <row r="3200" spans="1:5" x14ac:dyDescent="0.25">
      <c r="A3200" t="str">
        <f>"41706409  "</f>
        <v xml:space="preserve">41706409  </v>
      </c>
      <c r="B3200" t="s">
        <v>3115</v>
      </c>
      <c r="C3200">
        <v>6.6</v>
      </c>
      <c r="D3200" t="str">
        <f>"257"</f>
        <v>257</v>
      </c>
      <c r="E3200" t="str">
        <f>"J3490"</f>
        <v>J3490</v>
      </c>
    </row>
    <row r="3201" spans="1:5" x14ac:dyDescent="0.25">
      <c r="A3201" t="str">
        <f>"41706508  "</f>
        <v xml:space="preserve">41706508  </v>
      </c>
      <c r="B3201" t="s">
        <v>3116</v>
      </c>
      <c r="C3201">
        <v>167.2</v>
      </c>
      <c r="D3201" t="str">
        <f>"250"</f>
        <v>250</v>
      </c>
    </row>
    <row r="3202" spans="1:5" x14ac:dyDescent="0.25">
      <c r="A3202" t="str">
        <f>"41706516  "</f>
        <v xml:space="preserve">41706516  </v>
      </c>
      <c r="B3202" t="s">
        <v>3117</v>
      </c>
      <c r="C3202">
        <v>7.89</v>
      </c>
      <c r="D3202" t="str">
        <f>"250"</f>
        <v>250</v>
      </c>
      <c r="E3202" t="str">
        <f>"J8499"</f>
        <v>J8499</v>
      </c>
    </row>
    <row r="3203" spans="1:5" x14ac:dyDescent="0.25">
      <c r="A3203" t="str">
        <f>"41706557  "</f>
        <v xml:space="preserve">41706557  </v>
      </c>
      <c r="B3203" t="s">
        <v>3118</v>
      </c>
      <c r="C3203">
        <v>6.6</v>
      </c>
      <c r="D3203" t="str">
        <f>"257"</f>
        <v>257</v>
      </c>
      <c r="E3203" t="str">
        <f>"J8499"</f>
        <v>J8499</v>
      </c>
    </row>
    <row r="3204" spans="1:5" x14ac:dyDescent="0.25">
      <c r="A3204" t="str">
        <f>"41706565  "</f>
        <v xml:space="preserve">41706565  </v>
      </c>
      <c r="B3204" t="s">
        <v>3119</v>
      </c>
      <c r="C3204">
        <v>6.6</v>
      </c>
      <c r="D3204" t="str">
        <f>"257"</f>
        <v>257</v>
      </c>
    </row>
    <row r="3205" spans="1:5" x14ac:dyDescent="0.25">
      <c r="A3205" t="str">
        <f>"41706607  "</f>
        <v xml:space="preserve">41706607  </v>
      </c>
      <c r="B3205" t="s">
        <v>3120</v>
      </c>
      <c r="C3205">
        <v>27.5</v>
      </c>
      <c r="D3205" t="str">
        <f t="shared" ref="D3205:D3220" si="140">"250"</f>
        <v>250</v>
      </c>
      <c r="E3205" t="str">
        <f>"X5738"</f>
        <v>X5738</v>
      </c>
    </row>
    <row r="3206" spans="1:5" x14ac:dyDescent="0.25">
      <c r="A3206" t="str">
        <f>"41706607  "</f>
        <v xml:space="preserve">41706607  </v>
      </c>
      <c r="B3206" t="s">
        <v>3120</v>
      </c>
      <c r="C3206">
        <v>27.5</v>
      </c>
      <c r="D3206" t="str">
        <f t="shared" si="140"/>
        <v>250</v>
      </c>
      <c r="E3206" t="str">
        <f>"J1200"</f>
        <v>J1200</v>
      </c>
    </row>
    <row r="3207" spans="1:5" x14ac:dyDescent="0.25">
      <c r="A3207" t="str">
        <f>"41706904  "</f>
        <v xml:space="preserve">41706904  </v>
      </c>
      <c r="B3207" t="s">
        <v>3121</v>
      </c>
      <c r="C3207">
        <v>6.6</v>
      </c>
      <c r="D3207" t="str">
        <f t="shared" si="140"/>
        <v>250</v>
      </c>
      <c r="E3207" t="str">
        <f>"J8499"</f>
        <v>J8499</v>
      </c>
    </row>
    <row r="3208" spans="1:5" x14ac:dyDescent="0.25">
      <c r="A3208" t="str">
        <f>"41707266  "</f>
        <v xml:space="preserve">41707266  </v>
      </c>
      <c r="B3208" t="s">
        <v>3122</v>
      </c>
      <c r="C3208" s="1">
        <v>1098.9000000000001</v>
      </c>
      <c r="D3208" t="str">
        <f t="shared" si="140"/>
        <v>250</v>
      </c>
      <c r="E3208" t="str">
        <f>"J3490"</f>
        <v>J3490</v>
      </c>
    </row>
    <row r="3209" spans="1:5" x14ac:dyDescent="0.25">
      <c r="A3209" t="str">
        <f>"41707308  "</f>
        <v xml:space="preserve">41707308  </v>
      </c>
      <c r="B3209" t="s">
        <v>3123</v>
      </c>
      <c r="C3209">
        <v>31.9</v>
      </c>
      <c r="D3209" t="str">
        <f t="shared" si="140"/>
        <v>250</v>
      </c>
      <c r="E3209" t="str">
        <f>"J3490"</f>
        <v>J3490</v>
      </c>
    </row>
    <row r="3210" spans="1:5" x14ac:dyDescent="0.25">
      <c r="A3210" t="str">
        <f>"41707357  "</f>
        <v xml:space="preserve">41707357  </v>
      </c>
      <c r="B3210" t="s">
        <v>3124</v>
      </c>
      <c r="C3210">
        <v>58.3</v>
      </c>
      <c r="D3210" t="str">
        <f t="shared" si="140"/>
        <v>250</v>
      </c>
      <c r="E3210" t="str">
        <f>"J3490"</f>
        <v>J3490</v>
      </c>
    </row>
    <row r="3211" spans="1:5" x14ac:dyDescent="0.25">
      <c r="A3211" t="str">
        <f>"41707449  "</f>
        <v xml:space="preserve">41707449  </v>
      </c>
      <c r="B3211" t="s">
        <v>3125</v>
      </c>
      <c r="C3211">
        <v>49.5</v>
      </c>
      <c r="D3211" t="str">
        <f t="shared" si="140"/>
        <v>250</v>
      </c>
    </row>
    <row r="3212" spans="1:5" x14ac:dyDescent="0.25">
      <c r="A3212" t="str">
        <f>"41707456  "</f>
        <v xml:space="preserve">41707456  </v>
      </c>
      <c r="B3212" t="s">
        <v>3126</v>
      </c>
      <c r="C3212">
        <v>106.7</v>
      </c>
      <c r="D3212" t="str">
        <f t="shared" si="140"/>
        <v>250</v>
      </c>
    </row>
    <row r="3213" spans="1:5" x14ac:dyDescent="0.25">
      <c r="A3213" t="str">
        <f>"41707480  "</f>
        <v xml:space="preserve">41707480  </v>
      </c>
      <c r="B3213" t="s">
        <v>3127</v>
      </c>
      <c r="C3213">
        <v>38.5</v>
      </c>
      <c r="D3213" t="str">
        <f t="shared" si="140"/>
        <v>250</v>
      </c>
      <c r="E3213" t="str">
        <f>"A9579"</f>
        <v>A9579</v>
      </c>
    </row>
    <row r="3214" spans="1:5" x14ac:dyDescent="0.25">
      <c r="A3214" t="str">
        <f>"41707498  "</f>
        <v xml:space="preserve">41707498  </v>
      </c>
      <c r="B3214" t="s">
        <v>3128</v>
      </c>
      <c r="C3214">
        <v>95.7</v>
      </c>
      <c r="D3214" t="str">
        <f t="shared" si="140"/>
        <v>250</v>
      </c>
    </row>
    <row r="3215" spans="1:5" x14ac:dyDescent="0.25">
      <c r="A3215" t="str">
        <f>"41707514  "</f>
        <v xml:space="preserve">41707514  </v>
      </c>
      <c r="B3215" t="s">
        <v>3129</v>
      </c>
      <c r="C3215">
        <v>57.2</v>
      </c>
      <c r="D3215" t="str">
        <f t="shared" si="140"/>
        <v>250</v>
      </c>
    </row>
    <row r="3216" spans="1:5" x14ac:dyDescent="0.25">
      <c r="A3216" t="str">
        <f>"41707522  "</f>
        <v xml:space="preserve">41707522  </v>
      </c>
      <c r="B3216" t="s">
        <v>3130</v>
      </c>
      <c r="C3216">
        <v>130.9</v>
      </c>
      <c r="D3216" t="str">
        <f t="shared" si="140"/>
        <v>250</v>
      </c>
    </row>
    <row r="3217" spans="1:5" x14ac:dyDescent="0.25">
      <c r="A3217" t="str">
        <f>"41707563  "</f>
        <v xml:space="preserve">41707563  </v>
      </c>
      <c r="B3217" t="s">
        <v>3131</v>
      </c>
      <c r="C3217">
        <v>6.6</v>
      </c>
      <c r="D3217" t="str">
        <f t="shared" si="140"/>
        <v>250</v>
      </c>
      <c r="E3217" t="str">
        <f>"J3490"</f>
        <v>J3490</v>
      </c>
    </row>
    <row r="3218" spans="1:5" x14ac:dyDescent="0.25">
      <c r="A3218" t="str">
        <f>"41707589  "</f>
        <v xml:space="preserve">41707589  </v>
      </c>
      <c r="B3218" t="s">
        <v>3132</v>
      </c>
      <c r="C3218">
        <v>88</v>
      </c>
      <c r="D3218" t="str">
        <f t="shared" si="140"/>
        <v>250</v>
      </c>
    </row>
    <row r="3219" spans="1:5" x14ac:dyDescent="0.25">
      <c r="A3219" t="str">
        <f>"41707597  "</f>
        <v xml:space="preserve">41707597  </v>
      </c>
      <c r="B3219" t="s">
        <v>3133</v>
      </c>
      <c r="C3219">
        <v>49.5</v>
      </c>
      <c r="D3219" t="str">
        <f t="shared" si="140"/>
        <v>250</v>
      </c>
    </row>
    <row r="3220" spans="1:5" x14ac:dyDescent="0.25">
      <c r="A3220" t="str">
        <f>"41707662  "</f>
        <v xml:space="preserve">41707662  </v>
      </c>
      <c r="B3220" t="s">
        <v>3134</v>
      </c>
      <c r="C3220">
        <v>11</v>
      </c>
      <c r="D3220" t="str">
        <f t="shared" si="140"/>
        <v>250</v>
      </c>
      <c r="E3220" t="str">
        <f>"J8499"</f>
        <v>J8499</v>
      </c>
    </row>
    <row r="3221" spans="1:5" x14ac:dyDescent="0.25">
      <c r="A3221" t="str">
        <f>"41707753  "</f>
        <v xml:space="preserve">41707753  </v>
      </c>
      <c r="B3221" t="s">
        <v>3135</v>
      </c>
      <c r="C3221">
        <v>16.5</v>
      </c>
      <c r="D3221" t="str">
        <f>"257"</f>
        <v>257</v>
      </c>
      <c r="E3221" t="str">
        <f>"J3490"</f>
        <v>J3490</v>
      </c>
    </row>
    <row r="3222" spans="1:5" x14ac:dyDescent="0.25">
      <c r="A3222" t="str">
        <f>"41708009  "</f>
        <v xml:space="preserve">41708009  </v>
      </c>
      <c r="B3222" t="s">
        <v>3136</v>
      </c>
      <c r="C3222">
        <v>15.71</v>
      </c>
      <c r="D3222" t="str">
        <f>"250"</f>
        <v>250</v>
      </c>
    </row>
    <row r="3223" spans="1:5" x14ac:dyDescent="0.25">
      <c r="A3223" t="str">
        <f>"41708108  "</f>
        <v xml:space="preserve">41708108  </v>
      </c>
      <c r="B3223" t="s">
        <v>3137</v>
      </c>
      <c r="C3223">
        <v>6.6</v>
      </c>
      <c r="D3223" t="str">
        <f>"250"</f>
        <v>250</v>
      </c>
      <c r="E3223" t="str">
        <f>"J8499"</f>
        <v>J8499</v>
      </c>
    </row>
    <row r="3224" spans="1:5" x14ac:dyDescent="0.25">
      <c r="A3224" t="str">
        <f>"41708140  "</f>
        <v xml:space="preserve">41708140  </v>
      </c>
      <c r="B3224" t="s">
        <v>3138</v>
      </c>
      <c r="C3224">
        <v>19.25</v>
      </c>
      <c r="D3224" t="str">
        <f>"250"</f>
        <v>250</v>
      </c>
    </row>
    <row r="3225" spans="1:5" x14ac:dyDescent="0.25">
      <c r="A3225" t="str">
        <f>"41708181  "</f>
        <v xml:space="preserve">41708181  </v>
      </c>
      <c r="B3225" t="s">
        <v>3139</v>
      </c>
      <c r="C3225">
        <v>6.6</v>
      </c>
      <c r="D3225" t="str">
        <f>"250"</f>
        <v>250</v>
      </c>
      <c r="E3225" t="str">
        <f>"J8499"</f>
        <v>J8499</v>
      </c>
    </row>
    <row r="3226" spans="1:5" x14ac:dyDescent="0.25">
      <c r="A3226" t="str">
        <f>"41708702  "</f>
        <v xml:space="preserve">41708702  </v>
      </c>
      <c r="B3226" t="s">
        <v>3140</v>
      </c>
      <c r="C3226">
        <v>63.8</v>
      </c>
      <c r="D3226" t="str">
        <f>"250"</f>
        <v>250</v>
      </c>
      <c r="E3226" t="str">
        <f>"J3490"</f>
        <v>J3490</v>
      </c>
    </row>
    <row r="3227" spans="1:5" x14ac:dyDescent="0.25">
      <c r="A3227" t="str">
        <f>"41708751  "</f>
        <v xml:space="preserve">41708751  </v>
      </c>
      <c r="B3227" t="s">
        <v>3141</v>
      </c>
      <c r="C3227">
        <v>6.6</v>
      </c>
      <c r="D3227" t="str">
        <f>"257"</f>
        <v>257</v>
      </c>
      <c r="E3227" t="str">
        <f>"J3490"</f>
        <v>J3490</v>
      </c>
    </row>
    <row r="3228" spans="1:5" x14ac:dyDescent="0.25">
      <c r="A3228" t="str">
        <f>"41708819  "</f>
        <v xml:space="preserve">41708819  </v>
      </c>
      <c r="B3228" t="s">
        <v>3142</v>
      </c>
      <c r="C3228">
        <v>7.7</v>
      </c>
      <c r="D3228" t="str">
        <f>"250"</f>
        <v>250</v>
      </c>
      <c r="E3228" t="str">
        <f>"J8499"</f>
        <v>J8499</v>
      </c>
    </row>
    <row r="3229" spans="1:5" x14ac:dyDescent="0.25">
      <c r="A3229" t="str">
        <f>"41708827  "</f>
        <v xml:space="preserve">41708827  </v>
      </c>
      <c r="B3229" t="s">
        <v>3143</v>
      </c>
      <c r="C3229">
        <v>12.1</v>
      </c>
      <c r="D3229" t="str">
        <f>"250"</f>
        <v>250</v>
      </c>
      <c r="E3229" t="str">
        <f>"J8499"</f>
        <v>J8499</v>
      </c>
    </row>
    <row r="3230" spans="1:5" x14ac:dyDescent="0.25">
      <c r="A3230" t="str">
        <f>"41708870"</f>
        <v>41708870</v>
      </c>
      <c r="B3230" t="s">
        <v>3144</v>
      </c>
      <c r="C3230">
        <v>22</v>
      </c>
      <c r="D3230" t="str">
        <f>"250"</f>
        <v>250</v>
      </c>
    </row>
    <row r="3231" spans="1:5" x14ac:dyDescent="0.25">
      <c r="A3231" t="str">
        <f>"41709015  "</f>
        <v xml:space="preserve">41709015  </v>
      </c>
      <c r="B3231" t="s">
        <v>3145</v>
      </c>
      <c r="C3231">
        <v>16.5</v>
      </c>
      <c r="D3231" t="str">
        <f>"257"</f>
        <v>257</v>
      </c>
      <c r="E3231" t="str">
        <f>"J3490"</f>
        <v>J3490</v>
      </c>
    </row>
    <row r="3232" spans="1:5" x14ac:dyDescent="0.25">
      <c r="A3232" t="str">
        <f>"41709023  "</f>
        <v xml:space="preserve">41709023  </v>
      </c>
      <c r="B3232" t="s">
        <v>3146</v>
      </c>
      <c r="C3232">
        <v>214.5</v>
      </c>
      <c r="D3232" t="str">
        <f>"250"</f>
        <v>250</v>
      </c>
    </row>
    <row r="3233" spans="1:5" x14ac:dyDescent="0.25">
      <c r="A3233" t="str">
        <f>"41709049  "</f>
        <v xml:space="preserve">41709049  </v>
      </c>
      <c r="B3233" t="s">
        <v>3147</v>
      </c>
      <c r="C3233">
        <v>17.190000000000001</v>
      </c>
      <c r="D3233" t="str">
        <f>"250"</f>
        <v>250</v>
      </c>
    </row>
    <row r="3234" spans="1:5" x14ac:dyDescent="0.25">
      <c r="A3234" t="str">
        <f>"41709056  "</f>
        <v xml:space="preserve">41709056  </v>
      </c>
      <c r="B3234" t="s">
        <v>3148</v>
      </c>
      <c r="C3234">
        <v>12.1</v>
      </c>
      <c r="D3234" t="str">
        <f>"250"</f>
        <v>250</v>
      </c>
    </row>
    <row r="3235" spans="1:5" x14ac:dyDescent="0.25">
      <c r="A3235" t="str">
        <f>"41709304  "</f>
        <v xml:space="preserve">41709304  </v>
      </c>
      <c r="B3235" t="s">
        <v>3149</v>
      </c>
      <c r="C3235">
        <v>49.5</v>
      </c>
      <c r="D3235" t="str">
        <f>"257"</f>
        <v>257</v>
      </c>
      <c r="E3235" t="str">
        <f>"J3490"</f>
        <v>J3490</v>
      </c>
    </row>
    <row r="3236" spans="1:5" x14ac:dyDescent="0.25">
      <c r="A3236" t="str">
        <f>"41709346  "</f>
        <v xml:space="preserve">41709346  </v>
      </c>
      <c r="B3236" t="s">
        <v>3150</v>
      </c>
      <c r="C3236">
        <v>6.6</v>
      </c>
      <c r="D3236" t="str">
        <f>"257"</f>
        <v>257</v>
      </c>
      <c r="E3236" t="str">
        <f>"J3490"</f>
        <v>J3490</v>
      </c>
    </row>
    <row r="3237" spans="1:5" x14ac:dyDescent="0.25">
      <c r="A3237" t="str">
        <f>"41709353  "</f>
        <v xml:space="preserve">41709353  </v>
      </c>
      <c r="B3237" t="s">
        <v>3151</v>
      </c>
      <c r="C3237">
        <v>6.6</v>
      </c>
      <c r="D3237" t="str">
        <f>"250"</f>
        <v>250</v>
      </c>
      <c r="E3237" t="str">
        <f>"J8499"</f>
        <v>J8499</v>
      </c>
    </row>
    <row r="3238" spans="1:5" x14ac:dyDescent="0.25">
      <c r="A3238" t="str">
        <f>"41709361  "</f>
        <v xml:space="preserve">41709361  </v>
      </c>
      <c r="B3238" t="s">
        <v>3152</v>
      </c>
      <c r="C3238">
        <v>7.7</v>
      </c>
      <c r="D3238" t="str">
        <f>"250"</f>
        <v>250</v>
      </c>
      <c r="E3238" t="str">
        <f>"J8499"</f>
        <v>J8499</v>
      </c>
    </row>
    <row r="3239" spans="1:5" x14ac:dyDescent="0.25">
      <c r="A3239" t="str">
        <f>"41709379  "</f>
        <v xml:space="preserve">41709379  </v>
      </c>
      <c r="B3239" t="s">
        <v>3153</v>
      </c>
      <c r="C3239">
        <v>16.5</v>
      </c>
      <c r="D3239" t="str">
        <f>"257"</f>
        <v>257</v>
      </c>
      <c r="E3239" t="str">
        <f>"J3490"</f>
        <v>J3490</v>
      </c>
    </row>
    <row r="3240" spans="1:5" x14ac:dyDescent="0.25">
      <c r="A3240" t="str">
        <f>"41709403  "</f>
        <v xml:space="preserve">41709403  </v>
      </c>
      <c r="B3240" t="s">
        <v>3154</v>
      </c>
      <c r="C3240">
        <v>68.2</v>
      </c>
      <c r="D3240" t="str">
        <f>"250"</f>
        <v>250</v>
      </c>
      <c r="E3240" t="str">
        <f>"J3490"</f>
        <v>J3490</v>
      </c>
    </row>
    <row r="3241" spans="1:5" x14ac:dyDescent="0.25">
      <c r="A3241" t="str">
        <f>"41709452  "</f>
        <v xml:space="preserve">41709452  </v>
      </c>
      <c r="B3241" t="s">
        <v>3155</v>
      </c>
      <c r="C3241">
        <v>71.5</v>
      </c>
      <c r="D3241" t="str">
        <f>"250"</f>
        <v>250</v>
      </c>
      <c r="E3241" t="str">
        <f>"J0610"</f>
        <v>J0610</v>
      </c>
    </row>
    <row r="3242" spans="1:5" x14ac:dyDescent="0.25">
      <c r="A3242" t="str">
        <f>"41709601  "</f>
        <v xml:space="preserve">41709601  </v>
      </c>
      <c r="B3242" t="s">
        <v>3156</v>
      </c>
      <c r="C3242">
        <v>6.6</v>
      </c>
      <c r="D3242" t="str">
        <f>"257"</f>
        <v>257</v>
      </c>
      <c r="E3242" t="str">
        <f>"J3490"</f>
        <v>J3490</v>
      </c>
    </row>
    <row r="3243" spans="1:5" x14ac:dyDescent="0.25">
      <c r="A3243" t="str">
        <f>"41709650  "</f>
        <v xml:space="preserve">41709650  </v>
      </c>
      <c r="B3243" t="s">
        <v>3157</v>
      </c>
      <c r="C3243">
        <v>88</v>
      </c>
      <c r="D3243" t="str">
        <f>"250"</f>
        <v>250</v>
      </c>
      <c r="E3243" t="str">
        <f>"J0610"</f>
        <v>J0610</v>
      </c>
    </row>
    <row r="3244" spans="1:5" x14ac:dyDescent="0.25">
      <c r="A3244" t="str">
        <f>"41709700  "</f>
        <v xml:space="preserve">41709700  </v>
      </c>
      <c r="B3244" t="s">
        <v>3158</v>
      </c>
      <c r="C3244">
        <v>6.6</v>
      </c>
      <c r="D3244" t="str">
        <f>"257"</f>
        <v>257</v>
      </c>
      <c r="E3244" t="str">
        <f>"J3490"</f>
        <v>J3490</v>
      </c>
    </row>
    <row r="3245" spans="1:5" x14ac:dyDescent="0.25">
      <c r="A3245" t="str">
        <f>"41709734  "</f>
        <v xml:space="preserve">41709734  </v>
      </c>
      <c r="B3245" t="s">
        <v>3159</v>
      </c>
      <c r="C3245">
        <v>6.6</v>
      </c>
      <c r="D3245" t="str">
        <f>"257"</f>
        <v>257</v>
      </c>
      <c r="E3245" t="str">
        <f>"J3490"</f>
        <v>J3490</v>
      </c>
    </row>
    <row r="3246" spans="1:5" x14ac:dyDescent="0.25">
      <c r="A3246" t="str">
        <f>"41709742  "</f>
        <v xml:space="preserve">41709742  </v>
      </c>
      <c r="B3246" t="s">
        <v>3160</v>
      </c>
      <c r="C3246">
        <v>366.3</v>
      </c>
      <c r="D3246" t="str">
        <f>"250"</f>
        <v>250</v>
      </c>
      <c r="E3246" t="str">
        <f>"J0630"</f>
        <v>J0630</v>
      </c>
    </row>
    <row r="3247" spans="1:5" x14ac:dyDescent="0.25">
      <c r="A3247" t="str">
        <f>"41709759  "</f>
        <v xml:space="preserve">41709759  </v>
      </c>
      <c r="B3247" t="s">
        <v>3161</v>
      </c>
      <c r="C3247">
        <v>6.6</v>
      </c>
      <c r="D3247" t="str">
        <f>"257"</f>
        <v>257</v>
      </c>
      <c r="E3247" t="str">
        <f>"J3490"</f>
        <v>J3490</v>
      </c>
    </row>
    <row r="3248" spans="1:5" x14ac:dyDescent="0.25">
      <c r="A3248" t="str">
        <f>"41709767  "</f>
        <v xml:space="preserve">41709767  </v>
      </c>
      <c r="B3248" t="s">
        <v>3162</v>
      </c>
      <c r="C3248">
        <v>49.5</v>
      </c>
      <c r="D3248" t="str">
        <f>"257"</f>
        <v>257</v>
      </c>
      <c r="E3248" t="str">
        <f>"J3490"</f>
        <v>J3490</v>
      </c>
    </row>
    <row r="3249" spans="1:5" x14ac:dyDescent="0.25">
      <c r="A3249" t="str">
        <f>"41709908  "</f>
        <v xml:space="preserve">41709908  </v>
      </c>
      <c r="B3249" t="s">
        <v>3163</v>
      </c>
      <c r="C3249">
        <v>17.46</v>
      </c>
      <c r="D3249" t="str">
        <f t="shared" ref="D3249:D3268" si="141">"250"</f>
        <v>250</v>
      </c>
      <c r="E3249" t="str">
        <f t="shared" ref="E3249:E3254" si="142">"J8499"</f>
        <v>J8499</v>
      </c>
    </row>
    <row r="3250" spans="1:5" x14ac:dyDescent="0.25">
      <c r="A3250" t="str">
        <f>"41709957  "</f>
        <v xml:space="preserve">41709957  </v>
      </c>
      <c r="B3250" t="s">
        <v>3164</v>
      </c>
      <c r="C3250">
        <v>6.6</v>
      </c>
      <c r="D3250" t="str">
        <f t="shared" si="141"/>
        <v>250</v>
      </c>
      <c r="E3250" t="str">
        <f t="shared" si="142"/>
        <v>J8499</v>
      </c>
    </row>
    <row r="3251" spans="1:5" x14ac:dyDescent="0.25">
      <c r="A3251" t="str">
        <f>"41710005  "</f>
        <v xml:space="preserve">41710005  </v>
      </c>
      <c r="B3251" t="s">
        <v>3165</v>
      </c>
      <c r="C3251">
        <v>7.7</v>
      </c>
      <c r="D3251" t="str">
        <f t="shared" si="141"/>
        <v>250</v>
      </c>
      <c r="E3251" t="str">
        <f t="shared" si="142"/>
        <v>J8499</v>
      </c>
    </row>
    <row r="3252" spans="1:5" x14ac:dyDescent="0.25">
      <c r="A3252" t="str">
        <f>"41710013  "</f>
        <v xml:space="preserve">41710013  </v>
      </c>
      <c r="B3252" t="s">
        <v>3166</v>
      </c>
      <c r="C3252">
        <v>11</v>
      </c>
      <c r="D3252" t="str">
        <f t="shared" si="141"/>
        <v>250</v>
      </c>
      <c r="E3252" t="str">
        <f t="shared" si="142"/>
        <v>J8499</v>
      </c>
    </row>
    <row r="3253" spans="1:5" x14ac:dyDescent="0.25">
      <c r="A3253" t="str">
        <f>"41710054  "</f>
        <v xml:space="preserve">41710054  </v>
      </c>
      <c r="B3253" t="s">
        <v>3167</v>
      </c>
      <c r="C3253">
        <v>11</v>
      </c>
      <c r="D3253" t="str">
        <f t="shared" si="141"/>
        <v>250</v>
      </c>
      <c r="E3253" t="str">
        <f t="shared" si="142"/>
        <v>J8499</v>
      </c>
    </row>
    <row r="3254" spans="1:5" x14ac:dyDescent="0.25">
      <c r="A3254" t="str">
        <f>"41710070  "</f>
        <v xml:space="preserve">41710070  </v>
      </c>
      <c r="B3254" t="s">
        <v>3168</v>
      </c>
      <c r="C3254">
        <v>104.5</v>
      </c>
      <c r="D3254" t="str">
        <f t="shared" si="141"/>
        <v>250</v>
      </c>
      <c r="E3254" t="str">
        <f t="shared" si="142"/>
        <v>J8499</v>
      </c>
    </row>
    <row r="3255" spans="1:5" x14ac:dyDescent="0.25">
      <c r="A3255" t="str">
        <f>"41710096  "</f>
        <v xml:space="preserve">41710096  </v>
      </c>
      <c r="B3255" t="s">
        <v>3169</v>
      </c>
      <c r="C3255">
        <v>15.47</v>
      </c>
      <c r="D3255" t="str">
        <f t="shared" si="141"/>
        <v>250</v>
      </c>
    </row>
    <row r="3256" spans="1:5" x14ac:dyDescent="0.25">
      <c r="A3256" t="str">
        <f>"41710161  "</f>
        <v xml:space="preserve">41710161  </v>
      </c>
      <c r="B3256" t="s">
        <v>3170</v>
      </c>
      <c r="C3256">
        <v>13.55</v>
      </c>
      <c r="D3256" t="str">
        <f t="shared" si="141"/>
        <v>250</v>
      </c>
    </row>
    <row r="3257" spans="1:5" x14ac:dyDescent="0.25">
      <c r="A3257" t="str">
        <f>"41710245"</f>
        <v>41710245</v>
      </c>
      <c r="B3257" t="s">
        <v>3171</v>
      </c>
      <c r="C3257">
        <v>452.38</v>
      </c>
      <c r="D3257" t="str">
        <f t="shared" si="141"/>
        <v>250</v>
      </c>
    </row>
    <row r="3258" spans="1:5" x14ac:dyDescent="0.25">
      <c r="A3258" t="str">
        <f>"41710310  "</f>
        <v xml:space="preserve">41710310  </v>
      </c>
      <c r="B3258" t="s">
        <v>3172</v>
      </c>
      <c r="C3258">
        <v>6.6</v>
      </c>
      <c r="D3258" t="str">
        <f t="shared" si="141"/>
        <v>250</v>
      </c>
      <c r="E3258" t="str">
        <f>"J8499"</f>
        <v>J8499</v>
      </c>
    </row>
    <row r="3259" spans="1:5" x14ac:dyDescent="0.25">
      <c r="A3259" t="str">
        <f>"41710328  "</f>
        <v xml:space="preserve">41710328  </v>
      </c>
      <c r="B3259" t="s">
        <v>3173</v>
      </c>
      <c r="C3259">
        <v>7.7</v>
      </c>
      <c r="D3259" t="str">
        <f t="shared" si="141"/>
        <v>250</v>
      </c>
      <c r="E3259" t="str">
        <f>"J8499"</f>
        <v>J8499</v>
      </c>
    </row>
    <row r="3260" spans="1:5" x14ac:dyDescent="0.25">
      <c r="A3260" t="str">
        <f>"41710351  "</f>
        <v xml:space="preserve">41710351  </v>
      </c>
      <c r="B3260" t="s">
        <v>3174</v>
      </c>
      <c r="C3260">
        <v>6.6</v>
      </c>
      <c r="D3260" t="str">
        <f t="shared" si="141"/>
        <v>250</v>
      </c>
      <c r="E3260" t="str">
        <f>"J3490"</f>
        <v>J3490</v>
      </c>
    </row>
    <row r="3261" spans="1:5" x14ac:dyDescent="0.25">
      <c r="A3261" t="str">
        <f>"41710377  "</f>
        <v xml:space="preserve">41710377  </v>
      </c>
      <c r="B3261" t="s">
        <v>3175</v>
      </c>
      <c r="C3261">
        <v>11.62</v>
      </c>
      <c r="D3261" t="str">
        <f t="shared" si="141"/>
        <v>250</v>
      </c>
    </row>
    <row r="3262" spans="1:5" x14ac:dyDescent="0.25">
      <c r="A3262" t="str">
        <f>"41710401  "</f>
        <v xml:space="preserve">41710401  </v>
      </c>
      <c r="B3262" t="s">
        <v>3176</v>
      </c>
      <c r="C3262">
        <v>6.6</v>
      </c>
      <c r="D3262" t="str">
        <f t="shared" si="141"/>
        <v>250</v>
      </c>
      <c r="E3262" t="str">
        <f>"J8499"</f>
        <v>J8499</v>
      </c>
    </row>
    <row r="3263" spans="1:5" x14ac:dyDescent="0.25">
      <c r="A3263" t="str">
        <f>"41710419  "</f>
        <v xml:space="preserve">41710419  </v>
      </c>
      <c r="B3263" t="s">
        <v>3177</v>
      </c>
      <c r="C3263">
        <v>7.7</v>
      </c>
      <c r="D3263" t="str">
        <f t="shared" si="141"/>
        <v>250</v>
      </c>
      <c r="E3263" t="str">
        <f>"J8499"</f>
        <v>J8499</v>
      </c>
    </row>
    <row r="3264" spans="1:5" x14ac:dyDescent="0.25">
      <c r="A3264" t="str">
        <f>"41710427  "</f>
        <v xml:space="preserve">41710427  </v>
      </c>
      <c r="B3264" t="s">
        <v>3178</v>
      </c>
      <c r="C3264">
        <v>9.9</v>
      </c>
      <c r="D3264" t="str">
        <f t="shared" si="141"/>
        <v>250</v>
      </c>
      <c r="E3264" t="str">
        <f>"J8499"</f>
        <v>J8499</v>
      </c>
    </row>
    <row r="3265" spans="1:5" x14ac:dyDescent="0.25">
      <c r="A3265" t="str">
        <f>"41710435  "</f>
        <v xml:space="preserve">41710435  </v>
      </c>
      <c r="B3265" t="s">
        <v>3179</v>
      </c>
      <c r="C3265">
        <v>137.5</v>
      </c>
      <c r="D3265" t="str">
        <f t="shared" si="141"/>
        <v>250</v>
      </c>
      <c r="E3265" t="str">
        <f>"J3490"</f>
        <v>J3490</v>
      </c>
    </row>
    <row r="3266" spans="1:5" x14ac:dyDescent="0.25">
      <c r="A3266" t="str">
        <f>"41710518  "</f>
        <v xml:space="preserve">41710518  </v>
      </c>
      <c r="B3266" t="s">
        <v>3180</v>
      </c>
      <c r="C3266">
        <v>16.5</v>
      </c>
      <c r="D3266" t="str">
        <f t="shared" si="141"/>
        <v>250</v>
      </c>
      <c r="E3266" t="str">
        <f>"J8499"</f>
        <v>J8499</v>
      </c>
    </row>
    <row r="3267" spans="1:5" x14ac:dyDescent="0.25">
      <c r="A3267" t="str">
        <f>"41710534  "</f>
        <v xml:space="preserve">41710534  </v>
      </c>
      <c r="B3267" t="s">
        <v>3181</v>
      </c>
      <c r="C3267">
        <v>31.9</v>
      </c>
      <c r="D3267" t="str">
        <f t="shared" si="141"/>
        <v>250</v>
      </c>
      <c r="E3267" t="str">
        <f>"J8499"</f>
        <v>J8499</v>
      </c>
    </row>
    <row r="3268" spans="1:5" x14ac:dyDescent="0.25">
      <c r="A3268" t="str">
        <f>"41710559  "</f>
        <v xml:space="preserve">41710559  </v>
      </c>
      <c r="B3268" t="s">
        <v>3182</v>
      </c>
      <c r="C3268">
        <v>11.55</v>
      </c>
      <c r="D3268" t="str">
        <f t="shared" si="141"/>
        <v>250</v>
      </c>
      <c r="E3268" t="str">
        <f>"J8499"</f>
        <v>J8499</v>
      </c>
    </row>
    <row r="3269" spans="1:5" x14ac:dyDescent="0.25">
      <c r="A3269" t="str">
        <f>"41710567  "</f>
        <v xml:space="preserve">41710567  </v>
      </c>
      <c r="B3269" t="s">
        <v>3183</v>
      </c>
      <c r="C3269">
        <v>16.5</v>
      </c>
      <c r="D3269" t="str">
        <f>"257"</f>
        <v>257</v>
      </c>
      <c r="E3269" t="str">
        <f>"J3490"</f>
        <v>J3490</v>
      </c>
    </row>
    <row r="3270" spans="1:5" x14ac:dyDescent="0.25">
      <c r="A3270" t="str">
        <f>"41710575  "</f>
        <v xml:space="preserve">41710575  </v>
      </c>
      <c r="B3270" t="s">
        <v>3184</v>
      </c>
      <c r="C3270">
        <v>24.95</v>
      </c>
      <c r="D3270" t="str">
        <f t="shared" ref="D3270:D3288" si="143">"250"</f>
        <v>250</v>
      </c>
      <c r="E3270" t="str">
        <f>"J8499"</f>
        <v>J8499</v>
      </c>
    </row>
    <row r="3271" spans="1:5" x14ac:dyDescent="0.25">
      <c r="A3271" t="str">
        <f>"41710583  "</f>
        <v xml:space="preserve">41710583  </v>
      </c>
      <c r="B3271" t="s">
        <v>3185</v>
      </c>
      <c r="C3271">
        <v>658.9</v>
      </c>
      <c r="D3271" t="str">
        <f t="shared" si="143"/>
        <v>250</v>
      </c>
      <c r="E3271" t="str">
        <f>"J3490"</f>
        <v>J3490</v>
      </c>
    </row>
    <row r="3272" spans="1:5" x14ac:dyDescent="0.25">
      <c r="A3272" t="str">
        <f>"41710591  "</f>
        <v xml:space="preserve">41710591  </v>
      </c>
      <c r="B3272" t="s">
        <v>3186</v>
      </c>
      <c r="C3272">
        <v>12.1</v>
      </c>
      <c r="D3272" t="str">
        <f t="shared" si="143"/>
        <v>250</v>
      </c>
      <c r="E3272" t="str">
        <f>"J8499"</f>
        <v>J8499</v>
      </c>
    </row>
    <row r="3273" spans="1:5" x14ac:dyDescent="0.25">
      <c r="A3273" t="str">
        <f>"41710781  "</f>
        <v xml:space="preserve">41710781  </v>
      </c>
      <c r="B3273" t="s">
        <v>3187</v>
      </c>
      <c r="C3273">
        <v>211.2</v>
      </c>
      <c r="D3273" t="str">
        <f t="shared" si="143"/>
        <v>250</v>
      </c>
      <c r="E3273" t="str">
        <f>"J0882"</f>
        <v>J0882</v>
      </c>
    </row>
    <row r="3274" spans="1:5" x14ac:dyDescent="0.25">
      <c r="A3274" t="str">
        <f>"41710849  "</f>
        <v xml:space="preserve">41710849  </v>
      </c>
      <c r="B3274" t="s">
        <v>3188</v>
      </c>
      <c r="C3274">
        <v>25.3</v>
      </c>
      <c r="D3274" t="str">
        <f t="shared" si="143"/>
        <v>250</v>
      </c>
      <c r="E3274" t="str">
        <f>"J8499"</f>
        <v>J8499</v>
      </c>
    </row>
    <row r="3275" spans="1:5" x14ac:dyDescent="0.25">
      <c r="A3275" t="str">
        <f>"41710864  "</f>
        <v xml:space="preserve">41710864  </v>
      </c>
      <c r="B3275" t="s">
        <v>3189</v>
      </c>
      <c r="C3275">
        <v>34.1</v>
      </c>
      <c r="D3275" t="str">
        <f t="shared" si="143"/>
        <v>250</v>
      </c>
      <c r="E3275" t="str">
        <f>"J8499"</f>
        <v>J8499</v>
      </c>
    </row>
    <row r="3276" spans="1:5" x14ac:dyDescent="0.25">
      <c r="A3276" t="str">
        <f>"41710872  "</f>
        <v xml:space="preserve">41710872  </v>
      </c>
      <c r="B3276" t="s">
        <v>3190</v>
      </c>
      <c r="C3276">
        <v>12.64</v>
      </c>
      <c r="D3276" t="str">
        <f t="shared" si="143"/>
        <v>250</v>
      </c>
      <c r="E3276" t="str">
        <f>"J8499"</f>
        <v>J8499</v>
      </c>
    </row>
    <row r="3277" spans="1:5" x14ac:dyDescent="0.25">
      <c r="A3277" t="str">
        <f>"41710930  "</f>
        <v xml:space="preserve">41710930  </v>
      </c>
      <c r="B3277" t="s">
        <v>3191</v>
      </c>
      <c r="C3277">
        <v>71.5</v>
      </c>
      <c r="D3277" t="str">
        <f t="shared" si="143"/>
        <v>250</v>
      </c>
      <c r="E3277" t="str">
        <f>"90779"</f>
        <v>90779</v>
      </c>
    </row>
    <row r="3278" spans="1:5" x14ac:dyDescent="0.25">
      <c r="A3278" t="str">
        <f>"41710930  "</f>
        <v xml:space="preserve">41710930  </v>
      </c>
      <c r="B3278" t="s">
        <v>3191</v>
      </c>
      <c r="C3278">
        <v>71.5</v>
      </c>
      <c r="D3278" t="str">
        <f t="shared" si="143"/>
        <v>250</v>
      </c>
      <c r="E3278" t="str">
        <f>"J0697"</f>
        <v>J0697</v>
      </c>
    </row>
    <row r="3279" spans="1:5" x14ac:dyDescent="0.25">
      <c r="A3279" t="str">
        <f>"41711003  "</f>
        <v xml:space="preserve">41711003  </v>
      </c>
      <c r="B3279" t="s">
        <v>3192</v>
      </c>
      <c r="C3279">
        <v>11</v>
      </c>
      <c r="D3279" t="str">
        <f t="shared" si="143"/>
        <v>250</v>
      </c>
      <c r="E3279" t="str">
        <f>"J8499"</f>
        <v>J8499</v>
      </c>
    </row>
    <row r="3280" spans="1:5" x14ac:dyDescent="0.25">
      <c r="A3280" t="str">
        <f>"41711110  "</f>
        <v xml:space="preserve">41711110  </v>
      </c>
      <c r="B3280" t="s">
        <v>3193</v>
      </c>
      <c r="C3280">
        <v>9.9</v>
      </c>
      <c r="D3280" t="str">
        <f t="shared" si="143"/>
        <v>250</v>
      </c>
      <c r="E3280" t="str">
        <f>"J8499"</f>
        <v>J8499</v>
      </c>
    </row>
    <row r="3281" spans="1:5" x14ac:dyDescent="0.25">
      <c r="A3281" t="str">
        <f>"41711128  "</f>
        <v xml:space="preserve">41711128  </v>
      </c>
      <c r="B3281" t="s">
        <v>3194</v>
      </c>
      <c r="C3281">
        <v>12.1</v>
      </c>
      <c r="D3281" t="str">
        <f t="shared" si="143"/>
        <v>250</v>
      </c>
      <c r="E3281" t="str">
        <f>"J8499"</f>
        <v>J8499</v>
      </c>
    </row>
    <row r="3282" spans="1:5" x14ac:dyDescent="0.25">
      <c r="A3282" t="str">
        <f>"41711136  "</f>
        <v xml:space="preserve">41711136  </v>
      </c>
      <c r="B3282" t="s">
        <v>3195</v>
      </c>
      <c r="C3282">
        <v>116.6</v>
      </c>
      <c r="D3282" t="str">
        <f t="shared" si="143"/>
        <v>250</v>
      </c>
      <c r="E3282" t="str">
        <f>"J3490"</f>
        <v>J3490</v>
      </c>
    </row>
    <row r="3283" spans="1:5" x14ac:dyDescent="0.25">
      <c r="A3283" t="str">
        <f>"41711177  "</f>
        <v xml:space="preserve">41711177  </v>
      </c>
      <c r="B3283" t="s">
        <v>3196</v>
      </c>
      <c r="C3283">
        <v>6.6</v>
      </c>
      <c r="D3283" t="str">
        <f t="shared" si="143"/>
        <v>250</v>
      </c>
    </row>
    <row r="3284" spans="1:5" x14ac:dyDescent="0.25">
      <c r="A3284" t="str">
        <f>"41711193  "</f>
        <v xml:space="preserve">41711193  </v>
      </c>
      <c r="B3284" t="s">
        <v>3197</v>
      </c>
      <c r="C3284">
        <v>6.6</v>
      </c>
      <c r="D3284" t="str">
        <f t="shared" si="143"/>
        <v>250</v>
      </c>
      <c r="E3284" t="str">
        <f>"J8499"</f>
        <v>J8499</v>
      </c>
    </row>
    <row r="3285" spans="1:5" x14ac:dyDescent="0.25">
      <c r="A3285" t="str">
        <f>"41711244"</f>
        <v>41711244</v>
      </c>
      <c r="B3285" t="s">
        <v>3198</v>
      </c>
      <c r="C3285">
        <v>118.8</v>
      </c>
      <c r="D3285" t="str">
        <f t="shared" si="143"/>
        <v>250</v>
      </c>
    </row>
    <row r="3286" spans="1:5" x14ac:dyDescent="0.25">
      <c r="A3286" t="str">
        <f>"41711324"</f>
        <v>41711324</v>
      </c>
      <c r="B3286" t="s">
        <v>3199</v>
      </c>
      <c r="C3286">
        <v>52.8</v>
      </c>
      <c r="D3286" t="str">
        <f t="shared" si="143"/>
        <v>250</v>
      </c>
    </row>
    <row r="3287" spans="1:5" x14ac:dyDescent="0.25">
      <c r="A3287" t="str">
        <f>"41711557  "</f>
        <v xml:space="preserve">41711557  </v>
      </c>
      <c r="B3287" t="s">
        <v>3200</v>
      </c>
      <c r="C3287">
        <v>6.6</v>
      </c>
      <c r="D3287" t="str">
        <f t="shared" si="143"/>
        <v>250</v>
      </c>
      <c r="E3287" t="str">
        <f>"J8499"</f>
        <v>J8499</v>
      </c>
    </row>
    <row r="3288" spans="1:5" x14ac:dyDescent="0.25">
      <c r="A3288" t="str">
        <f>"41711607  "</f>
        <v xml:space="preserve">41711607  </v>
      </c>
      <c r="B3288" t="s">
        <v>3201</v>
      </c>
      <c r="C3288">
        <v>7.7</v>
      </c>
      <c r="D3288" t="str">
        <f t="shared" si="143"/>
        <v>250</v>
      </c>
      <c r="E3288" t="str">
        <f>"J8499"</f>
        <v>J8499</v>
      </c>
    </row>
    <row r="3289" spans="1:5" x14ac:dyDescent="0.25">
      <c r="A3289" t="str">
        <f>"41711656  "</f>
        <v xml:space="preserve">41711656  </v>
      </c>
      <c r="B3289" t="s">
        <v>3202</v>
      </c>
      <c r="C3289">
        <v>24.2</v>
      </c>
      <c r="D3289" t="str">
        <f>"257"</f>
        <v>257</v>
      </c>
      <c r="E3289" t="str">
        <f>"J3490"</f>
        <v>J3490</v>
      </c>
    </row>
    <row r="3290" spans="1:5" x14ac:dyDescent="0.25">
      <c r="A3290" t="str">
        <f>"41711664  "</f>
        <v xml:space="preserve">41711664  </v>
      </c>
      <c r="B3290" t="s">
        <v>3203</v>
      </c>
      <c r="C3290">
        <v>52.8</v>
      </c>
      <c r="D3290" t="str">
        <f>"257"</f>
        <v>257</v>
      </c>
      <c r="E3290" t="str">
        <f>"J3490"</f>
        <v>J3490</v>
      </c>
    </row>
    <row r="3291" spans="1:5" x14ac:dyDescent="0.25">
      <c r="A3291" t="str">
        <f>"41712200"</f>
        <v>41712200</v>
      </c>
      <c r="B3291" t="s">
        <v>3204</v>
      </c>
      <c r="C3291" s="1">
        <v>1234.2</v>
      </c>
      <c r="D3291" t="str">
        <f>"250"</f>
        <v>250</v>
      </c>
      <c r="E3291" t="str">
        <f>"J2248"</f>
        <v>J2248</v>
      </c>
    </row>
    <row r="3292" spans="1:5" x14ac:dyDescent="0.25">
      <c r="A3292" t="str">
        <f>"41712340"</f>
        <v>41712340</v>
      </c>
      <c r="B3292" t="s">
        <v>3205</v>
      </c>
      <c r="C3292">
        <v>88</v>
      </c>
      <c r="D3292" t="str">
        <f>"250"</f>
        <v>250</v>
      </c>
      <c r="E3292" t="str">
        <f>"J0696"</f>
        <v>J0696</v>
      </c>
    </row>
    <row r="3293" spans="1:5" x14ac:dyDescent="0.25">
      <c r="A3293" t="str">
        <f>"41712345"</f>
        <v>41712345</v>
      </c>
      <c r="B3293" t="s">
        <v>3206</v>
      </c>
      <c r="C3293">
        <v>55</v>
      </c>
      <c r="D3293" t="str">
        <f>"257"</f>
        <v>257</v>
      </c>
    </row>
    <row r="3294" spans="1:5" x14ac:dyDescent="0.25">
      <c r="A3294" t="str">
        <f>"41712356"</f>
        <v>41712356</v>
      </c>
      <c r="B3294" t="s">
        <v>3207</v>
      </c>
      <c r="C3294">
        <v>71.12</v>
      </c>
      <c r="D3294" t="str">
        <f t="shared" ref="D3294:D3341" si="144">"250"</f>
        <v>250</v>
      </c>
    </row>
    <row r="3295" spans="1:5" x14ac:dyDescent="0.25">
      <c r="A3295" t="str">
        <f>"41712389"</f>
        <v>41712389</v>
      </c>
      <c r="B3295" t="s">
        <v>3208</v>
      </c>
      <c r="C3295">
        <v>11.5</v>
      </c>
      <c r="D3295" t="str">
        <f t="shared" si="144"/>
        <v>250</v>
      </c>
    </row>
    <row r="3296" spans="1:5" x14ac:dyDescent="0.25">
      <c r="A3296" t="str">
        <f>"41712400"</f>
        <v>41712400</v>
      </c>
      <c r="B3296" t="s">
        <v>3209</v>
      </c>
      <c r="C3296">
        <v>11</v>
      </c>
      <c r="D3296" t="str">
        <f t="shared" si="144"/>
        <v>250</v>
      </c>
    </row>
    <row r="3297" spans="1:5" x14ac:dyDescent="0.25">
      <c r="A3297" t="str">
        <f>"41712500"</f>
        <v>41712500</v>
      </c>
      <c r="B3297" t="s">
        <v>3210</v>
      </c>
      <c r="C3297">
        <v>79.2</v>
      </c>
      <c r="D3297" t="str">
        <f t="shared" si="144"/>
        <v>250</v>
      </c>
    </row>
    <row r="3298" spans="1:5" x14ac:dyDescent="0.25">
      <c r="A3298" t="str">
        <f>"41712688  "</f>
        <v xml:space="preserve">41712688  </v>
      </c>
      <c r="B3298" t="s">
        <v>3211</v>
      </c>
      <c r="C3298">
        <v>26.4</v>
      </c>
      <c r="D3298" t="str">
        <f t="shared" si="144"/>
        <v>250</v>
      </c>
      <c r="E3298" t="str">
        <f>"J8499"</f>
        <v>J8499</v>
      </c>
    </row>
    <row r="3299" spans="1:5" x14ac:dyDescent="0.25">
      <c r="A3299" t="str">
        <f>"41712696  "</f>
        <v xml:space="preserve">41712696  </v>
      </c>
      <c r="B3299" t="s">
        <v>3212</v>
      </c>
      <c r="C3299">
        <v>268.39999999999998</v>
      </c>
      <c r="D3299" t="str">
        <f t="shared" si="144"/>
        <v>250</v>
      </c>
    </row>
    <row r="3300" spans="1:5" x14ac:dyDescent="0.25">
      <c r="A3300" t="str">
        <f>"41712852  "</f>
        <v xml:space="preserve">41712852  </v>
      </c>
      <c r="B3300" t="s">
        <v>3213</v>
      </c>
      <c r="C3300">
        <v>26.4</v>
      </c>
      <c r="D3300" t="str">
        <f t="shared" si="144"/>
        <v>250</v>
      </c>
      <c r="E3300" t="str">
        <f>"J3490"</f>
        <v>J3490</v>
      </c>
    </row>
    <row r="3301" spans="1:5" x14ac:dyDescent="0.25">
      <c r="A3301" t="str">
        <f>"41713058  "</f>
        <v xml:space="preserve">41713058  </v>
      </c>
      <c r="B3301" t="s">
        <v>3214</v>
      </c>
      <c r="C3301">
        <v>8.8000000000000007</v>
      </c>
      <c r="D3301" t="str">
        <f t="shared" si="144"/>
        <v>250</v>
      </c>
      <c r="E3301" t="str">
        <f>"J8499"</f>
        <v>J8499</v>
      </c>
    </row>
    <row r="3302" spans="1:5" x14ac:dyDescent="0.25">
      <c r="A3302" t="str">
        <f>"41713108  "</f>
        <v xml:space="preserve">41713108  </v>
      </c>
      <c r="B3302" t="s">
        <v>3215</v>
      </c>
      <c r="C3302">
        <v>88</v>
      </c>
      <c r="D3302" t="str">
        <f t="shared" si="144"/>
        <v>250</v>
      </c>
      <c r="E3302" t="str">
        <f>"X5958"</f>
        <v>X5958</v>
      </c>
    </row>
    <row r="3303" spans="1:5" x14ac:dyDescent="0.25">
      <c r="A3303" t="str">
        <f>"41713108  "</f>
        <v xml:space="preserve">41713108  </v>
      </c>
      <c r="B3303" t="s">
        <v>3215</v>
      </c>
      <c r="C3303">
        <v>88</v>
      </c>
      <c r="D3303" t="str">
        <f t="shared" si="144"/>
        <v>250</v>
      </c>
      <c r="E3303" t="str">
        <f>"S0077"</f>
        <v>S0077</v>
      </c>
    </row>
    <row r="3304" spans="1:5" x14ac:dyDescent="0.25">
      <c r="A3304" t="str">
        <f>"41713157  "</f>
        <v xml:space="preserve">41713157  </v>
      </c>
      <c r="B3304" t="s">
        <v>3216</v>
      </c>
      <c r="C3304">
        <v>132</v>
      </c>
      <c r="D3304" t="str">
        <f t="shared" si="144"/>
        <v>250</v>
      </c>
      <c r="E3304" t="str">
        <f>"X5956"</f>
        <v>X5956</v>
      </c>
    </row>
    <row r="3305" spans="1:5" x14ac:dyDescent="0.25">
      <c r="A3305" t="str">
        <f>"41713157  "</f>
        <v xml:space="preserve">41713157  </v>
      </c>
      <c r="B3305" t="s">
        <v>3216</v>
      </c>
      <c r="C3305">
        <v>132</v>
      </c>
      <c r="D3305" t="str">
        <f t="shared" si="144"/>
        <v>250</v>
      </c>
      <c r="E3305" t="str">
        <f>"S0077"</f>
        <v>S0077</v>
      </c>
    </row>
    <row r="3306" spans="1:5" x14ac:dyDescent="0.25">
      <c r="A3306" t="str">
        <f>"41713165  "</f>
        <v xml:space="preserve">41713165  </v>
      </c>
      <c r="B3306" t="s">
        <v>3217</v>
      </c>
      <c r="C3306">
        <v>165</v>
      </c>
      <c r="D3306" t="str">
        <f t="shared" si="144"/>
        <v>250</v>
      </c>
      <c r="E3306" t="str">
        <f>"X5956"</f>
        <v>X5956</v>
      </c>
    </row>
    <row r="3307" spans="1:5" x14ac:dyDescent="0.25">
      <c r="A3307" t="str">
        <f>"41713165  "</f>
        <v xml:space="preserve">41713165  </v>
      </c>
      <c r="B3307" t="s">
        <v>3217</v>
      </c>
      <c r="C3307">
        <v>165</v>
      </c>
      <c r="D3307" t="str">
        <f t="shared" si="144"/>
        <v>250</v>
      </c>
      <c r="E3307" t="str">
        <f>"S0077"</f>
        <v>S0077</v>
      </c>
    </row>
    <row r="3308" spans="1:5" x14ac:dyDescent="0.25">
      <c r="A3308" t="str">
        <f>"41713173  "</f>
        <v xml:space="preserve">41713173  </v>
      </c>
      <c r="B3308" t="s">
        <v>3218</v>
      </c>
      <c r="C3308">
        <v>38.5</v>
      </c>
      <c r="D3308" t="str">
        <f t="shared" si="144"/>
        <v>250</v>
      </c>
      <c r="E3308" t="str">
        <f>"X5956"</f>
        <v>X5956</v>
      </c>
    </row>
    <row r="3309" spans="1:5" x14ac:dyDescent="0.25">
      <c r="A3309" t="str">
        <f>"41713173  "</f>
        <v xml:space="preserve">41713173  </v>
      </c>
      <c r="B3309" t="s">
        <v>3218</v>
      </c>
      <c r="C3309">
        <v>38.5</v>
      </c>
      <c r="D3309" t="str">
        <f t="shared" si="144"/>
        <v>250</v>
      </c>
      <c r="E3309" t="str">
        <f>"S0077"</f>
        <v>S0077</v>
      </c>
    </row>
    <row r="3310" spans="1:5" x14ac:dyDescent="0.25">
      <c r="A3310" t="str">
        <f>"41713199  "</f>
        <v xml:space="preserve">41713199  </v>
      </c>
      <c r="B3310" t="s">
        <v>3219</v>
      </c>
      <c r="C3310">
        <v>49.5</v>
      </c>
      <c r="D3310" t="str">
        <f t="shared" si="144"/>
        <v>250</v>
      </c>
      <c r="E3310" t="str">
        <f>"J3490"</f>
        <v>J3490</v>
      </c>
    </row>
    <row r="3311" spans="1:5" x14ac:dyDescent="0.25">
      <c r="A3311" t="str">
        <f>"41713207  "</f>
        <v xml:space="preserve">41713207  </v>
      </c>
      <c r="B3311" t="s">
        <v>3220</v>
      </c>
      <c r="C3311">
        <v>75.900000000000006</v>
      </c>
      <c r="D3311" t="str">
        <f t="shared" si="144"/>
        <v>250</v>
      </c>
      <c r="E3311" t="str">
        <f>"J3490"</f>
        <v>J3490</v>
      </c>
    </row>
    <row r="3312" spans="1:5" x14ac:dyDescent="0.25">
      <c r="A3312" t="str">
        <f>"41713405  "</f>
        <v xml:space="preserve">41713405  </v>
      </c>
      <c r="B3312" t="s">
        <v>3221</v>
      </c>
      <c r="C3312" s="1">
        <v>1410.2</v>
      </c>
      <c r="D3312" t="str">
        <f t="shared" si="144"/>
        <v>250</v>
      </c>
      <c r="E3312" t="str">
        <f>"J3490"</f>
        <v>J3490</v>
      </c>
    </row>
    <row r="3313" spans="1:5" x14ac:dyDescent="0.25">
      <c r="A3313" t="str">
        <f>"41713406"</f>
        <v>41713406</v>
      </c>
      <c r="B3313" t="s">
        <v>3222</v>
      </c>
      <c r="C3313" s="1">
        <v>1410.2</v>
      </c>
      <c r="D3313" t="str">
        <f t="shared" si="144"/>
        <v>250</v>
      </c>
    </row>
    <row r="3314" spans="1:5" x14ac:dyDescent="0.25">
      <c r="A3314" t="str">
        <f>"41713462  "</f>
        <v xml:space="preserve">41713462  </v>
      </c>
      <c r="B3314" t="s">
        <v>3223</v>
      </c>
      <c r="C3314">
        <v>6.6</v>
      </c>
      <c r="D3314" t="str">
        <f t="shared" si="144"/>
        <v>250</v>
      </c>
      <c r="E3314" t="str">
        <f>"J3490"</f>
        <v>J3490</v>
      </c>
    </row>
    <row r="3315" spans="1:5" x14ac:dyDescent="0.25">
      <c r="A3315" t="str">
        <f>"41713512  "</f>
        <v xml:space="preserve">41713512  </v>
      </c>
      <c r="B3315" t="s">
        <v>3224</v>
      </c>
      <c r="C3315">
        <v>54.23</v>
      </c>
      <c r="D3315" t="str">
        <f t="shared" si="144"/>
        <v>250</v>
      </c>
    </row>
    <row r="3316" spans="1:5" x14ac:dyDescent="0.25">
      <c r="A3316" t="str">
        <f>"41713520  "</f>
        <v xml:space="preserve">41713520  </v>
      </c>
      <c r="B3316" t="s">
        <v>3225</v>
      </c>
      <c r="C3316">
        <v>29.15</v>
      </c>
      <c r="D3316" t="str">
        <f t="shared" si="144"/>
        <v>250</v>
      </c>
    </row>
    <row r="3317" spans="1:5" x14ac:dyDescent="0.25">
      <c r="A3317" t="str">
        <f>"41713561  "</f>
        <v xml:space="preserve">41713561  </v>
      </c>
      <c r="B3317" t="s">
        <v>3226</v>
      </c>
      <c r="C3317">
        <v>13.2</v>
      </c>
      <c r="D3317" t="str">
        <f t="shared" si="144"/>
        <v>250</v>
      </c>
      <c r="E3317" t="str">
        <f>"J8499"</f>
        <v>J8499</v>
      </c>
    </row>
    <row r="3318" spans="1:5" x14ac:dyDescent="0.25">
      <c r="A3318" t="str">
        <f>"41713629  "</f>
        <v xml:space="preserve">41713629  </v>
      </c>
      <c r="B3318" t="s">
        <v>3227</v>
      </c>
      <c r="C3318">
        <v>242</v>
      </c>
      <c r="D3318" t="str">
        <f t="shared" si="144"/>
        <v>250</v>
      </c>
      <c r="E3318" t="str">
        <f>"J3490"</f>
        <v>J3490</v>
      </c>
    </row>
    <row r="3319" spans="1:5" x14ac:dyDescent="0.25">
      <c r="A3319" t="str">
        <f>"41713702  "</f>
        <v xml:space="preserve">41713702  </v>
      </c>
      <c r="B3319" t="s">
        <v>3228</v>
      </c>
      <c r="C3319">
        <v>39.6</v>
      </c>
      <c r="D3319" t="str">
        <f t="shared" si="144"/>
        <v>250</v>
      </c>
      <c r="E3319" t="str">
        <f>"X5744"</f>
        <v>X5744</v>
      </c>
    </row>
    <row r="3320" spans="1:5" x14ac:dyDescent="0.25">
      <c r="A3320" t="str">
        <f>"41713702  "</f>
        <v xml:space="preserve">41713702  </v>
      </c>
      <c r="B3320" t="s">
        <v>3228</v>
      </c>
      <c r="C3320">
        <v>39.6</v>
      </c>
      <c r="D3320" t="str">
        <f t="shared" si="144"/>
        <v>250</v>
      </c>
      <c r="E3320" t="str">
        <f>"J0515"</f>
        <v>J0515</v>
      </c>
    </row>
    <row r="3321" spans="1:5" x14ac:dyDescent="0.25">
      <c r="A3321" t="str">
        <f>"41713751  "</f>
        <v xml:space="preserve">41713751  </v>
      </c>
      <c r="B3321" t="s">
        <v>3229</v>
      </c>
      <c r="C3321">
        <v>7.7</v>
      </c>
      <c r="D3321" t="str">
        <f t="shared" si="144"/>
        <v>250</v>
      </c>
      <c r="E3321" t="str">
        <f>"J8499"</f>
        <v>J8499</v>
      </c>
    </row>
    <row r="3322" spans="1:5" x14ac:dyDescent="0.25">
      <c r="A3322" t="str">
        <f>"41713801  "</f>
        <v xml:space="preserve">41713801  </v>
      </c>
      <c r="B3322" t="s">
        <v>3230</v>
      </c>
      <c r="C3322">
        <v>7.7</v>
      </c>
      <c r="D3322" t="str">
        <f t="shared" si="144"/>
        <v>250</v>
      </c>
      <c r="E3322" t="str">
        <f>"J3490"</f>
        <v>J3490</v>
      </c>
    </row>
    <row r="3323" spans="1:5" x14ac:dyDescent="0.25">
      <c r="A3323" t="str">
        <f>"41713850  "</f>
        <v xml:space="preserve">41713850  </v>
      </c>
      <c r="B3323" t="s">
        <v>3231</v>
      </c>
      <c r="C3323">
        <v>7.7</v>
      </c>
      <c r="D3323" t="str">
        <f t="shared" si="144"/>
        <v>250</v>
      </c>
      <c r="E3323" t="str">
        <f>"J3490"</f>
        <v>J3490</v>
      </c>
    </row>
    <row r="3324" spans="1:5" x14ac:dyDescent="0.25">
      <c r="A3324" t="str">
        <f>"41714007  "</f>
        <v xml:space="preserve">41714007  </v>
      </c>
      <c r="B3324" t="s">
        <v>3232</v>
      </c>
      <c r="C3324">
        <v>6.6</v>
      </c>
      <c r="D3324" t="str">
        <f t="shared" si="144"/>
        <v>250</v>
      </c>
      <c r="E3324" t="str">
        <f>"J8499"</f>
        <v>J8499</v>
      </c>
    </row>
    <row r="3325" spans="1:5" x14ac:dyDescent="0.25">
      <c r="A3325" t="str">
        <f>"41714205  "</f>
        <v xml:space="preserve">41714205  </v>
      </c>
      <c r="B3325" t="s">
        <v>3233</v>
      </c>
      <c r="C3325">
        <v>8.8000000000000007</v>
      </c>
      <c r="D3325" t="str">
        <f t="shared" si="144"/>
        <v>250</v>
      </c>
      <c r="E3325" t="str">
        <f>"Q0164"</f>
        <v>Q0164</v>
      </c>
    </row>
    <row r="3326" spans="1:5" x14ac:dyDescent="0.25">
      <c r="A3326" t="str">
        <f>"41714304  "</f>
        <v xml:space="preserve">41714304  </v>
      </c>
      <c r="B3326" t="s">
        <v>3234</v>
      </c>
      <c r="C3326">
        <v>122.1</v>
      </c>
      <c r="D3326" t="str">
        <f t="shared" si="144"/>
        <v>250</v>
      </c>
      <c r="E3326" t="str">
        <f>"J3490"</f>
        <v>J3490</v>
      </c>
    </row>
    <row r="3327" spans="1:5" x14ac:dyDescent="0.25">
      <c r="A3327" t="str">
        <f>"41714502  "</f>
        <v xml:space="preserve">41714502  </v>
      </c>
      <c r="B3327" t="s">
        <v>3235</v>
      </c>
      <c r="C3327">
        <v>143</v>
      </c>
      <c r="D3327" t="str">
        <f t="shared" si="144"/>
        <v>250</v>
      </c>
      <c r="E3327" t="str">
        <f>"J0780"</f>
        <v>J0780</v>
      </c>
    </row>
    <row r="3328" spans="1:5" x14ac:dyDescent="0.25">
      <c r="A3328" t="str">
        <f>"41714601  "</f>
        <v xml:space="preserve">41714601  </v>
      </c>
      <c r="B3328" t="s">
        <v>3236</v>
      </c>
      <c r="C3328">
        <v>49.5</v>
      </c>
      <c r="D3328" t="str">
        <f t="shared" si="144"/>
        <v>250</v>
      </c>
      <c r="E3328" t="str">
        <f>"J3490"</f>
        <v>J3490</v>
      </c>
    </row>
    <row r="3329" spans="1:5" x14ac:dyDescent="0.25">
      <c r="A3329" t="str">
        <f>"41714767  "</f>
        <v xml:space="preserve">41714767  </v>
      </c>
      <c r="B3329" t="s">
        <v>3237</v>
      </c>
      <c r="C3329">
        <v>201.25</v>
      </c>
      <c r="D3329" t="str">
        <f t="shared" si="144"/>
        <v>250</v>
      </c>
      <c r="E3329" t="str">
        <f>"J3535"</f>
        <v>J3535</v>
      </c>
    </row>
    <row r="3330" spans="1:5" x14ac:dyDescent="0.25">
      <c r="A3330" t="str">
        <f>"41715103  "</f>
        <v xml:space="preserve">41715103  </v>
      </c>
      <c r="B3330" t="s">
        <v>3238</v>
      </c>
      <c r="C3330">
        <v>660</v>
      </c>
      <c r="D3330" t="str">
        <f t="shared" si="144"/>
        <v>250</v>
      </c>
      <c r="E3330" t="str">
        <f>"J3490"</f>
        <v>J3490</v>
      </c>
    </row>
    <row r="3331" spans="1:5" x14ac:dyDescent="0.25">
      <c r="A3331" t="str">
        <f>"41715202  "</f>
        <v xml:space="preserve">41715202  </v>
      </c>
      <c r="B3331" t="s">
        <v>3239</v>
      </c>
      <c r="C3331">
        <v>63.8</v>
      </c>
      <c r="D3331" t="str">
        <f t="shared" si="144"/>
        <v>250</v>
      </c>
      <c r="E3331" t="str">
        <f>"J3490"</f>
        <v>J3490</v>
      </c>
    </row>
    <row r="3332" spans="1:5" x14ac:dyDescent="0.25">
      <c r="A3332" t="str">
        <f>"41715251  "</f>
        <v xml:space="preserve">41715251  </v>
      </c>
      <c r="B3332" t="s">
        <v>3240</v>
      </c>
      <c r="C3332">
        <v>57.2</v>
      </c>
      <c r="D3332" t="str">
        <f t="shared" si="144"/>
        <v>250</v>
      </c>
      <c r="E3332" t="str">
        <f>"J3490"</f>
        <v>J3490</v>
      </c>
    </row>
    <row r="3333" spans="1:5" x14ac:dyDescent="0.25">
      <c r="A3333" t="str">
        <f>"41715301  "</f>
        <v xml:space="preserve">41715301  </v>
      </c>
      <c r="B3333" t="s">
        <v>3241</v>
      </c>
      <c r="C3333">
        <v>58.3</v>
      </c>
      <c r="D3333" t="str">
        <f t="shared" si="144"/>
        <v>250</v>
      </c>
      <c r="E3333" t="str">
        <f>"J3490"</f>
        <v>J3490</v>
      </c>
    </row>
    <row r="3334" spans="1:5" x14ac:dyDescent="0.25">
      <c r="A3334" t="str">
        <f>"41715400  "</f>
        <v xml:space="preserve">41715400  </v>
      </c>
      <c r="B3334" t="s">
        <v>3242</v>
      </c>
      <c r="C3334">
        <v>16.5</v>
      </c>
      <c r="D3334" t="str">
        <f t="shared" si="144"/>
        <v>250</v>
      </c>
      <c r="E3334" t="str">
        <f t="shared" ref="E3334:E3339" si="145">"J8499"</f>
        <v>J8499</v>
      </c>
    </row>
    <row r="3335" spans="1:5" x14ac:dyDescent="0.25">
      <c r="A3335" t="str">
        <f>"41715616  "</f>
        <v xml:space="preserve">41715616  </v>
      </c>
      <c r="B3335" t="s">
        <v>3243</v>
      </c>
      <c r="C3335">
        <v>6.6</v>
      </c>
      <c r="D3335" t="str">
        <f t="shared" si="144"/>
        <v>250</v>
      </c>
      <c r="E3335" t="str">
        <f t="shared" si="145"/>
        <v>J8499</v>
      </c>
    </row>
    <row r="3336" spans="1:5" x14ac:dyDescent="0.25">
      <c r="A3336" t="str">
        <f>"41715624  "</f>
        <v xml:space="preserve">41715624  </v>
      </c>
      <c r="B3336" t="s">
        <v>3244</v>
      </c>
      <c r="C3336">
        <v>6.6</v>
      </c>
      <c r="D3336" t="str">
        <f t="shared" si="144"/>
        <v>250</v>
      </c>
      <c r="E3336" t="str">
        <f t="shared" si="145"/>
        <v>J8499</v>
      </c>
    </row>
    <row r="3337" spans="1:5" x14ac:dyDescent="0.25">
      <c r="A3337" t="str">
        <f>"41715632  "</f>
        <v xml:space="preserve">41715632  </v>
      </c>
      <c r="B3337" t="s">
        <v>3245</v>
      </c>
      <c r="C3337">
        <v>16.5</v>
      </c>
      <c r="D3337" t="str">
        <f t="shared" si="144"/>
        <v>250</v>
      </c>
      <c r="E3337" t="str">
        <f t="shared" si="145"/>
        <v>J8499</v>
      </c>
    </row>
    <row r="3338" spans="1:5" x14ac:dyDescent="0.25">
      <c r="A3338" t="str">
        <f>"41715640  "</f>
        <v xml:space="preserve">41715640  </v>
      </c>
      <c r="B3338" t="s">
        <v>3246</v>
      </c>
      <c r="C3338">
        <v>11</v>
      </c>
      <c r="D3338" t="str">
        <f t="shared" si="144"/>
        <v>250</v>
      </c>
      <c r="E3338" t="str">
        <f t="shared" si="145"/>
        <v>J8499</v>
      </c>
    </row>
    <row r="3339" spans="1:5" x14ac:dyDescent="0.25">
      <c r="A3339" t="str">
        <f>"41715657  "</f>
        <v xml:space="preserve">41715657  </v>
      </c>
      <c r="B3339" t="s">
        <v>3247</v>
      </c>
      <c r="C3339">
        <v>10.65</v>
      </c>
      <c r="D3339" t="str">
        <f t="shared" si="144"/>
        <v>250</v>
      </c>
      <c r="E3339" t="str">
        <f t="shared" si="145"/>
        <v>J8499</v>
      </c>
    </row>
    <row r="3340" spans="1:5" x14ac:dyDescent="0.25">
      <c r="A3340" t="str">
        <f>"41715673  "</f>
        <v xml:space="preserve">41715673  </v>
      </c>
      <c r="B3340" t="s">
        <v>3248</v>
      </c>
      <c r="C3340">
        <v>22</v>
      </c>
      <c r="D3340" t="str">
        <f t="shared" si="144"/>
        <v>250</v>
      </c>
      <c r="E3340" t="str">
        <f>"J3490"</f>
        <v>J3490</v>
      </c>
    </row>
    <row r="3341" spans="1:5" x14ac:dyDescent="0.25">
      <c r="A3341" t="str">
        <f>"41715699  "</f>
        <v xml:space="preserve">41715699  </v>
      </c>
      <c r="B3341" t="s">
        <v>3249</v>
      </c>
      <c r="C3341">
        <v>11</v>
      </c>
      <c r="D3341" t="str">
        <f t="shared" si="144"/>
        <v>250</v>
      </c>
      <c r="E3341" t="str">
        <f>"J8499"</f>
        <v>J8499</v>
      </c>
    </row>
    <row r="3342" spans="1:5" x14ac:dyDescent="0.25">
      <c r="A3342" t="str">
        <f>"41715780  "</f>
        <v xml:space="preserve">41715780  </v>
      </c>
      <c r="B3342" t="s">
        <v>3250</v>
      </c>
      <c r="C3342">
        <v>38.340000000000003</v>
      </c>
      <c r="D3342" t="str">
        <f>"257"</f>
        <v>257</v>
      </c>
      <c r="E3342" t="str">
        <f>"J3490"</f>
        <v>J3490</v>
      </c>
    </row>
    <row r="3343" spans="1:5" x14ac:dyDescent="0.25">
      <c r="A3343" t="str">
        <f>"41715996  "</f>
        <v xml:space="preserve">41715996  </v>
      </c>
      <c r="B3343" t="s">
        <v>3251</v>
      </c>
      <c r="C3343">
        <v>7.7</v>
      </c>
      <c r="D3343" t="str">
        <f t="shared" ref="D3343:D3356" si="146">"250"</f>
        <v>250</v>
      </c>
      <c r="E3343" t="str">
        <f>"J8499"</f>
        <v>J8499</v>
      </c>
    </row>
    <row r="3344" spans="1:5" x14ac:dyDescent="0.25">
      <c r="A3344" t="str">
        <f>"41716002  "</f>
        <v xml:space="preserve">41716002  </v>
      </c>
      <c r="B3344" t="s">
        <v>3252</v>
      </c>
      <c r="C3344">
        <v>15.4</v>
      </c>
      <c r="D3344" t="str">
        <f t="shared" si="146"/>
        <v>250</v>
      </c>
      <c r="E3344" t="str">
        <f>"J8499"</f>
        <v>J8499</v>
      </c>
    </row>
    <row r="3345" spans="1:5" x14ac:dyDescent="0.25">
      <c r="A3345" t="str">
        <f>"41716200  "</f>
        <v xml:space="preserve">41716200  </v>
      </c>
      <c r="B3345" t="s">
        <v>3253</v>
      </c>
      <c r="C3345">
        <v>7.7</v>
      </c>
      <c r="D3345" t="str">
        <f t="shared" si="146"/>
        <v>250</v>
      </c>
      <c r="E3345" t="str">
        <f>"J8499"</f>
        <v>J8499</v>
      </c>
    </row>
    <row r="3346" spans="1:5" x14ac:dyDescent="0.25">
      <c r="A3346" t="str">
        <f>"41716218  "</f>
        <v xml:space="preserve">41716218  </v>
      </c>
      <c r="B3346" t="s">
        <v>3254</v>
      </c>
      <c r="C3346">
        <v>27.5</v>
      </c>
      <c r="D3346" t="str">
        <f t="shared" si="146"/>
        <v>250</v>
      </c>
    </row>
    <row r="3347" spans="1:5" x14ac:dyDescent="0.25">
      <c r="A3347" t="str">
        <f>"41716226  "</f>
        <v xml:space="preserve">41716226  </v>
      </c>
      <c r="B3347" t="s">
        <v>3255</v>
      </c>
      <c r="C3347">
        <v>27.5</v>
      </c>
      <c r="D3347" t="str">
        <f t="shared" si="146"/>
        <v>250</v>
      </c>
      <c r="E3347" t="str">
        <f>"X6024"</f>
        <v>X6024</v>
      </c>
    </row>
    <row r="3348" spans="1:5" x14ac:dyDescent="0.25">
      <c r="A3348" t="str">
        <f>"41716226  "</f>
        <v xml:space="preserve">41716226  </v>
      </c>
      <c r="B3348" t="s">
        <v>3255</v>
      </c>
      <c r="C3348">
        <v>27.5</v>
      </c>
      <c r="D3348" t="str">
        <f t="shared" si="146"/>
        <v>250</v>
      </c>
      <c r="E3348" t="str">
        <f>"J2180"</f>
        <v>J2180</v>
      </c>
    </row>
    <row r="3349" spans="1:5" x14ac:dyDescent="0.25">
      <c r="A3349" t="str">
        <f>"41716234  "</f>
        <v xml:space="preserve">41716234  </v>
      </c>
      <c r="B3349" t="s">
        <v>3256</v>
      </c>
      <c r="C3349">
        <v>27.5</v>
      </c>
      <c r="D3349" t="str">
        <f t="shared" si="146"/>
        <v>250</v>
      </c>
      <c r="E3349" t="str">
        <f>"X6024"</f>
        <v>X6024</v>
      </c>
    </row>
    <row r="3350" spans="1:5" x14ac:dyDescent="0.25">
      <c r="A3350" t="str">
        <f>"41716259  "</f>
        <v xml:space="preserve">41716259  </v>
      </c>
      <c r="B3350" t="s">
        <v>3257</v>
      </c>
      <c r="C3350">
        <v>702.9</v>
      </c>
      <c r="D3350" t="str">
        <f t="shared" si="146"/>
        <v>250</v>
      </c>
      <c r="E3350" t="str">
        <f>"90779"</f>
        <v>90779</v>
      </c>
    </row>
    <row r="3351" spans="1:5" x14ac:dyDescent="0.25">
      <c r="A3351" t="str">
        <f>"41716259  "</f>
        <v xml:space="preserve">41716259  </v>
      </c>
      <c r="B3351" t="s">
        <v>3257</v>
      </c>
      <c r="C3351">
        <v>702.9</v>
      </c>
      <c r="D3351" t="str">
        <f t="shared" si="146"/>
        <v>250</v>
      </c>
      <c r="E3351" t="str">
        <f>"J3490"</f>
        <v>J3490</v>
      </c>
    </row>
    <row r="3352" spans="1:5" x14ac:dyDescent="0.25">
      <c r="A3352" t="str">
        <f>"41716358  "</f>
        <v xml:space="preserve">41716358  </v>
      </c>
      <c r="B3352" t="s">
        <v>3258</v>
      </c>
      <c r="C3352">
        <v>9.9</v>
      </c>
      <c r="D3352" t="str">
        <f t="shared" si="146"/>
        <v>250</v>
      </c>
      <c r="E3352" t="str">
        <f>"J8499"</f>
        <v>J8499</v>
      </c>
    </row>
    <row r="3353" spans="1:5" x14ac:dyDescent="0.25">
      <c r="A3353" t="str">
        <f>"41716366  "</f>
        <v xml:space="preserve">41716366  </v>
      </c>
      <c r="B3353" t="s">
        <v>3259</v>
      </c>
      <c r="C3353">
        <v>12.1</v>
      </c>
      <c r="D3353" t="str">
        <f t="shared" si="146"/>
        <v>250</v>
      </c>
      <c r="E3353" t="str">
        <f>"J8499"</f>
        <v>J8499</v>
      </c>
    </row>
    <row r="3354" spans="1:5" x14ac:dyDescent="0.25">
      <c r="A3354" t="str">
        <f>"41716374  "</f>
        <v xml:space="preserve">41716374  </v>
      </c>
      <c r="B3354" t="s">
        <v>3260</v>
      </c>
      <c r="C3354">
        <v>14.3</v>
      </c>
      <c r="D3354" t="str">
        <f t="shared" si="146"/>
        <v>250</v>
      </c>
      <c r="E3354" t="str">
        <f>"J8499"</f>
        <v>J8499</v>
      </c>
    </row>
    <row r="3355" spans="1:5" x14ac:dyDescent="0.25">
      <c r="A3355" t="str">
        <f>"41716457  "</f>
        <v xml:space="preserve">41716457  </v>
      </c>
      <c r="B3355" t="s">
        <v>3261</v>
      </c>
      <c r="C3355">
        <v>7.7</v>
      </c>
      <c r="D3355" t="str">
        <f t="shared" si="146"/>
        <v>250</v>
      </c>
      <c r="E3355" t="str">
        <f>"J8499"</f>
        <v>J8499</v>
      </c>
    </row>
    <row r="3356" spans="1:5" x14ac:dyDescent="0.25">
      <c r="A3356" t="str">
        <f>"41716523  "</f>
        <v xml:space="preserve">41716523  </v>
      </c>
      <c r="B3356" t="s">
        <v>3262</v>
      </c>
      <c r="C3356">
        <v>13.2</v>
      </c>
      <c r="D3356" t="str">
        <f t="shared" si="146"/>
        <v>250</v>
      </c>
      <c r="E3356" t="str">
        <f>"J8499"</f>
        <v>J8499</v>
      </c>
    </row>
    <row r="3357" spans="1:5" x14ac:dyDescent="0.25">
      <c r="A3357" t="str">
        <f>"41716754  "</f>
        <v xml:space="preserve">41716754  </v>
      </c>
      <c r="B3357" t="s">
        <v>3263</v>
      </c>
      <c r="C3357">
        <v>49.5</v>
      </c>
      <c r="D3357" t="str">
        <f>"257"</f>
        <v>257</v>
      </c>
      <c r="E3357" t="str">
        <f>"J3490"</f>
        <v>J3490</v>
      </c>
    </row>
    <row r="3358" spans="1:5" x14ac:dyDescent="0.25">
      <c r="A3358" t="str">
        <f>"41716903  "</f>
        <v xml:space="preserve">41716903  </v>
      </c>
      <c r="B3358" t="s">
        <v>3264</v>
      </c>
      <c r="C3358">
        <v>422.4</v>
      </c>
      <c r="D3358" t="str">
        <f t="shared" ref="D3358:D3396" si="147">"250"</f>
        <v>250</v>
      </c>
      <c r="E3358" t="str">
        <f>"J3490"</f>
        <v>J3490</v>
      </c>
    </row>
    <row r="3359" spans="1:5" x14ac:dyDescent="0.25">
      <c r="A3359" t="str">
        <f>"41716911  "</f>
        <v xml:space="preserve">41716911  </v>
      </c>
      <c r="B3359" t="s">
        <v>3265</v>
      </c>
      <c r="C3359">
        <v>7.12</v>
      </c>
      <c r="D3359" t="str">
        <f t="shared" si="147"/>
        <v>250</v>
      </c>
      <c r="E3359" t="str">
        <f>"J8499"</f>
        <v>J8499</v>
      </c>
    </row>
    <row r="3360" spans="1:5" x14ac:dyDescent="0.25">
      <c r="A3360" t="str">
        <f>"41717158  "</f>
        <v xml:space="preserve">41717158  </v>
      </c>
      <c r="B3360" t="s">
        <v>3266</v>
      </c>
      <c r="C3360">
        <v>6.6</v>
      </c>
      <c r="D3360" t="str">
        <f t="shared" si="147"/>
        <v>250</v>
      </c>
      <c r="E3360" t="str">
        <f>"J8499"</f>
        <v>J8499</v>
      </c>
    </row>
    <row r="3361" spans="1:5" x14ac:dyDescent="0.25">
      <c r="A3361" t="str">
        <f>"41717182  "</f>
        <v xml:space="preserve">41717182  </v>
      </c>
      <c r="B3361" t="s">
        <v>3267</v>
      </c>
      <c r="C3361">
        <v>6.6</v>
      </c>
      <c r="D3361" t="str">
        <f t="shared" si="147"/>
        <v>250</v>
      </c>
      <c r="E3361" t="str">
        <f>"J8499"</f>
        <v>J8499</v>
      </c>
    </row>
    <row r="3362" spans="1:5" x14ac:dyDescent="0.25">
      <c r="A3362" t="str">
        <f>"41717208  "</f>
        <v xml:space="preserve">41717208  </v>
      </c>
      <c r="B3362" t="s">
        <v>3268</v>
      </c>
      <c r="C3362">
        <v>6.6</v>
      </c>
      <c r="D3362" t="str">
        <f t="shared" si="147"/>
        <v>250</v>
      </c>
      <c r="E3362" t="str">
        <f>"J1100"</f>
        <v>J1100</v>
      </c>
    </row>
    <row r="3363" spans="1:5" x14ac:dyDescent="0.25">
      <c r="A3363" t="str">
        <f>"41717372  "</f>
        <v xml:space="preserve">41717372  </v>
      </c>
      <c r="B3363" t="s">
        <v>3269</v>
      </c>
      <c r="C3363">
        <v>38.5</v>
      </c>
      <c r="D3363" t="str">
        <f t="shared" si="147"/>
        <v>250</v>
      </c>
      <c r="E3363" t="str">
        <f>"J3490"</f>
        <v>J3490</v>
      </c>
    </row>
    <row r="3364" spans="1:5" x14ac:dyDescent="0.25">
      <c r="A3364" t="str">
        <f>"41717441"</f>
        <v>41717441</v>
      </c>
      <c r="B3364" t="s">
        <v>3270</v>
      </c>
      <c r="C3364">
        <v>9.67</v>
      </c>
      <c r="D3364" t="str">
        <f t="shared" si="147"/>
        <v>250</v>
      </c>
    </row>
    <row r="3365" spans="1:5" x14ac:dyDescent="0.25">
      <c r="A3365" t="str">
        <f>"41717703  "</f>
        <v xml:space="preserve">41717703  </v>
      </c>
      <c r="B3365" t="s">
        <v>3271</v>
      </c>
      <c r="C3365">
        <v>27.5</v>
      </c>
      <c r="D3365" t="str">
        <f t="shared" si="147"/>
        <v>250</v>
      </c>
      <c r="E3365" t="str">
        <f>"X6020"</f>
        <v>X6020</v>
      </c>
    </row>
    <row r="3366" spans="1:5" x14ac:dyDescent="0.25">
      <c r="A3366" t="str">
        <f>"41717703  "</f>
        <v xml:space="preserve">41717703  </v>
      </c>
      <c r="B3366" t="s">
        <v>3271</v>
      </c>
      <c r="C3366">
        <v>27.5</v>
      </c>
      <c r="D3366" t="str">
        <f t="shared" si="147"/>
        <v>250</v>
      </c>
      <c r="E3366" t="str">
        <f>"J2180"</f>
        <v>J2180</v>
      </c>
    </row>
    <row r="3367" spans="1:5" x14ac:dyDescent="0.25">
      <c r="A3367" t="str">
        <f>"41717752  "</f>
        <v xml:space="preserve">41717752  </v>
      </c>
      <c r="B3367" t="s">
        <v>3272</v>
      </c>
      <c r="C3367">
        <v>16.5</v>
      </c>
      <c r="D3367" t="str">
        <f t="shared" si="147"/>
        <v>250</v>
      </c>
      <c r="E3367" t="str">
        <f>"J8499"</f>
        <v>J8499</v>
      </c>
    </row>
    <row r="3368" spans="1:5" x14ac:dyDescent="0.25">
      <c r="A3368" t="str">
        <f>"41717786  "</f>
        <v xml:space="preserve">41717786  </v>
      </c>
      <c r="B3368" t="s">
        <v>3273</v>
      </c>
      <c r="C3368">
        <v>77</v>
      </c>
      <c r="D3368" t="str">
        <f t="shared" si="147"/>
        <v>250</v>
      </c>
      <c r="E3368" t="str">
        <f>"J3490"</f>
        <v>J3490</v>
      </c>
    </row>
    <row r="3369" spans="1:5" x14ac:dyDescent="0.25">
      <c r="A3369" t="str">
        <f>"41718008  "</f>
        <v xml:space="preserve">41718008  </v>
      </c>
      <c r="B3369" t="s">
        <v>3274</v>
      </c>
      <c r="C3369">
        <v>6.6</v>
      </c>
      <c r="D3369" t="str">
        <f t="shared" si="147"/>
        <v>250</v>
      </c>
      <c r="E3369" t="str">
        <f>"J8499"</f>
        <v>J8499</v>
      </c>
    </row>
    <row r="3370" spans="1:5" x14ac:dyDescent="0.25">
      <c r="A3370" t="str">
        <f>"41718107  "</f>
        <v xml:space="preserve">41718107  </v>
      </c>
      <c r="B3370" t="s">
        <v>3275</v>
      </c>
      <c r="C3370">
        <v>69.739999999999995</v>
      </c>
      <c r="D3370" t="str">
        <f t="shared" si="147"/>
        <v>250</v>
      </c>
      <c r="E3370" t="str">
        <f>"X6038"</f>
        <v>X6038</v>
      </c>
    </row>
    <row r="3371" spans="1:5" x14ac:dyDescent="0.25">
      <c r="A3371" t="str">
        <f>"41718107  "</f>
        <v xml:space="preserve">41718107  </v>
      </c>
      <c r="B3371" t="s">
        <v>3275</v>
      </c>
      <c r="C3371">
        <v>69.739999999999995</v>
      </c>
      <c r="D3371" t="str">
        <f t="shared" si="147"/>
        <v>250</v>
      </c>
      <c r="E3371" t="str">
        <f>"J1030"</f>
        <v>J1030</v>
      </c>
    </row>
    <row r="3372" spans="1:5" x14ac:dyDescent="0.25">
      <c r="A3372" t="str">
        <f>"41718339  "</f>
        <v xml:space="preserve">41718339  </v>
      </c>
      <c r="B3372" t="s">
        <v>3276</v>
      </c>
      <c r="C3372">
        <v>47.3</v>
      </c>
      <c r="D3372" t="str">
        <f t="shared" si="147"/>
        <v>250</v>
      </c>
    </row>
    <row r="3373" spans="1:5" x14ac:dyDescent="0.25">
      <c r="A3373" t="str">
        <f>"41718347  "</f>
        <v xml:space="preserve">41718347  </v>
      </c>
      <c r="B3373" t="s">
        <v>3277</v>
      </c>
      <c r="C3373">
        <v>27.5</v>
      </c>
      <c r="D3373" t="str">
        <f t="shared" si="147"/>
        <v>250</v>
      </c>
    </row>
    <row r="3374" spans="1:5" x14ac:dyDescent="0.25">
      <c r="A3374" t="str">
        <f>"41718503  "</f>
        <v xml:space="preserve">41718503  </v>
      </c>
      <c r="B3374" t="s">
        <v>3278</v>
      </c>
      <c r="C3374">
        <v>8.8000000000000007</v>
      </c>
      <c r="D3374" t="str">
        <f t="shared" si="147"/>
        <v>250</v>
      </c>
      <c r="E3374" t="str">
        <f>"J8499"</f>
        <v>J8499</v>
      </c>
    </row>
    <row r="3375" spans="1:5" x14ac:dyDescent="0.25">
      <c r="A3375" t="str">
        <f>"41718511  "</f>
        <v xml:space="preserve">41718511  </v>
      </c>
      <c r="B3375" t="s">
        <v>3279</v>
      </c>
      <c r="C3375">
        <v>11</v>
      </c>
      <c r="D3375" t="str">
        <f t="shared" si="147"/>
        <v>250</v>
      </c>
      <c r="E3375" t="str">
        <f>"J8499"</f>
        <v>J8499</v>
      </c>
    </row>
    <row r="3376" spans="1:5" x14ac:dyDescent="0.25">
      <c r="A3376" t="str">
        <f>"41718537  "</f>
        <v xml:space="preserve">41718537  </v>
      </c>
      <c r="B3376" t="s">
        <v>3280</v>
      </c>
      <c r="C3376">
        <v>15.4</v>
      </c>
      <c r="D3376" t="str">
        <f t="shared" si="147"/>
        <v>250</v>
      </c>
      <c r="E3376" t="str">
        <f>"J8499"</f>
        <v>J8499</v>
      </c>
    </row>
    <row r="3377" spans="1:5" x14ac:dyDescent="0.25">
      <c r="A3377" t="str">
        <f>"41718552  "</f>
        <v xml:space="preserve">41718552  </v>
      </c>
      <c r="B3377" t="s">
        <v>3281</v>
      </c>
      <c r="C3377">
        <v>81.400000000000006</v>
      </c>
      <c r="D3377" t="str">
        <f t="shared" si="147"/>
        <v>250</v>
      </c>
      <c r="E3377" t="str">
        <f>"J3490"</f>
        <v>J3490</v>
      </c>
    </row>
    <row r="3378" spans="1:5" x14ac:dyDescent="0.25">
      <c r="A3378" t="str">
        <f>"41718602  "</f>
        <v xml:space="preserve">41718602  </v>
      </c>
      <c r="B3378" t="s">
        <v>3282</v>
      </c>
      <c r="C3378">
        <v>27.5</v>
      </c>
      <c r="D3378" t="str">
        <f t="shared" si="147"/>
        <v>250</v>
      </c>
      <c r="E3378" t="str">
        <f>"J3490"</f>
        <v>J3490</v>
      </c>
    </row>
    <row r="3379" spans="1:5" x14ac:dyDescent="0.25">
      <c r="A3379" t="str">
        <f>"41718701  "</f>
        <v xml:space="preserve">41718701  </v>
      </c>
      <c r="B3379" t="s">
        <v>3283</v>
      </c>
      <c r="C3379">
        <v>23.1</v>
      </c>
      <c r="D3379" t="str">
        <f t="shared" si="147"/>
        <v>250</v>
      </c>
      <c r="E3379" t="str">
        <f>"J1110"</f>
        <v>J1110</v>
      </c>
    </row>
    <row r="3380" spans="1:5" x14ac:dyDescent="0.25">
      <c r="A3380" t="str">
        <f>"41718768  "</f>
        <v xml:space="preserve">41718768  </v>
      </c>
      <c r="B3380" t="s">
        <v>3284</v>
      </c>
      <c r="C3380">
        <v>11</v>
      </c>
      <c r="D3380" t="str">
        <f t="shared" si="147"/>
        <v>250</v>
      </c>
      <c r="E3380" t="str">
        <f>"J8499"</f>
        <v>J8499</v>
      </c>
    </row>
    <row r="3381" spans="1:5" x14ac:dyDescent="0.25">
      <c r="A3381" t="str">
        <f>"41718842  "</f>
        <v xml:space="preserve">41718842  </v>
      </c>
      <c r="B3381" t="s">
        <v>3285</v>
      </c>
      <c r="C3381">
        <v>6.6</v>
      </c>
      <c r="D3381" t="str">
        <f t="shared" si="147"/>
        <v>250</v>
      </c>
      <c r="E3381" t="str">
        <f>"J8499"</f>
        <v>J8499</v>
      </c>
    </row>
    <row r="3382" spans="1:5" x14ac:dyDescent="0.25">
      <c r="A3382" t="str">
        <f>"41718859  "</f>
        <v xml:space="preserve">41718859  </v>
      </c>
      <c r="B3382" t="s">
        <v>3286</v>
      </c>
      <c r="C3382">
        <v>7.7</v>
      </c>
      <c r="D3382" t="str">
        <f t="shared" si="147"/>
        <v>250</v>
      </c>
      <c r="E3382" t="str">
        <f>"J8499"</f>
        <v>J8499</v>
      </c>
    </row>
    <row r="3383" spans="1:5" x14ac:dyDescent="0.25">
      <c r="A3383" t="str">
        <f>"41718966  "</f>
        <v xml:space="preserve">41718966  </v>
      </c>
      <c r="B3383" t="s">
        <v>3287</v>
      </c>
      <c r="C3383">
        <v>22</v>
      </c>
      <c r="D3383" t="str">
        <f t="shared" si="147"/>
        <v>250</v>
      </c>
    </row>
    <row r="3384" spans="1:5" x14ac:dyDescent="0.25">
      <c r="A3384" t="str">
        <f>"41719055  "</f>
        <v xml:space="preserve">41719055  </v>
      </c>
      <c r="B3384" t="s">
        <v>3288</v>
      </c>
      <c r="C3384">
        <v>15.4</v>
      </c>
      <c r="D3384" t="str">
        <f t="shared" si="147"/>
        <v>250</v>
      </c>
      <c r="E3384" t="str">
        <f>"J8499"</f>
        <v>J8499</v>
      </c>
    </row>
    <row r="3385" spans="1:5" x14ac:dyDescent="0.25">
      <c r="A3385" t="str">
        <f>"41719105  "</f>
        <v xml:space="preserve">41719105  </v>
      </c>
      <c r="B3385" t="s">
        <v>3289</v>
      </c>
      <c r="C3385">
        <v>249.7</v>
      </c>
      <c r="D3385" t="str">
        <f t="shared" si="147"/>
        <v>250</v>
      </c>
      <c r="E3385" t="str">
        <f>"X5500"</f>
        <v>X5500</v>
      </c>
    </row>
    <row r="3386" spans="1:5" x14ac:dyDescent="0.25">
      <c r="A3386" t="str">
        <f>"41719105  "</f>
        <v xml:space="preserve">41719105  </v>
      </c>
      <c r="B3386" t="s">
        <v>3289</v>
      </c>
      <c r="C3386">
        <v>249.7</v>
      </c>
      <c r="D3386" t="str">
        <f t="shared" si="147"/>
        <v>250</v>
      </c>
      <c r="E3386" t="str">
        <f>"J1120"</f>
        <v>J1120</v>
      </c>
    </row>
    <row r="3387" spans="1:5" x14ac:dyDescent="0.25">
      <c r="A3387" t="str">
        <f>"41719261  "</f>
        <v xml:space="preserve">41719261  </v>
      </c>
      <c r="B3387" t="s">
        <v>3290</v>
      </c>
      <c r="C3387">
        <v>12.1</v>
      </c>
      <c r="D3387" t="str">
        <f t="shared" si="147"/>
        <v>250</v>
      </c>
      <c r="E3387" t="str">
        <f>"J8499"</f>
        <v>J8499</v>
      </c>
    </row>
    <row r="3388" spans="1:5" x14ac:dyDescent="0.25">
      <c r="A3388" t="str">
        <f>"41719279  "</f>
        <v xml:space="preserve">41719279  </v>
      </c>
      <c r="B3388" t="s">
        <v>3291</v>
      </c>
      <c r="C3388">
        <v>39.840000000000003</v>
      </c>
      <c r="D3388" t="str">
        <f t="shared" si="147"/>
        <v>250</v>
      </c>
      <c r="E3388" t="str">
        <f>"J8499"</f>
        <v>J8499</v>
      </c>
    </row>
    <row r="3389" spans="1:5" x14ac:dyDescent="0.25">
      <c r="A3389" t="str">
        <f>"41719311  "</f>
        <v xml:space="preserve">41719311  </v>
      </c>
      <c r="B3389" t="s">
        <v>3292</v>
      </c>
      <c r="C3389">
        <v>65.2</v>
      </c>
      <c r="D3389" t="str">
        <f t="shared" si="147"/>
        <v>250</v>
      </c>
      <c r="E3389" t="str">
        <f>"J8499"</f>
        <v>J8499</v>
      </c>
    </row>
    <row r="3390" spans="1:5" x14ac:dyDescent="0.25">
      <c r="A3390" t="str">
        <f>"41719501  "</f>
        <v xml:space="preserve">41719501  </v>
      </c>
      <c r="B3390" t="s">
        <v>3293</v>
      </c>
      <c r="C3390">
        <v>38.5</v>
      </c>
      <c r="D3390" t="str">
        <f t="shared" si="147"/>
        <v>250</v>
      </c>
    </row>
    <row r="3391" spans="1:5" x14ac:dyDescent="0.25">
      <c r="A3391" t="str">
        <f>"41719527  "</f>
        <v xml:space="preserve">41719527  </v>
      </c>
      <c r="B3391" t="s">
        <v>3294</v>
      </c>
      <c r="C3391">
        <v>759</v>
      </c>
      <c r="D3391" t="str">
        <f t="shared" si="147"/>
        <v>250</v>
      </c>
      <c r="E3391" t="str">
        <f>"J1450"</f>
        <v>J1450</v>
      </c>
    </row>
    <row r="3392" spans="1:5" x14ac:dyDescent="0.25">
      <c r="A3392" t="str">
        <f>"41719527  "</f>
        <v xml:space="preserve">41719527  </v>
      </c>
      <c r="B3392" t="s">
        <v>3294</v>
      </c>
      <c r="C3392">
        <v>759</v>
      </c>
      <c r="D3392" t="str">
        <f t="shared" si="147"/>
        <v>250</v>
      </c>
    </row>
    <row r="3393" spans="1:5" x14ac:dyDescent="0.25">
      <c r="A3393" t="str">
        <f>"41719600  "</f>
        <v xml:space="preserve">41719600  </v>
      </c>
      <c r="B3393" t="s">
        <v>3295</v>
      </c>
      <c r="C3393">
        <v>6.6</v>
      </c>
      <c r="D3393" t="str">
        <f t="shared" si="147"/>
        <v>250</v>
      </c>
      <c r="E3393" t="str">
        <f>"J8499"</f>
        <v>J8499</v>
      </c>
    </row>
    <row r="3394" spans="1:5" x14ac:dyDescent="0.25">
      <c r="A3394" t="str">
        <f>"41719709  "</f>
        <v xml:space="preserve">41719709  </v>
      </c>
      <c r="B3394" t="s">
        <v>3296</v>
      </c>
      <c r="C3394">
        <v>6.6</v>
      </c>
      <c r="D3394" t="str">
        <f t="shared" si="147"/>
        <v>250</v>
      </c>
      <c r="E3394" t="str">
        <f>"J8499"</f>
        <v>J8499</v>
      </c>
    </row>
    <row r="3395" spans="1:5" x14ac:dyDescent="0.25">
      <c r="A3395" t="str">
        <f>"417198004"</f>
        <v>417198004</v>
      </c>
      <c r="B3395" t="s">
        <v>3297</v>
      </c>
      <c r="C3395">
        <v>21.4</v>
      </c>
      <c r="D3395" t="str">
        <f t="shared" si="147"/>
        <v>250</v>
      </c>
    </row>
    <row r="3396" spans="1:5" x14ac:dyDescent="0.25">
      <c r="A3396" t="str">
        <f>"417198005"</f>
        <v>417198005</v>
      </c>
      <c r="B3396" t="s">
        <v>3298</v>
      </c>
      <c r="C3396">
        <v>25.63</v>
      </c>
      <c r="D3396" t="str">
        <f t="shared" si="147"/>
        <v>250</v>
      </c>
    </row>
    <row r="3397" spans="1:5" x14ac:dyDescent="0.25">
      <c r="A3397" t="str">
        <f>"417198006"</f>
        <v>417198006</v>
      </c>
      <c r="B3397" t="s">
        <v>3299</v>
      </c>
      <c r="C3397">
        <v>55</v>
      </c>
      <c r="D3397" t="str">
        <f>"257"</f>
        <v>257</v>
      </c>
    </row>
    <row r="3398" spans="1:5" x14ac:dyDescent="0.25">
      <c r="A3398" t="str">
        <f>"41719808  "</f>
        <v xml:space="preserve">41719808  </v>
      </c>
      <c r="B3398" t="s">
        <v>3300</v>
      </c>
      <c r="C3398">
        <v>6.6</v>
      </c>
      <c r="D3398" t="str">
        <f t="shared" ref="D3398:D3404" si="148">"250"</f>
        <v>250</v>
      </c>
      <c r="E3398" t="str">
        <f>"J8499"</f>
        <v>J8499</v>
      </c>
    </row>
    <row r="3399" spans="1:5" x14ac:dyDescent="0.25">
      <c r="A3399" t="str">
        <f>"41719857  "</f>
        <v xml:space="preserve">41719857  </v>
      </c>
      <c r="B3399" t="s">
        <v>3301</v>
      </c>
      <c r="C3399">
        <v>46.2</v>
      </c>
      <c r="D3399" t="str">
        <f t="shared" si="148"/>
        <v>250</v>
      </c>
      <c r="E3399" t="str">
        <f>"J1165"</f>
        <v>J1165</v>
      </c>
    </row>
    <row r="3400" spans="1:5" x14ac:dyDescent="0.25">
      <c r="A3400" t="str">
        <f>"41719865  "</f>
        <v xml:space="preserve">41719865  </v>
      </c>
      <c r="B3400" t="s">
        <v>3302</v>
      </c>
      <c r="C3400">
        <v>37.82</v>
      </c>
      <c r="D3400" t="str">
        <f t="shared" si="148"/>
        <v>250</v>
      </c>
      <c r="E3400" t="str">
        <f>"J8499"</f>
        <v>J8499</v>
      </c>
    </row>
    <row r="3401" spans="1:5" x14ac:dyDescent="0.25">
      <c r="A3401" t="str">
        <f>"41719907  "</f>
        <v xml:space="preserve">41719907  </v>
      </c>
      <c r="B3401" t="s">
        <v>3303</v>
      </c>
      <c r="C3401">
        <v>55</v>
      </c>
      <c r="D3401" t="str">
        <f t="shared" si="148"/>
        <v>250</v>
      </c>
      <c r="E3401" t="str">
        <f>"X6084"</f>
        <v>X6084</v>
      </c>
    </row>
    <row r="3402" spans="1:5" x14ac:dyDescent="0.25">
      <c r="A3402" t="str">
        <f>"41719907  "</f>
        <v xml:space="preserve">41719907  </v>
      </c>
      <c r="B3402" t="s">
        <v>3303</v>
      </c>
      <c r="C3402">
        <v>55</v>
      </c>
      <c r="D3402" t="str">
        <f t="shared" si="148"/>
        <v>250</v>
      </c>
      <c r="E3402" t="str">
        <f>"J1165"</f>
        <v>J1165</v>
      </c>
    </row>
    <row r="3403" spans="1:5" x14ac:dyDescent="0.25">
      <c r="A3403" t="str">
        <f>"41720004  "</f>
        <v xml:space="preserve">41720004  </v>
      </c>
      <c r="B3403" t="s">
        <v>3304</v>
      </c>
      <c r="C3403">
        <v>140.80000000000001</v>
      </c>
      <c r="D3403" t="str">
        <f t="shared" si="148"/>
        <v>250</v>
      </c>
      <c r="E3403" t="str">
        <f>"J3490"</f>
        <v>J3490</v>
      </c>
    </row>
    <row r="3404" spans="1:5" x14ac:dyDescent="0.25">
      <c r="A3404" t="str">
        <f>"41720020  "</f>
        <v xml:space="preserve">41720020  </v>
      </c>
      <c r="B3404" t="s">
        <v>3305</v>
      </c>
      <c r="C3404">
        <v>165</v>
      </c>
      <c r="D3404" t="str">
        <f t="shared" si="148"/>
        <v>250</v>
      </c>
    </row>
    <row r="3405" spans="1:5" x14ac:dyDescent="0.25">
      <c r="A3405" t="str">
        <f>"41720021"</f>
        <v>41720021</v>
      </c>
      <c r="B3405" t="s">
        <v>3306</v>
      </c>
      <c r="C3405" s="1">
        <v>2144.12</v>
      </c>
      <c r="D3405" t="str">
        <f>"257"</f>
        <v>257</v>
      </c>
      <c r="E3405" t="str">
        <f>"90670"</f>
        <v>90670</v>
      </c>
    </row>
    <row r="3406" spans="1:5" x14ac:dyDescent="0.25">
      <c r="A3406" t="str">
        <f>"41720041"</f>
        <v>41720041</v>
      </c>
      <c r="B3406" t="s">
        <v>3307</v>
      </c>
      <c r="C3406">
        <v>14.3</v>
      </c>
      <c r="D3406" t="str">
        <f t="shared" ref="D3406:D3411" si="149">"250"</f>
        <v>250</v>
      </c>
    </row>
    <row r="3407" spans="1:5" x14ac:dyDescent="0.25">
      <c r="A3407" t="str">
        <f>"41720053  "</f>
        <v xml:space="preserve">41720053  </v>
      </c>
      <c r="B3407" t="s">
        <v>3308</v>
      </c>
      <c r="C3407">
        <v>27.5</v>
      </c>
      <c r="D3407" t="str">
        <f t="shared" si="149"/>
        <v>250</v>
      </c>
    </row>
    <row r="3408" spans="1:5" x14ac:dyDescent="0.25">
      <c r="A3408" t="str">
        <f>"41720087  "</f>
        <v xml:space="preserve">41720087  </v>
      </c>
      <c r="B3408" t="s">
        <v>3309</v>
      </c>
      <c r="C3408">
        <v>786.5</v>
      </c>
      <c r="D3408" t="str">
        <f t="shared" si="149"/>
        <v>250</v>
      </c>
    </row>
    <row r="3409" spans="1:5" x14ac:dyDescent="0.25">
      <c r="A3409" t="str">
        <f>"41720103  "</f>
        <v xml:space="preserve">41720103  </v>
      </c>
      <c r="B3409" t="s">
        <v>3310</v>
      </c>
      <c r="C3409">
        <v>11</v>
      </c>
      <c r="D3409" t="str">
        <f t="shared" si="149"/>
        <v>250</v>
      </c>
      <c r="E3409" t="str">
        <f>"J3490"</f>
        <v>J3490</v>
      </c>
    </row>
    <row r="3410" spans="1:5" x14ac:dyDescent="0.25">
      <c r="A3410" t="str">
        <f>"41720186  "</f>
        <v xml:space="preserve">41720186  </v>
      </c>
      <c r="B3410" t="s">
        <v>3311</v>
      </c>
      <c r="C3410">
        <v>152.63</v>
      </c>
      <c r="D3410" t="str">
        <f t="shared" si="149"/>
        <v>250</v>
      </c>
    </row>
    <row r="3411" spans="1:5" x14ac:dyDescent="0.25">
      <c r="A3411" t="str">
        <f>"41720194  "</f>
        <v xml:space="preserve">41720194  </v>
      </c>
      <c r="B3411" t="s">
        <v>3312</v>
      </c>
      <c r="C3411">
        <v>760.1</v>
      </c>
      <c r="D3411" t="str">
        <f t="shared" si="149"/>
        <v>250</v>
      </c>
    </row>
    <row r="3412" spans="1:5" x14ac:dyDescent="0.25">
      <c r="A3412" t="str">
        <f>"41720210"</f>
        <v>41720210</v>
      </c>
      <c r="B3412" t="s">
        <v>3313</v>
      </c>
      <c r="C3412">
        <v>6.6</v>
      </c>
      <c r="D3412" t="str">
        <f>"257"</f>
        <v>257</v>
      </c>
    </row>
    <row r="3413" spans="1:5" x14ac:dyDescent="0.25">
      <c r="A3413" t="str">
        <f>"41720616  "</f>
        <v xml:space="preserve">41720616  </v>
      </c>
      <c r="B3413" t="s">
        <v>3314</v>
      </c>
      <c r="C3413">
        <v>7.7</v>
      </c>
      <c r="D3413" t="str">
        <f t="shared" ref="D3413:D3434" si="150">"250"</f>
        <v>250</v>
      </c>
      <c r="E3413" t="str">
        <f>"J8499"</f>
        <v>J8499</v>
      </c>
    </row>
    <row r="3414" spans="1:5" x14ac:dyDescent="0.25">
      <c r="A3414" t="str">
        <f>"41720624  "</f>
        <v xml:space="preserve">41720624  </v>
      </c>
      <c r="B3414" t="s">
        <v>3315</v>
      </c>
      <c r="C3414">
        <v>108.9</v>
      </c>
      <c r="D3414" t="str">
        <f t="shared" si="150"/>
        <v>250</v>
      </c>
      <c r="E3414" t="str">
        <f>"X5310"</f>
        <v>X5310</v>
      </c>
    </row>
    <row r="3415" spans="1:5" x14ac:dyDescent="0.25">
      <c r="A3415" t="str">
        <f>"41720624  "</f>
        <v xml:space="preserve">41720624  </v>
      </c>
      <c r="B3415" t="s">
        <v>3315</v>
      </c>
      <c r="C3415">
        <v>108.9</v>
      </c>
      <c r="D3415" t="str">
        <f t="shared" si="150"/>
        <v>250</v>
      </c>
      <c r="E3415" t="str">
        <f>"J3490"</f>
        <v>J3490</v>
      </c>
    </row>
    <row r="3416" spans="1:5" x14ac:dyDescent="0.25">
      <c r="A3416" t="str">
        <f>"41720632  "</f>
        <v xml:space="preserve">41720632  </v>
      </c>
      <c r="B3416" t="s">
        <v>3316</v>
      </c>
      <c r="C3416">
        <v>39.6</v>
      </c>
      <c r="D3416" t="str">
        <f t="shared" si="150"/>
        <v>250</v>
      </c>
      <c r="E3416" t="str">
        <f>"X5310"</f>
        <v>X5310</v>
      </c>
    </row>
    <row r="3417" spans="1:5" x14ac:dyDescent="0.25">
      <c r="A3417" t="str">
        <f>"41720632  "</f>
        <v xml:space="preserve">41720632  </v>
      </c>
      <c r="B3417" t="s">
        <v>3316</v>
      </c>
      <c r="C3417">
        <v>39.6</v>
      </c>
      <c r="D3417" t="str">
        <f t="shared" si="150"/>
        <v>250</v>
      </c>
      <c r="E3417" t="str">
        <f>"J3490"</f>
        <v>J3490</v>
      </c>
    </row>
    <row r="3418" spans="1:5" x14ac:dyDescent="0.25">
      <c r="A3418" t="str">
        <f>"41720640  "</f>
        <v xml:space="preserve">41720640  </v>
      </c>
      <c r="B3418" t="s">
        <v>3317</v>
      </c>
      <c r="C3418">
        <v>8.8000000000000007</v>
      </c>
      <c r="D3418" t="str">
        <f t="shared" si="150"/>
        <v>250</v>
      </c>
      <c r="E3418" t="str">
        <f>"J8499"</f>
        <v>J8499</v>
      </c>
    </row>
    <row r="3419" spans="1:5" x14ac:dyDescent="0.25">
      <c r="A3419" t="str">
        <f>"41720657  "</f>
        <v xml:space="preserve">41720657  </v>
      </c>
      <c r="B3419" t="s">
        <v>3318</v>
      </c>
      <c r="C3419">
        <v>29.43</v>
      </c>
      <c r="D3419" t="str">
        <f t="shared" si="150"/>
        <v>250</v>
      </c>
      <c r="E3419" t="str">
        <f>"J3490"</f>
        <v>J3490</v>
      </c>
    </row>
    <row r="3420" spans="1:5" x14ac:dyDescent="0.25">
      <c r="A3420" t="str">
        <f>"41720707  "</f>
        <v xml:space="preserve">41720707  </v>
      </c>
      <c r="B3420" t="s">
        <v>3319</v>
      </c>
      <c r="C3420">
        <v>7.7</v>
      </c>
      <c r="D3420" t="str">
        <f t="shared" si="150"/>
        <v>250</v>
      </c>
      <c r="E3420" t="str">
        <f>"J8499"</f>
        <v>J8499</v>
      </c>
    </row>
    <row r="3421" spans="1:5" x14ac:dyDescent="0.25">
      <c r="A3421" t="str">
        <f>"41721002  "</f>
        <v xml:space="preserve">41721002  </v>
      </c>
      <c r="B3421" t="s">
        <v>3320</v>
      </c>
      <c r="C3421">
        <v>434.5</v>
      </c>
      <c r="D3421" t="str">
        <f t="shared" si="150"/>
        <v>250</v>
      </c>
      <c r="E3421" t="str">
        <f>"X6108"</f>
        <v>X6108</v>
      </c>
    </row>
    <row r="3422" spans="1:5" x14ac:dyDescent="0.25">
      <c r="A3422" t="str">
        <f>"41721002  "</f>
        <v xml:space="preserve">41721002  </v>
      </c>
      <c r="B3422" t="s">
        <v>3320</v>
      </c>
      <c r="C3422">
        <v>434.5</v>
      </c>
      <c r="D3422" t="str">
        <f t="shared" si="150"/>
        <v>250</v>
      </c>
      <c r="E3422" t="str">
        <f>"J1250"</f>
        <v>J1250</v>
      </c>
    </row>
    <row r="3423" spans="1:5" x14ac:dyDescent="0.25">
      <c r="A3423" t="str">
        <f>"41721192  "</f>
        <v xml:space="preserve">41721192  </v>
      </c>
      <c r="B3423" t="s">
        <v>3321</v>
      </c>
      <c r="C3423">
        <v>91.3</v>
      </c>
      <c r="D3423" t="str">
        <f t="shared" si="150"/>
        <v>250</v>
      </c>
      <c r="E3423" t="str">
        <f>"J3490"</f>
        <v>J3490</v>
      </c>
    </row>
    <row r="3424" spans="1:5" x14ac:dyDescent="0.25">
      <c r="A3424" t="str">
        <f>"41721200  "</f>
        <v xml:space="preserve">41721200  </v>
      </c>
      <c r="B3424" t="s">
        <v>3322</v>
      </c>
      <c r="C3424">
        <v>6.6</v>
      </c>
      <c r="D3424" t="str">
        <f t="shared" si="150"/>
        <v>250</v>
      </c>
      <c r="E3424" t="str">
        <f>"J3490"</f>
        <v>J3490</v>
      </c>
    </row>
    <row r="3425" spans="1:5" x14ac:dyDescent="0.25">
      <c r="A3425" t="str">
        <f>"41721212"</f>
        <v>41721212</v>
      </c>
      <c r="B3425" t="s">
        <v>3323</v>
      </c>
      <c r="C3425">
        <v>473.66</v>
      </c>
      <c r="D3425" t="str">
        <f t="shared" si="150"/>
        <v>250</v>
      </c>
    </row>
    <row r="3426" spans="1:5" x14ac:dyDescent="0.25">
      <c r="A3426" t="str">
        <f>"41721259  "</f>
        <v xml:space="preserve">41721259  </v>
      </c>
      <c r="B3426" t="s">
        <v>3324</v>
      </c>
      <c r="C3426">
        <v>6.6</v>
      </c>
      <c r="D3426" t="str">
        <f t="shared" si="150"/>
        <v>250</v>
      </c>
      <c r="E3426" t="str">
        <f>"J3490"</f>
        <v>J3490</v>
      </c>
    </row>
    <row r="3427" spans="1:5" x14ac:dyDescent="0.25">
      <c r="A3427" t="str">
        <f>"41721358  "</f>
        <v xml:space="preserve">41721358  </v>
      </c>
      <c r="B3427" t="s">
        <v>3325</v>
      </c>
      <c r="C3427">
        <v>6.6</v>
      </c>
      <c r="D3427" t="str">
        <f t="shared" si="150"/>
        <v>250</v>
      </c>
      <c r="E3427" t="str">
        <f>"J8499"</f>
        <v>J8499</v>
      </c>
    </row>
    <row r="3428" spans="1:5" x14ac:dyDescent="0.25">
      <c r="A3428" t="str">
        <f>"41721457  "</f>
        <v xml:space="preserve">41721457  </v>
      </c>
      <c r="B3428" t="s">
        <v>3326</v>
      </c>
      <c r="C3428">
        <v>6.6</v>
      </c>
      <c r="D3428" t="str">
        <f t="shared" si="150"/>
        <v>250</v>
      </c>
      <c r="E3428" t="str">
        <f>"J8499"</f>
        <v>J8499</v>
      </c>
    </row>
    <row r="3429" spans="1:5" x14ac:dyDescent="0.25">
      <c r="A3429" t="str">
        <f>"41721465  "</f>
        <v xml:space="preserve">41721465  </v>
      </c>
      <c r="B3429" t="s">
        <v>3327</v>
      </c>
      <c r="C3429">
        <v>385</v>
      </c>
      <c r="D3429" t="str">
        <f t="shared" si="150"/>
        <v>250</v>
      </c>
      <c r="E3429" t="str">
        <f>"J3490"</f>
        <v>J3490</v>
      </c>
    </row>
    <row r="3430" spans="1:5" x14ac:dyDescent="0.25">
      <c r="A3430" t="str">
        <f>"41721556  "</f>
        <v xml:space="preserve">41721556  </v>
      </c>
      <c r="B3430" t="s">
        <v>3328</v>
      </c>
      <c r="C3430">
        <v>6.6</v>
      </c>
      <c r="D3430" t="str">
        <f t="shared" si="150"/>
        <v>250</v>
      </c>
      <c r="E3430" t="str">
        <f>"J8499"</f>
        <v>J8499</v>
      </c>
    </row>
    <row r="3431" spans="1:5" x14ac:dyDescent="0.25">
      <c r="A3431" t="str">
        <f>"41721655  "</f>
        <v xml:space="preserve">41721655  </v>
      </c>
      <c r="B3431" t="s">
        <v>3329</v>
      </c>
      <c r="C3431">
        <v>33</v>
      </c>
      <c r="D3431" t="str">
        <f t="shared" si="150"/>
        <v>250</v>
      </c>
      <c r="E3431" t="str">
        <f>"96379"</f>
        <v>96379</v>
      </c>
    </row>
    <row r="3432" spans="1:5" x14ac:dyDescent="0.25">
      <c r="A3432" t="str">
        <f>"41721663  "</f>
        <v xml:space="preserve">41721663  </v>
      </c>
      <c r="B3432" t="s">
        <v>3330</v>
      </c>
      <c r="C3432">
        <v>177.1</v>
      </c>
      <c r="D3432" t="str">
        <f t="shared" si="150"/>
        <v>250</v>
      </c>
      <c r="E3432" t="str">
        <f>"X6112"</f>
        <v>X6112</v>
      </c>
    </row>
    <row r="3433" spans="1:5" x14ac:dyDescent="0.25">
      <c r="A3433" t="str">
        <f>"41721663  "</f>
        <v xml:space="preserve">41721663  </v>
      </c>
      <c r="B3433" t="s">
        <v>3330</v>
      </c>
      <c r="C3433">
        <v>177.1</v>
      </c>
      <c r="D3433" t="str">
        <f t="shared" si="150"/>
        <v>250</v>
      </c>
      <c r="E3433" t="str">
        <f>"J3490"</f>
        <v>J3490</v>
      </c>
    </row>
    <row r="3434" spans="1:5" x14ac:dyDescent="0.25">
      <c r="A3434" t="str">
        <f>"41721705  "</f>
        <v xml:space="preserve">41721705  </v>
      </c>
      <c r="B3434" t="s">
        <v>3331</v>
      </c>
      <c r="C3434">
        <v>382.8</v>
      </c>
      <c r="D3434" t="str">
        <f t="shared" si="150"/>
        <v>250</v>
      </c>
      <c r="E3434" t="str">
        <f>"J3490"</f>
        <v>J3490</v>
      </c>
    </row>
    <row r="3435" spans="1:5" x14ac:dyDescent="0.25">
      <c r="A3435" t="str">
        <f>"41721853  "</f>
        <v xml:space="preserve">41721853  </v>
      </c>
      <c r="B3435" t="s">
        <v>3332</v>
      </c>
      <c r="C3435">
        <v>6.6</v>
      </c>
      <c r="D3435" t="str">
        <f>"257"</f>
        <v>257</v>
      </c>
      <c r="E3435" t="str">
        <f>"J3490"</f>
        <v>J3490</v>
      </c>
    </row>
    <row r="3436" spans="1:5" x14ac:dyDescent="0.25">
      <c r="A3436" t="str">
        <f>"41721911  "</f>
        <v xml:space="preserve">41721911  </v>
      </c>
      <c r="B3436" t="s">
        <v>3333</v>
      </c>
      <c r="C3436">
        <v>193.6</v>
      </c>
      <c r="D3436" t="str">
        <f t="shared" ref="D3436:D3443" si="151">"250"</f>
        <v>250</v>
      </c>
      <c r="E3436" t="str">
        <f>"X6118"</f>
        <v>X6118</v>
      </c>
    </row>
    <row r="3437" spans="1:5" x14ac:dyDescent="0.25">
      <c r="A3437" t="str">
        <f>"41721911  "</f>
        <v xml:space="preserve">41721911  </v>
      </c>
      <c r="B3437" t="s">
        <v>3333</v>
      </c>
      <c r="C3437">
        <v>193.6</v>
      </c>
      <c r="D3437" t="str">
        <f t="shared" si="151"/>
        <v>250</v>
      </c>
      <c r="E3437" t="str">
        <f>"J3490"</f>
        <v>J3490</v>
      </c>
    </row>
    <row r="3438" spans="1:5" x14ac:dyDescent="0.25">
      <c r="A3438" t="str">
        <f>"41721929  "</f>
        <v xml:space="preserve">41721929  </v>
      </c>
      <c r="B3438" t="s">
        <v>3334</v>
      </c>
      <c r="C3438">
        <v>386.1</v>
      </c>
      <c r="D3438" t="str">
        <f t="shared" si="151"/>
        <v>250</v>
      </c>
      <c r="E3438" t="str">
        <f>"J3490"</f>
        <v>J3490</v>
      </c>
    </row>
    <row r="3439" spans="1:5" x14ac:dyDescent="0.25">
      <c r="A3439" t="str">
        <f>"41721937  "</f>
        <v xml:space="preserve">41721937  </v>
      </c>
      <c r="B3439" t="s">
        <v>3335</v>
      </c>
      <c r="C3439">
        <v>6.6</v>
      </c>
      <c r="D3439" t="str">
        <f t="shared" si="151"/>
        <v>250</v>
      </c>
      <c r="E3439" t="str">
        <f>"J8499"</f>
        <v>J8499</v>
      </c>
    </row>
    <row r="3440" spans="1:5" x14ac:dyDescent="0.25">
      <c r="A3440" t="str">
        <f>"41722001"</f>
        <v>41722001</v>
      </c>
      <c r="B3440" t="s">
        <v>3336</v>
      </c>
      <c r="C3440">
        <v>33.28</v>
      </c>
      <c r="D3440" t="str">
        <f t="shared" si="151"/>
        <v>250</v>
      </c>
    </row>
    <row r="3441" spans="1:5" x14ac:dyDescent="0.25">
      <c r="A3441" t="str">
        <f>"41722050"</f>
        <v>41722050</v>
      </c>
      <c r="B3441" t="s">
        <v>3337</v>
      </c>
      <c r="C3441">
        <v>7.7</v>
      </c>
      <c r="D3441" t="str">
        <f t="shared" si="151"/>
        <v>250</v>
      </c>
    </row>
    <row r="3442" spans="1:5" x14ac:dyDescent="0.25">
      <c r="A3442" t="str">
        <f>"41722158  "</f>
        <v xml:space="preserve">41722158  </v>
      </c>
      <c r="B3442" t="s">
        <v>3338</v>
      </c>
      <c r="C3442">
        <v>6.6</v>
      </c>
      <c r="D3442" t="str">
        <f t="shared" si="151"/>
        <v>250</v>
      </c>
      <c r="E3442" t="str">
        <f>"J8499"</f>
        <v>J8499</v>
      </c>
    </row>
    <row r="3443" spans="1:5" x14ac:dyDescent="0.25">
      <c r="A3443" t="str">
        <f>"41722224  "</f>
        <v xml:space="preserve">41722224  </v>
      </c>
      <c r="B3443" t="s">
        <v>3339</v>
      </c>
      <c r="C3443">
        <v>33</v>
      </c>
      <c r="D3443" t="str">
        <f t="shared" si="151"/>
        <v>250</v>
      </c>
      <c r="E3443" t="str">
        <f>"J8499"</f>
        <v>J8499</v>
      </c>
    </row>
    <row r="3444" spans="1:5" x14ac:dyDescent="0.25">
      <c r="A3444" t="str">
        <f>"41722304"</f>
        <v>41722304</v>
      </c>
      <c r="B3444" t="s">
        <v>3340</v>
      </c>
      <c r="C3444">
        <v>12.45</v>
      </c>
      <c r="D3444" t="str">
        <f>"257"</f>
        <v>257</v>
      </c>
    </row>
    <row r="3445" spans="1:5" x14ac:dyDescent="0.25">
      <c r="A3445" t="str">
        <f>"41722349  "</f>
        <v xml:space="preserve">41722349  </v>
      </c>
      <c r="B3445" t="s">
        <v>3341</v>
      </c>
      <c r="C3445">
        <v>8.8000000000000007</v>
      </c>
      <c r="D3445" t="str">
        <f>"257"</f>
        <v>257</v>
      </c>
      <c r="E3445" t="str">
        <f>"J3490"</f>
        <v>J3490</v>
      </c>
    </row>
    <row r="3446" spans="1:5" x14ac:dyDescent="0.25">
      <c r="A3446" t="str">
        <f>"41722356  "</f>
        <v xml:space="preserve">41722356  </v>
      </c>
      <c r="B3446" t="s">
        <v>3342</v>
      </c>
      <c r="C3446">
        <v>6.6</v>
      </c>
      <c r="D3446" t="str">
        <f>"257"</f>
        <v>257</v>
      </c>
      <c r="E3446" t="str">
        <f>"J3490"</f>
        <v>J3490</v>
      </c>
    </row>
    <row r="3447" spans="1:5" x14ac:dyDescent="0.25">
      <c r="A3447" t="str">
        <f>"41722430"</f>
        <v>41722430</v>
      </c>
      <c r="B3447" t="s">
        <v>3343</v>
      </c>
      <c r="C3447">
        <v>79.2</v>
      </c>
      <c r="D3447" t="str">
        <f t="shared" ref="D3447:D3453" si="152">"250"</f>
        <v>250</v>
      </c>
    </row>
    <row r="3448" spans="1:5" x14ac:dyDescent="0.25">
      <c r="A3448" t="str">
        <f>"41722440"</f>
        <v>41722440</v>
      </c>
      <c r="B3448" t="s">
        <v>3344</v>
      </c>
      <c r="C3448">
        <v>110</v>
      </c>
      <c r="D3448" t="str">
        <f t="shared" si="152"/>
        <v>250</v>
      </c>
    </row>
    <row r="3449" spans="1:5" x14ac:dyDescent="0.25">
      <c r="A3449" t="str">
        <f>"41722450"</f>
        <v>41722450</v>
      </c>
      <c r="B3449" t="s">
        <v>3345</v>
      </c>
      <c r="C3449">
        <v>9.9</v>
      </c>
      <c r="D3449" t="str">
        <f t="shared" si="152"/>
        <v>250</v>
      </c>
    </row>
    <row r="3450" spans="1:5" x14ac:dyDescent="0.25">
      <c r="A3450" t="str">
        <f>"41722500"</f>
        <v>41722500</v>
      </c>
      <c r="B3450" t="s">
        <v>3346</v>
      </c>
      <c r="C3450">
        <v>20.9</v>
      </c>
      <c r="D3450" t="str">
        <f t="shared" si="152"/>
        <v>250</v>
      </c>
      <c r="E3450" t="str">
        <f>"J3490"</f>
        <v>J3490</v>
      </c>
    </row>
    <row r="3451" spans="1:5" x14ac:dyDescent="0.25">
      <c r="A3451" t="str">
        <f>"41722505  "</f>
        <v xml:space="preserve">41722505  </v>
      </c>
      <c r="B3451" t="s">
        <v>3347</v>
      </c>
      <c r="C3451">
        <v>6.6</v>
      </c>
      <c r="D3451" t="str">
        <f t="shared" si="152"/>
        <v>250</v>
      </c>
      <c r="E3451" t="str">
        <f>"J8499"</f>
        <v>J8499</v>
      </c>
    </row>
    <row r="3452" spans="1:5" x14ac:dyDescent="0.25">
      <c r="A3452" t="str">
        <f>"41722620  "</f>
        <v xml:space="preserve">41722620  </v>
      </c>
      <c r="B3452" t="s">
        <v>3348</v>
      </c>
      <c r="C3452">
        <v>9.9</v>
      </c>
      <c r="D3452" t="str">
        <f t="shared" si="152"/>
        <v>250</v>
      </c>
      <c r="E3452" t="str">
        <f>"J8499"</f>
        <v>J8499</v>
      </c>
    </row>
    <row r="3453" spans="1:5" x14ac:dyDescent="0.25">
      <c r="A3453" t="str">
        <f>"41722687  "</f>
        <v xml:space="preserve">41722687  </v>
      </c>
      <c r="B3453" t="s">
        <v>3349</v>
      </c>
      <c r="C3453">
        <v>6.6</v>
      </c>
      <c r="D3453" t="str">
        <f t="shared" si="152"/>
        <v>250</v>
      </c>
      <c r="E3453" t="str">
        <f>"J8499"</f>
        <v>J8499</v>
      </c>
    </row>
    <row r="3454" spans="1:5" x14ac:dyDescent="0.25">
      <c r="A3454" t="str">
        <f>"41722752  "</f>
        <v xml:space="preserve">41722752  </v>
      </c>
      <c r="B3454" t="s">
        <v>3350</v>
      </c>
      <c r="C3454">
        <v>6.6</v>
      </c>
      <c r="D3454" t="str">
        <f>"257"</f>
        <v>257</v>
      </c>
      <c r="E3454" t="str">
        <f>"J3490"</f>
        <v>J3490</v>
      </c>
    </row>
    <row r="3455" spans="1:5" x14ac:dyDescent="0.25">
      <c r="A3455" t="str">
        <f>"41722901  "</f>
        <v xml:space="preserve">41722901  </v>
      </c>
      <c r="B3455" t="s">
        <v>3351</v>
      </c>
      <c r="C3455">
        <v>6.6</v>
      </c>
      <c r="D3455" t="str">
        <f t="shared" ref="D3455:D3460" si="153">"250"</f>
        <v>250</v>
      </c>
      <c r="E3455" t="str">
        <f>"J8499"</f>
        <v>J8499</v>
      </c>
    </row>
    <row r="3456" spans="1:5" x14ac:dyDescent="0.25">
      <c r="A3456" t="str">
        <f>"41723000"</f>
        <v>41723000</v>
      </c>
      <c r="B3456" t="s">
        <v>3352</v>
      </c>
      <c r="C3456">
        <v>8.8000000000000007</v>
      </c>
      <c r="D3456" t="str">
        <f t="shared" si="153"/>
        <v>250</v>
      </c>
    </row>
    <row r="3457" spans="1:5" x14ac:dyDescent="0.25">
      <c r="A3457" t="str">
        <f>"41723001"</f>
        <v>41723001</v>
      </c>
      <c r="B3457" t="s">
        <v>3353</v>
      </c>
      <c r="C3457">
        <v>9.9</v>
      </c>
      <c r="D3457" t="str">
        <f t="shared" si="153"/>
        <v>250</v>
      </c>
    </row>
    <row r="3458" spans="1:5" x14ac:dyDescent="0.25">
      <c r="A3458" t="str">
        <f>"41723156  "</f>
        <v xml:space="preserve">41723156  </v>
      </c>
      <c r="B3458" t="s">
        <v>3354</v>
      </c>
      <c r="C3458">
        <v>6.6</v>
      </c>
      <c r="D3458" t="str">
        <f t="shared" si="153"/>
        <v>250</v>
      </c>
      <c r="E3458" t="str">
        <f>"X5564"</f>
        <v>X5564</v>
      </c>
    </row>
    <row r="3459" spans="1:5" x14ac:dyDescent="0.25">
      <c r="A3459" t="str">
        <f>"41723156  "</f>
        <v xml:space="preserve">41723156  </v>
      </c>
      <c r="B3459" t="s">
        <v>3354</v>
      </c>
      <c r="C3459">
        <v>6.6</v>
      </c>
      <c r="D3459" t="str">
        <f t="shared" si="153"/>
        <v>250</v>
      </c>
      <c r="E3459" t="str">
        <f>"J8499"</f>
        <v>J8499</v>
      </c>
    </row>
    <row r="3460" spans="1:5" x14ac:dyDescent="0.25">
      <c r="A3460" t="str">
        <f>"41723198  "</f>
        <v xml:space="preserve">41723198  </v>
      </c>
      <c r="B3460" t="s">
        <v>3355</v>
      </c>
      <c r="C3460">
        <v>11</v>
      </c>
      <c r="D3460" t="str">
        <f t="shared" si="153"/>
        <v>250</v>
      </c>
      <c r="E3460" t="str">
        <f>"J8499"</f>
        <v>J8499</v>
      </c>
    </row>
    <row r="3461" spans="1:5" x14ac:dyDescent="0.25">
      <c r="A3461" t="str">
        <f>"41723206  "</f>
        <v xml:space="preserve">41723206  </v>
      </c>
      <c r="B3461" t="s">
        <v>3356</v>
      </c>
      <c r="C3461">
        <v>16.5</v>
      </c>
      <c r="D3461" t="str">
        <f>"257"</f>
        <v>257</v>
      </c>
      <c r="E3461" t="str">
        <f>"J3490"</f>
        <v>J3490</v>
      </c>
    </row>
    <row r="3462" spans="1:5" x14ac:dyDescent="0.25">
      <c r="A3462" t="str">
        <f>"41723255  "</f>
        <v xml:space="preserve">41723255  </v>
      </c>
      <c r="B3462" t="s">
        <v>3357</v>
      </c>
      <c r="C3462">
        <v>11</v>
      </c>
      <c r="D3462" t="str">
        <f t="shared" ref="D3462:D3470" si="154">"250"</f>
        <v>250</v>
      </c>
      <c r="E3462" t="str">
        <f>"J8499"</f>
        <v>J8499</v>
      </c>
    </row>
    <row r="3463" spans="1:5" x14ac:dyDescent="0.25">
      <c r="A3463" t="str">
        <f>"41723263  "</f>
        <v xml:space="preserve">41723263  </v>
      </c>
      <c r="B3463" t="s">
        <v>3358</v>
      </c>
      <c r="C3463">
        <v>8.8000000000000007</v>
      </c>
      <c r="D3463" t="str">
        <f t="shared" si="154"/>
        <v>250</v>
      </c>
      <c r="E3463" t="str">
        <f>"J8499"</f>
        <v>J8499</v>
      </c>
    </row>
    <row r="3464" spans="1:5" x14ac:dyDescent="0.25">
      <c r="A3464" t="str">
        <f>"41723410"</f>
        <v>41723410</v>
      </c>
      <c r="B3464" t="s">
        <v>3359</v>
      </c>
      <c r="C3464">
        <v>470.8</v>
      </c>
      <c r="D3464" t="str">
        <f t="shared" si="154"/>
        <v>250</v>
      </c>
      <c r="E3464" t="str">
        <f>"J2597"</f>
        <v>J2597</v>
      </c>
    </row>
    <row r="3465" spans="1:5" x14ac:dyDescent="0.25">
      <c r="A3465" t="str">
        <f>"41723420  "</f>
        <v xml:space="preserve">41723420  </v>
      </c>
      <c r="B3465" t="s">
        <v>3360</v>
      </c>
      <c r="C3465">
        <v>14.59</v>
      </c>
      <c r="D3465" t="str">
        <f t="shared" si="154"/>
        <v>250</v>
      </c>
    </row>
    <row r="3466" spans="1:5" x14ac:dyDescent="0.25">
      <c r="A3466" t="str">
        <f>"41723450"</f>
        <v>41723450</v>
      </c>
      <c r="B3466" t="s">
        <v>3361</v>
      </c>
      <c r="C3466">
        <v>38.5</v>
      </c>
      <c r="D3466" t="str">
        <f t="shared" si="154"/>
        <v>250</v>
      </c>
    </row>
    <row r="3467" spans="1:5" x14ac:dyDescent="0.25">
      <c r="A3467" t="str">
        <f>"41723453  "</f>
        <v xml:space="preserve">41723453  </v>
      </c>
      <c r="B3467" t="s">
        <v>3362</v>
      </c>
      <c r="C3467">
        <v>13.7</v>
      </c>
      <c r="D3467" t="str">
        <f t="shared" si="154"/>
        <v>250</v>
      </c>
    </row>
    <row r="3468" spans="1:5" x14ac:dyDescent="0.25">
      <c r="A3468" t="str">
        <f>"41723456"</f>
        <v>41723456</v>
      </c>
      <c r="B3468" t="s">
        <v>3363</v>
      </c>
      <c r="C3468">
        <v>42.68</v>
      </c>
      <c r="D3468" t="str">
        <f t="shared" si="154"/>
        <v>250</v>
      </c>
    </row>
    <row r="3469" spans="1:5" x14ac:dyDescent="0.25">
      <c r="A3469" t="str">
        <f>"41723560  "</f>
        <v xml:space="preserve">41723560  </v>
      </c>
      <c r="B3469" t="s">
        <v>3364</v>
      </c>
      <c r="C3469">
        <v>13.4</v>
      </c>
      <c r="D3469" t="str">
        <f t="shared" si="154"/>
        <v>250</v>
      </c>
    </row>
    <row r="3470" spans="1:5" x14ac:dyDescent="0.25">
      <c r="A3470" t="str">
        <f>"41723669  "</f>
        <v xml:space="preserve">41723669  </v>
      </c>
      <c r="B3470" t="s">
        <v>3365</v>
      </c>
      <c r="C3470">
        <v>11</v>
      </c>
      <c r="D3470" t="str">
        <f t="shared" si="154"/>
        <v>250</v>
      </c>
      <c r="E3470" t="str">
        <f>"J8499"</f>
        <v>J8499</v>
      </c>
    </row>
    <row r="3471" spans="1:5" x14ac:dyDescent="0.25">
      <c r="A3471" t="str">
        <f>"41723685  "</f>
        <v xml:space="preserve">41723685  </v>
      </c>
      <c r="B3471" t="s">
        <v>3366</v>
      </c>
      <c r="C3471">
        <v>16.5</v>
      </c>
      <c r="D3471" t="str">
        <f>"257"</f>
        <v>257</v>
      </c>
      <c r="E3471" t="str">
        <f>"J3490"</f>
        <v>J3490</v>
      </c>
    </row>
    <row r="3472" spans="1:5" x14ac:dyDescent="0.25">
      <c r="A3472" t="str">
        <f>"41723693  "</f>
        <v xml:space="preserve">41723693  </v>
      </c>
      <c r="B3472" t="s">
        <v>3367</v>
      </c>
      <c r="C3472">
        <v>16.5</v>
      </c>
      <c r="D3472" t="str">
        <f>"257"</f>
        <v>257</v>
      </c>
      <c r="E3472" t="str">
        <f>"J3490"</f>
        <v>J3490</v>
      </c>
    </row>
    <row r="3473" spans="1:5" x14ac:dyDescent="0.25">
      <c r="A3473" t="str">
        <f>"41723719  "</f>
        <v xml:space="preserve">41723719  </v>
      </c>
      <c r="B3473" t="s">
        <v>3368</v>
      </c>
      <c r="C3473">
        <v>7.7</v>
      </c>
      <c r="D3473" t="str">
        <f>"250"</f>
        <v>250</v>
      </c>
      <c r="E3473" t="str">
        <f>"J8499"</f>
        <v>J8499</v>
      </c>
    </row>
    <row r="3474" spans="1:5" x14ac:dyDescent="0.25">
      <c r="A3474" t="str">
        <f>"41723727  "</f>
        <v xml:space="preserve">41723727  </v>
      </c>
      <c r="B3474" t="s">
        <v>3369</v>
      </c>
      <c r="C3474">
        <v>16.5</v>
      </c>
      <c r="D3474" t="str">
        <f>"257"</f>
        <v>257</v>
      </c>
      <c r="E3474" t="str">
        <f>"J3490"</f>
        <v>J3490</v>
      </c>
    </row>
    <row r="3475" spans="1:5" x14ac:dyDescent="0.25">
      <c r="A3475" t="str">
        <f>"41723735  "</f>
        <v xml:space="preserve">41723735  </v>
      </c>
      <c r="B3475" t="s">
        <v>3370</v>
      </c>
      <c r="C3475">
        <v>38.340000000000003</v>
      </c>
      <c r="D3475" t="str">
        <f>"257"</f>
        <v>257</v>
      </c>
      <c r="E3475" t="str">
        <f>"J3490"</f>
        <v>J3490</v>
      </c>
    </row>
    <row r="3476" spans="1:5" x14ac:dyDescent="0.25">
      <c r="A3476" t="str">
        <f>"41723743  "</f>
        <v xml:space="preserve">41723743  </v>
      </c>
      <c r="B3476" t="s">
        <v>3371</v>
      </c>
      <c r="C3476">
        <v>119.9</v>
      </c>
      <c r="D3476" t="str">
        <f>"250"</f>
        <v>250</v>
      </c>
      <c r="E3476" t="str">
        <f>"90779"</f>
        <v>90779</v>
      </c>
    </row>
    <row r="3477" spans="1:5" x14ac:dyDescent="0.25">
      <c r="A3477" t="str">
        <f>"41723743  "</f>
        <v xml:space="preserve">41723743  </v>
      </c>
      <c r="B3477" t="s">
        <v>3371</v>
      </c>
      <c r="C3477">
        <v>119.9</v>
      </c>
      <c r="D3477" t="str">
        <f>"250"</f>
        <v>250</v>
      </c>
      <c r="E3477" t="str">
        <f>"J3490"</f>
        <v>J3490</v>
      </c>
    </row>
    <row r="3478" spans="1:5" x14ac:dyDescent="0.25">
      <c r="A3478" t="str">
        <f>"41723750  "</f>
        <v xml:space="preserve">41723750  </v>
      </c>
      <c r="B3478" t="s">
        <v>3372</v>
      </c>
      <c r="C3478">
        <v>38.340000000000003</v>
      </c>
      <c r="D3478" t="str">
        <f>"257"</f>
        <v>257</v>
      </c>
      <c r="E3478" t="str">
        <f>"J3490"</f>
        <v>J3490</v>
      </c>
    </row>
    <row r="3479" spans="1:5" x14ac:dyDescent="0.25">
      <c r="A3479" t="str">
        <f>"41723818  "</f>
        <v xml:space="preserve">41723818  </v>
      </c>
      <c r="B3479" t="s">
        <v>3373</v>
      </c>
      <c r="C3479">
        <v>323.39999999999998</v>
      </c>
      <c r="D3479" t="str">
        <f>"257"</f>
        <v>257</v>
      </c>
      <c r="E3479" t="str">
        <f>"J3490"</f>
        <v>J3490</v>
      </c>
    </row>
    <row r="3480" spans="1:5" x14ac:dyDescent="0.25">
      <c r="A3480" t="str">
        <f>"41723859  "</f>
        <v xml:space="preserve">41723859  </v>
      </c>
      <c r="B3480" t="s">
        <v>3374</v>
      </c>
      <c r="C3480">
        <v>347.6</v>
      </c>
      <c r="D3480" t="str">
        <f>"250"</f>
        <v>250</v>
      </c>
      <c r="E3480" t="str">
        <f>"J8499"</f>
        <v>J8499</v>
      </c>
    </row>
    <row r="3481" spans="1:5" x14ac:dyDescent="0.25">
      <c r="A3481" t="str">
        <f>"41723909  "</f>
        <v xml:space="preserve">41723909  </v>
      </c>
      <c r="B3481" t="s">
        <v>3375</v>
      </c>
      <c r="C3481">
        <v>61.6</v>
      </c>
      <c r="D3481" t="str">
        <f>"250"</f>
        <v>250</v>
      </c>
    </row>
    <row r="3482" spans="1:5" x14ac:dyDescent="0.25">
      <c r="A3482" t="str">
        <f>"41723958  "</f>
        <v xml:space="preserve">41723958  </v>
      </c>
      <c r="B3482" t="s">
        <v>3376</v>
      </c>
      <c r="C3482">
        <v>115.5</v>
      </c>
      <c r="D3482" t="str">
        <f>"250"</f>
        <v>250</v>
      </c>
    </row>
    <row r="3483" spans="1:5" x14ac:dyDescent="0.25">
      <c r="A3483" t="str">
        <f>"41723966  "</f>
        <v xml:space="preserve">41723966  </v>
      </c>
      <c r="B3483" t="s">
        <v>3377</v>
      </c>
      <c r="C3483">
        <v>115.5</v>
      </c>
      <c r="D3483" t="str">
        <f>"250"</f>
        <v>250</v>
      </c>
    </row>
    <row r="3484" spans="1:5" x14ac:dyDescent="0.25">
      <c r="A3484" t="str">
        <f>"41724006  "</f>
        <v xml:space="preserve">41724006  </v>
      </c>
      <c r="B3484" t="s">
        <v>3378</v>
      </c>
      <c r="C3484">
        <v>16.5</v>
      </c>
      <c r="D3484" t="str">
        <f>"257"</f>
        <v>257</v>
      </c>
      <c r="E3484" t="str">
        <f>"J3490"</f>
        <v>J3490</v>
      </c>
    </row>
    <row r="3485" spans="1:5" x14ac:dyDescent="0.25">
      <c r="A3485" t="str">
        <f>"41724231"</f>
        <v>41724231</v>
      </c>
      <c r="B3485" t="s">
        <v>3379</v>
      </c>
      <c r="C3485">
        <v>88</v>
      </c>
      <c r="D3485" t="str">
        <f t="shared" ref="D3485:D3501" si="155">"250"</f>
        <v>250</v>
      </c>
      <c r="E3485" t="str">
        <f>"J3370"</f>
        <v>J3370</v>
      </c>
    </row>
    <row r="3486" spans="1:5" x14ac:dyDescent="0.25">
      <c r="A3486" t="str">
        <f>"41724329  "</f>
        <v xml:space="preserve">41724329  </v>
      </c>
      <c r="B3486" t="s">
        <v>3380</v>
      </c>
      <c r="C3486">
        <v>118.8</v>
      </c>
      <c r="D3486" t="str">
        <f t="shared" si="155"/>
        <v>250</v>
      </c>
      <c r="E3486" t="str">
        <f>"J3490"</f>
        <v>J3490</v>
      </c>
    </row>
    <row r="3487" spans="1:5" x14ac:dyDescent="0.25">
      <c r="A3487" t="str">
        <f>"41724352  "</f>
        <v xml:space="preserve">41724352  </v>
      </c>
      <c r="B3487" t="s">
        <v>3381</v>
      </c>
      <c r="C3487">
        <v>92.4</v>
      </c>
      <c r="D3487" t="str">
        <f t="shared" si="155"/>
        <v>250</v>
      </c>
      <c r="E3487" t="str">
        <f>"J8499"</f>
        <v>J8499</v>
      </c>
    </row>
    <row r="3488" spans="1:5" x14ac:dyDescent="0.25">
      <c r="A3488" t="str">
        <f>"41724410  "</f>
        <v xml:space="preserve">41724410  </v>
      </c>
      <c r="B3488" t="s">
        <v>3382</v>
      </c>
      <c r="C3488">
        <v>22</v>
      </c>
      <c r="D3488" t="str">
        <f t="shared" si="155"/>
        <v>250</v>
      </c>
      <c r="E3488" t="str">
        <f>"J8499"</f>
        <v>J8499</v>
      </c>
    </row>
    <row r="3489" spans="1:5" x14ac:dyDescent="0.25">
      <c r="A3489" t="str">
        <f>"41724428  "</f>
        <v xml:space="preserve">41724428  </v>
      </c>
      <c r="B3489" t="s">
        <v>3383</v>
      </c>
      <c r="C3489">
        <v>22</v>
      </c>
      <c r="D3489" t="str">
        <f t="shared" si="155"/>
        <v>250</v>
      </c>
      <c r="E3489" t="str">
        <f>"J8499"</f>
        <v>J8499</v>
      </c>
    </row>
    <row r="3490" spans="1:5" x14ac:dyDescent="0.25">
      <c r="A3490" t="str">
        <f>"41724469  "</f>
        <v xml:space="preserve">41724469  </v>
      </c>
      <c r="B3490" t="s">
        <v>3384</v>
      </c>
      <c r="C3490">
        <v>22</v>
      </c>
      <c r="D3490" t="str">
        <f t="shared" si="155"/>
        <v>250</v>
      </c>
      <c r="E3490" t="str">
        <f>"J8499"</f>
        <v>J8499</v>
      </c>
    </row>
    <row r="3491" spans="1:5" x14ac:dyDescent="0.25">
      <c r="A3491" t="str">
        <f>"41724501  "</f>
        <v xml:space="preserve">41724501  </v>
      </c>
      <c r="B3491" t="s">
        <v>3385</v>
      </c>
      <c r="C3491">
        <v>22</v>
      </c>
      <c r="D3491" t="str">
        <f t="shared" si="155"/>
        <v>250</v>
      </c>
      <c r="E3491" t="str">
        <f>"J8499"</f>
        <v>J8499</v>
      </c>
    </row>
    <row r="3492" spans="1:5" x14ac:dyDescent="0.25">
      <c r="A3492" t="str">
        <f>"41724550  "</f>
        <v xml:space="preserve">41724550  </v>
      </c>
      <c r="B3492" t="s">
        <v>3386</v>
      </c>
      <c r="C3492">
        <v>982.3</v>
      </c>
      <c r="D3492" t="str">
        <f t="shared" si="155"/>
        <v>250</v>
      </c>
      <c r="E3492" t="str">
        <f>"X6174"</f>
        <v>X6174</v>
      </c>
    </row>
    <row r="3493" spans="1:5" x14ac:dyDescent="0.25">
      <c r="A3493" t="str">
        <f>"41724550  "</f>
        <v xml:space="preserve">41724550  </v>
      </c>
      <c r="B3493" t="s">
        <v>3386</v>
      </c>
      <c r="C3493">
        <v>982.3</v>
      </c>
      <c r="D3493" t="str">
        <f t="shared" si="155"/>
        <v>250</v>
      </c>
      <c r="E3493" t="str">
        <f>"J1364"</f>
        <v>J1364</v>
      </c>
    </row>
    <row r="3494" spans="1:5" x14ac:dyDescent="0.25">
      <c r="A3494" t="str">
        <f>"41724600  "</f>
        <v xml:space="preserve">41724600  </v>
      </c>
      <c r="B3494" t="s">
        <v>3387</v>
      </c>
      <c r="C3494">
        <v>330</v>
      </c>
      <c r="D3494" t="str">
        <f t="shared" si="155"/>
        <v>250</v>
      </c>
      <c r="E3494" t="str">
        <f>"J3490"</f>
        <v>J3490</v>
      </c>
    </row>
    <row r="3495" spans="1:5" x14ac:dyDescent="0.25">
      <c r="A3495" t="str">
        <f>"41724626  "</f>
        <v xml:space="preserve">41724626  </v>
      </c>
      <c r="B3495" t="s">
        <v>3388</v>
      </c>
      <c r="C3495">
        <v>247.5</v>
      </c>
      <c r="D3495" t="str">
        <f t="shared" si="155"/>
        <v>250</v>
      </c>
      <c r="E3495" t="str">
        <f>"J1364"</f>
        <v>J1364</v>
      </c>
    </row>
    <row r="3496" spans="1:5" x14ac:dyDescent="0.25">
      <c r="A3496" t="str">
        <f>"41724659  "</f>
        <v xml:space="preserve">41724659  </v>
      </c>
      <c r="B3496" t="s">
        <v>3389</v>
      </c>
      <c r="C3496">
        <v>490.6</v>
      </c>
      <c r="D3496" t="str">
        <f t="shared" si="155"/>
        <v>250</v>
      </c>
      <c r="E3496" t="str">
        <f>"X6176"</f>
        <v>X6176</v>
      </c>
    </row>
    <row r="3497" spans="1:5" x14ac:dyDescent="0.25">
      <c r="A3497" t="str">
        <f>"41724659  "</f>
        <v xml:space="preserve">41724659  </v>
      </c>
      <c r="B3497" t="s">
        <v>3389</v>
      </c>
      <c r="C3497">
        <v>490.6</v>
      </c>
      <c r="D3497" t="str">
        <f t="shared" si="155"/>
        <v>250</v>
      </c>
      <c r="E3497" t="str">
        <f>"J1364"</f>
        <v>J1364</v>
      </c>
    </row>
    <row r="3498" spans="1:5" x14ac:dyDescent="0.25">
      <c r="A3498" t="str">
        <f>"41724709  "</f>
        <v xml:space="preserve">41724709  </v>
      </c>
      <c r="B3498" t="s">
        <v>3390</v>
      </c>
      <c r="C3498">
        <v>22</v>
      </c>
      <c r="D3498" t="str">
        <f t="shared" si="155"/>
        <v>250</v>
      </c>
      <c r="E3498" t="str">
        <f>"J8499"</f>
        <v>J8499</v>
      </c>
    </row>
    <row r="3499" spans="1:5" x14ac:dyDescent="0.25">
      <c r="A3499" t="str">
        <f>"41724816  "</f>
        <v xml:space="preserve">41724816  </v>
      </c>
      <c r="B3499" t="s">
        <v>3391</v>
      </c>
      <c r="C3499">
        <v>490.6</v>
      </c>
      <c r="D3499" t="str">
        <f t="shared" si="155"/>
        <v>250</v>
      </c>
      <c r="E3499" t="str">
        <f>"J1364"</f>
        <v>J1364</v>
      </c>
    </row>
    <row r="3500" spans="1:5" x14ac:dyDescent="0.25">
      <c r="A3500" t="str">
        <f>"41724907  "</f>
        <v xml:space="preserve">41724907  </v>
      </c>
      <c r="B3500" t="s">
        <v>3392</v>
      </c>
      <c r="C3500">
        <v>6.6</v>
      </c>
      <c r="D3500" t="str">
        <f t="shared" si="155"/>
        <v>250</v>
      </c>
      <c r="E3500" t="str">
        <f>"J8499"</f>
        <v>J8499</v>
      </c>
    </row>
    <row r="3501" spans="1:5" x14ac:dyDescent="0.25">
      <c r="A3501" t="str">
        <f>"41725201  "</f>
        <v xml:space="preserve">41725201  </v>
      </c>
      <c r="B3501" t="s">
        <v>3393</v>
      </c>
      <c r="C3501">
        <v>11</v>
      </c>
      <c r="D3501" t="str">
        <f t="shared" si="155"/>
        <v>250</v>
      </c>
      <c r="E3501" t="str">
        <f>"J8499"</f>
        <v>J8499</v>
      </c>
    </row>
    <row r="3502" spans="1:5" x14ac:dyDescent="0.25">
      <c r="A3502" t="str">
        <f>"41725458  "</f>
        <v xml:space="preserve">41725458  </v>
      </c>
      <c r="B3502" t="s">
        <v>3394</v>
      </c>
      <c r="C3502">
        <v>6.6</v>
      </c>
      <c r="D3502" t="str">
        <f>"257"</f>
        <v>257</v>
      </c>
      <c r="E3502" t="str">
        <f>"J3490"</f>
        <v>J3490</v>
      </c>
    </row>
    <row r="3503" spans="1:5" x14ac:dyDescent="0.25">
      <c r="A3503" t="str">
        <f>"41725508  "</f>
        <v xml:space="preserve">41725508  </v>
      </c>
      <c r="B3503" t="s">
        <v>3395</v>
      </c>
      <c r="C3503">
        <v>7.7</v>
      </c>
      <c r="D3503" t="str">
        <f>"250"</f>
        <v>250</v>
      </c>
      <c r="E3503" t="str">
        <f>"J8499"</f>
        <v>J8499</v>
      </c>
    </row>
    <row r="3504" spans="1:5" x14ac:dyDescent="0.25">
      <c r="A3504" t="str">
        <f>"41725557  "</f>
        <v xml:space="preserve">41725557  </v>
      </c>
      <c r="B3504" t="s">
        <v>3396</v>
      </c>
      <c r="C3504">
        <v>11</v>
      </c>
      <c r="D3504" t="str">
        <f>"250"</f>
        <v>250</v>
      </c>
      <c r="E3504" t="str">
        <f>"J8499"</f>
        <v>J8499</v>
      </c>
    </row>
    <row r="3505" spans="1:5" x14ac:dyDescent="0.25">
      <c r="A3505" t="str">
        <f>"41725599  "</f>
        <v xml:space="preserve">41725599  </v>
      </c>
      <c r="B3505" t="s">
        <v>3397</v>
      </c>
      <c r="C3505">
        <v>159.5</v>
      </c>
      <c r="D3505" t="str">
        <f>"250"</f>
        <v>250</v>
      </c>
      <c r="E3505" t="str">
        <f>"J3490"</f>
        <v>J3490</v>
      </c>
    </row>
    <row r="3506" spans="1:5" x14ac:dyDescent="0.25">
      <c r="A3506" t="str">
        <f>"41725607  "</f>
        <v xml:space="preserve">41725607  </v>
      </c>
      <c r="B3506" t="s">
        <v>3398</v>
      </c>
      <c r="C3506">
        <v>6.6</v>
      </c>
      <c r="D3506" t="str">
        <f t="shared" ref="D3506:D3512" si="156">"257"</f>
        <v>257</v>
      </c>
      <c r="E3506" t="str">
        <f>"J3490"</f>
        <v>J3490</v>
      </c>
    </row>
    <row r="3507" spans="1:5" x14ac:dyDescent="0.25">
      <c r="A3507" t="str">
        <f>"41725623  "</f>
        <v xml:space="preserve">41725623  </v>
      </c>
      <c r="B3507" t="s">
        <v>3399</v>
      </c>
      <c r="C3507">
        <v>16.5</v>
      </c>
      <c r="D3507" t="str">
        <f t="shared" si="156"/>
        <v>257</v>
      </c>
      <c r="E3507" t="str">
        <f>"J3490"</f>
        <v>J3490</v>
      </c>
    </row>
    <row r="3508" spans="1:5" x14ac:dyDescent="0.25">
      <c r="A3508" t="str">
        <f>"41725656  "</f>
        <v xml:space="preserve">41725656  </v>
      </c>
      <c r="B3508" t="s">
        <v>3400</v>
      </c>
      <c r="C3508">
        <v>6.6</v>
      </c>
      <c r="D3508" t="str">
        <f t="shared" si="156"/>
        <v>257</v>
      </c>
      <c r="E3508" t="str">
        <f>"J3490"</f>
        <v>J3490</v>
      </c>
    </row>
    <row r="3509" spans="1:5" x14ac:dyDescent="0.25">
      <c r="A3509" t="str">
        <f>"41725706  "</f>
        <v xml:space="preserve">41725706  </v>
      </c>
      <c r="B3509" t="s">
        <v>3401</v>
      </c>
      <c r="C3509">
        <v>6.6</v>
      </c>
      <c r="D3509" t="str">
        <f t="shared" si="156"/>
        <v>257</v>
      </c>
      <c r="E3509" t="str">
        <f>"J3490"</f>
        <v>J3490</v>
      </c>
    </row>
    <row r="3510" spans="1:5" x14ac:dyDescent="0.25">
      <c r="A3510" t="str">
        <f>"41725763  "</f>
        <v xml:space="preserve">41725763  </v>
      </c>
      <c r="B3510" t="s">
        <v>3402</v>
      </c>
      <c r="C3510">
        <v>74.8</v>
      </c>
      <c r="D3510" t="str">
        <f t="shared" si="156"/>
        <v>257</v>
      </c>
    </row>
    <row r="3511" spans="1:5" x14ac:dyDescent="0.25">
      <c r="A3511" t="str">
        <f>"41725805  "</f>
        <v xml:space="preserve">41725805  </v>
      </c>
      <c r="B3511" t="s">
        <v>3403</v>
      </c>
      <c r="C3511">
        <v>6.6</v>
      </c>
      <c r="D3511" t="str">
        <f t="shared" si="156"/>
        <v>257</v>
      </c>
      <c r="E3511" t="str">
        <f>"J3490"</f>
        <v>J3490</v>
      </c>
    </row>
    <row r="3512" spans="1:5" x14ac:dyDescent="0.25">
      <c r="A3512" t="str">
        <f>"41725854  "</f>
        <v xml:space="preserve">41725854  </v>
      </c>
      <c r="B3512" t="s">
        <v>3404</v>
      </c>
      <c r="C3512">
        <v>6.6</v>
      </c>
      <c r="D3512" t="str">
        <f t="shared" si="156"/>
        <v>257</v>
      </c>
      <c r="E3512" t="str">
        <f>"J3490"</f>
        <v>J3490</v>
      </c>
    </row>
    <row r="3513" spans="1:5" x14ac:dyDescent="0.25">
      <c r="A3513" t="str">
        <f>"41726001  "</f>
        <v xml:space="preserve">41726001  </v>
      </c>
      <c r="B3513" t="s">
        <v>3405</v>
      </c>
      <c r="C3513">
        <v>8.8000000000000007</v>
      </c>
      <c r="D3513" t="str">
        <f t="shared" ref="D3513:D3521" si="157">"250"</f>
        <v>250</v>
      </c>
      <c r="E3513" t="str">
        <f>"J8499"</f>
        <v>J8499</v>
      </c>
    </row>
    <row r="3514" spans="1:5" x14ac:dyDescent="0.25">
      <c r="A3514" t="str">
        <f>"41726100  "</f>
        <v xml:space="preserve">41726100  </v>
      </c>
      <c r="B3514" t="s">
        <v>3406</v>
      </c>
      <c r="C3514">
        <v>8.8000000000000007</v>
      </c>
      <c r="D3514" t="str">
        <f t="shared" si="157"/>
        <v>250</v>
      </c>
      <c r="E3514" t="str">
        <f>"J8499"</f>
        <v>J8499</v>
      </c>
    </row>
    <row r="3515" spans="1:5" x14ac:dyDescent="0.25">
      <c r="A3515" t="str">
        <f>"41726118  "</f>
        <v xml:space="preserve">41726118  </v>
      </c>
      <c r="B3515" t="s">
        <v>3407</v>
      </c>
      <c r="C3515">
        <v>8.8000000000000007</v>
      </c>
      <c r="D3515" t="str">
        <f t="shared" si="157"/>
        <v>250</v>
      </c>
      <c r="E3515" t="str">
        <f>"J8499"</f>
        <v>J8499</v>
      </c>
    </row>
    <row r="3516" spans="1:5" x14ac:dyDescent="0.25">
      <c r="A3516" t="str">
        <f>"41726159  "</f>
        <v xml:space="preserve">41726159  </v>
      </c>
      <c r="B3516" t="s">
        <v>3408</v>
      </c>
      <c r="C3516">
        <v>12.1</v>
      </c>
      <c r="D3516" t="str">
        <f t="shared" si="157"/>
        <v>250</v>
      </c>
      <c r="E3516" t="str">
        <f>"J8499"</f>
        <v>J8499</v>
      </c>
    </row>
    <row r="3517" spans="1:5" x14ac:dyDescent="0.25">
      <c r="A3517" t="str">
        <f>"41726209  "</f>
        <v xml:space="preserve">41726209  </v>
      </c>
      <c r="B3517" t="s">
        <v>3409</v>
      </c>
      <c r="C3517">
        <v>7.7</v>
      </c>
      <c r="D3517" t="str">
        <f t="shared" si="157"/>
        <v>250</v>
      </c>
      <c r="E3517" t="str">
        <f>"J8499"</f>
        <v>J8499</v>
      </c>
    </row>
    <row r="3518" spans="1:5" x14ac:dyDescent="0.25">
      <c r="A3518" t="str">
        <f>"41726258  "</f>
        <v xml:space="preserve">41726258  </v>
      </c>
      <c r="B3518" t="s">
        <v>3410</v>
      </c>
      <c r="C3518">
        <v>122.1</v>
      </c>
      <c r="D3518" t="str">
        <f t="shared" si="157"/>
        <v>250</v>
      </c>
      <c r="E3518" t="str">
        <f>"90779"</f>
        <v>90779</v>
      </c>
    </row>
    <row r="3519" spans="1:5" x14ac:dyDescent="0.25">
      <c r="A3519" t="str">
        <f>"41726258  "</f>
        <v xml:space="preserve">41726258  </v>
      </c>
      <c r="B3519" t="s">
        <v>3410</v>
      </c>
      <c r="C3519">
        <v>122.1</v>
      </c>
      <c r="D3519" t="str">
        <f t="shared" si="157"/>
        <v>250</v>
      </c>
      <c r="E3519" t="str">
        <f>"J3490"</f>
        <v>J3490</v>
      </c>
    </row>
    <row r="3520" spans="1:5" x14ac:dyDescent="0.25">
      <c r="A3520" t="str">
        <f>"41726308  "</f>
        <v xml:space="preserve">41726308  </v>
      </c>
      <c r="B3520" t="s">
        <v>3411</v>
      </c>
      <c r="C3520">
        <v>16.5</v>
      </c>
      <c r="D3520" t="str">
        <f t="shared" si="157"/>
        <v>250</v>
      </c>
      <c r="E3520" t="str">
        <f>"J3490"</f>
        <v>J3490</v>
      </c>
    </row>
    <row r="3521" spans="1:5" x14ac:dyDescent="0.25">
      <c r="A3521" t="str">
        <f>"41726324  "</f>
        <v xml:space="preserve">41726324  </v>
      </c>
      <c r="B3521" t="s">
        <v>3412</v>
      </c>
      <c r="C3521" s="1">
        <v>3385.8</v>
      </c>
      <c r="D3521" t="str">
        <f t="shared" si="157"/>
        <v>250</v>
      </c>
    </row>
    <row r="3522" spans="1:5" x14ac:dyDescent="0.25">
      <c r="A3522" t="str">
        <f>"41726357  "</f>
        <v xml:space="preserve">41726357  </v>
      </c>
      <c r="B3522" t="s">
        <v>3413</v>
      </c>
      <c r="C3522">
        <v>22</v>
      </c>
      <c r="D3522" t="str">
        <f>"257"</f>
        <v>257</v>
      </c>
      <c r="E3522" t="str">
        <f>"J3490"</f>
        <v>J3490</v>
      </c>
    </row>
    <row r="3523" spans="1:5" x14ac:dyDescent="0.25">
      <c r="A3523" t="str">
        <f>"41726365  "</f>
        <v xml:space="preserve">41726365  </v>
      </c>
      <c r="B3523" t="s">
        <v>3414</v>
      </c>
      <c r="C3523">
        <v>55</v>
      </c>
      <c r="D3523" t="str">
        <f>"250"</f>
        <v>250</v>
      </c>
      <c r="E3523" t="str">
        <f>"J3490"</f>
        <v>J3490</v>
      </c>
    </row>
    <row r="3524" spans="1:5" x14ac:dyDescent="0.25">
      <c r="A3524" t="str">
        <f>"41726407  "</f>
        <v xml:space="preserve">41726407  </v>
      </c>
      <c r="B3524" t="s">
        <v>3415</v>
      </c>
      <c r="C3524">
        <v>8.8000000000000007</v>
      </c>
      <c r="D3524" t="str">
        <f>"250"</f>
        <v>250</v>
      </c>
      <c r="E3524" t="str">
        <f>"J8499"</f>
        <v>J8499</v>
      </c>
    </row>
    <row r="3525" spans="1:5" x14ac:dyDescent="0.25">
      <c r="A3525" t="str">
        <f>"41726431  "</f>
        <v xml:space="preserve">41726431  </v>
      </c>
      <c r="B3525" t="s">
        <v>3416</v>
      </c>
      <c r="C3525">
        <v>56.1</v>
      </c>
      <c r="D3525" t="str">
        <f>"250"</f>
        <v>250</v>
      </c>
    </row>
    <row r="3526" spans="1:5" x14ac:dyDescent="0.25">
      <c r="A3526" t="str">
        <f>"41726530  "</f>
        <v xml:space="preserve">41726530  </v>
      </c>
      <c r="B3526" t="s">
        <v>3417</v>
      </c>
      <c r="C3526">
        <v>27.5</v>
      </c>
      <c r="D3526" t="str">
        <f>"257"</f>
        <v>257</v>
      </c>
    </row>
    <row r="3527" spans="1:5" x14ac:dyDescent="0.25">
      <c r="A3527" t="str">
        <f>"41726571  "</f>
        <v xml:space="preserve">41726571  </v>
      </c>
      <c r="B3527" t="s">
        <v>3418</v>
      </c>
      <c r="C3527">
        <v>26.4</v>
      </c>
      <c r="D3527" t="str">
        <f>"250"</f>
        <v>250</v>
      </c>
      <c r="E3527" t="str">
        <f>"J8499"</f>
        <v>J8499</v>
      </c>
    </row>
    <row r="3528" spans="1:5" x14ac:dyDescent="0.25">
      <c r="A3528" t="str">
        <f>"41726605  "</f>
        <v xml:space="preserve">41726605  </v>
      </c>
      <c r="B3528" t="s">
        <v>3419</v>
      </c>
      <c r="C3528">
        <v>6.6</v>
      </c>
      <c r="D3528" t="str">
        <f>"257"</f>
        <v>257</v>
      </c>
      <c r="E3528" t="str">
        <f>"J3490"</f>
        <v>J3490</v>
      </c>
    </row>
    <row r="3529" spans="1:5" x14ac:dyDescent="0.25">
      <c r="A3529" t="str">
        <f>"41726613  "</f>
        <v xml:space="preserve">41726613  </v>
      </c>
      <c r="B3529" t="s">
        <v>3420</v>
      </c>
      <c r="C3529">
        <v>35.200000000000003</v>
      </c>
      <c r="D3529" t="str">
        <f t="shared" ref="D3529:D3545" si="158">"250"</f>
        <v>250</v>
      </c>
      <c r="E3529" t="str">
        <f>"X6226"</f>
        <v>X6226</v>
      </c>
    </row>
    <row r="3530" spans="1:5" x14ac:dyDescent="0.25">
      <c r="A3530" t="str">
        <f>"41726613  "</f>
        <v xml:space="preserve">41726613  </v>
      </c>
      <c r="B3530" t="s">
        <v>3420</v>
      </c>
      <c r="C3530">
        <v>35.200000000000003</v>
      </c>
      <c r="D3530" t="str">
        <f t="shared" si="158"/>
        <v>250</v>
      </c>
      <c r="E3530" t="str">
        <f>"J3490"</f>
        <v>J3490</v>
      </c>
    </row>
    <row r="3531" spans="1:5" x14ac:dyDescent="0.25">
      <c r="A3531" t="str">
        <f>"41726654  "</f>
        <v xml:space="preserve">41726654  </v>
      </c>
      <c r="B3531" t="s">
        <v>3421</v>
      </c>
      <c r="C3531">
        <v>6.6</v>
      </c>
      <c r="D3531" t="str">
        <f t="shared" si="158"/>
        <v>250</v>
      </c>
      <c r="E3531" t="str">
        <f>"J8499"</f>
        <v>J8499</v>
      </c>
    </row>
    <row r="3532" spans="1:5" x14ac:dyDescent="0.25">
      <c r="A3532" t="str">
        <f>"41726696  "</f>
        <v xml:space="preserve">41726696  </v>
      </c>
      <c r="B3532" t="s">
        <v>3422</v>
      </c>
      <c r="C3532">
        <v>8.8000000000000007</v>
      </c>
      <c r="D3532" t="str">
        <f t="shared" si="158"/>
        <v>250</v>
      </c>
      <c r="E3532" t="str">
        <f>"J8499"</f>
        <v>J8499</v>
      </c>
    </row>
    <row r="3533" spans="1:5" x14ac:dyDescent="0.25">
      <c r="A3533" t="str">
        <f>"41726704  "</f>
        <v xml:space="preserve">41726704  </v>
      </c>
      <c r="B3533" t="s">
        <v>3423</v>
      </c>
      <c r="C3533">
        <v>69.3</v>
      </c>
      <c r="D3533" t="str">
        <f t="shared" si="158"/>
        <v>250</v>
      </c>
      <c r="E3533" t="str">
        <f>"J3490"</f>
        <v>J3490</v>
      </c>
    </row>
    <row r="3534" spans="1:5" x14ac:dyDescent="0.25">
      <c r="A3534" t="str">
        <f>"41726761  "</f>
        <v xml:space="preserve">41726761  </v>
      </c>
      <c r="B3534" t="s">
        <v>3424</v>
      </c>
      <c r="C3534">
        <v>121</v>
      </c>
      <c r="D3534" t="str">
        <f t="shared" si="158"/>
        <v>250</v>
      </c>
      <c r="E3534" t="str">
        <f>"X6036"</f>
        <v>X6036</v>
      </c>
    </row>
    <row r="3535" spans="1:5" x14ac:dyDescent="0.25">
      <c r="A3535" t="str">
        <f>"41726761  "</f>
        <v xml:space="preserve">41726761  </v>
      </c>
      <c r="B3535" t="s">
        <v>3424</v>
      </c>
      <c r="C3535">
        <v>121</v>
      </c>
      <c r="D3535" t="str">
        <f t="shared" si="158"/>
        <v>250</v>
      </c>
      <c r="E3535" t="str">
        <f>"J1040"</f>
        <v>J1040</v>
      </c>
    </row>
    <row r="3536" spans="1:5" x14ac:dyDescent="0.25">
      <c r="A3536" t="str">
        <f>"41726795  "</f>
        <v xml:space="preserve">41726795  </v>
      </c>
      <c r="B3536" t="s">
        <v>3425</v>
      </c>
      <c r="C3536">
        <v>66</v>
      </c>
      <c r="D3536" t="str">
        <f t="shared" si="158"/>
        <v>250</v>
      </c>
      <c r="E3536" t="str">
        <f>"J0713"</f>
        <v>J0713</v>
      </c>
    </row>
    <row r="3537" spans="1:5" x14ac:dyDescent="0.25">
      <c r="A3537" t="str">
        <f>"41726811  "</f>
        <v xml:space="preserve">41726811  </v>
      </c>
      <c r="B3537" t="s">
        <v>3426</v>
      </c>
      <c r="C3537">
        <v>132</v>
      </c>
      <c r="D3537" t="str">
        <f t="shared" si="158"/>
        <v>250</v>
      </c>
    </row>
    <row r="3538" spans="1:5" x14ac:dyDescent="0.25">
      <c r="A3538" t="str">
        <f>"41726829  "</f>
        <v xml:space="preserve">41726829  </v>
      </c>
      <c r="B3538" t="s">
        <v>3427</v>
      </c>
      <c r="C3538">
        <v>253.97</v>
      </c>
      <c r="D3538" t="str">
        <f t="shared" si="158"/>
        <v>250</v>
      </c>
      <c r="E3538" t="str">
        <f>"J3535"</f>
        <v>J3535</v>
      </c>
    </row>
    <row r="3539" spans="1:5" x14ac:dyDescent="0.25">
      <c r="A3539" t="str">
        <f>"41726860  "</f>
        <v xml:space="preserve">41726860  </v>
      </c>
      <c r="B3539" t="s">
        <v>3428</v>
      </c>
      <c r="C3539">
        <v>19.8</v>
      </c>
      <c r="D3539" t="str">
        <f t="shared" si="158"/>
        <v>250</v>
      </c>
      <c r="E3539" t="str">
        <f>"J8499"</f>
        <v>J8499</v>
      </c>
    </row>
    <row r="3540" spans="1:5" x14ac:dyDescent="0.25">
      <c r="A3540" t="str">
        <f>"41726910  "</f>
        <v xml:space="preserve">41726910  </v>
      </c>
      <c r="B3540" t="s">
        <v>3429</v>
      </c>
      <c r="C3540">
        <v>8.8000000000000007</v>
      </c>
      <c r="D3540" t="str">
        <f t="shared" si="158"/>
        <v>250</v>
      </c>
      <c r="E3540" t="str">
        <f>"J8499"</f>
        <v>J8499</v>
      </c>
    </row>
    <row r="3541" spans="1:5" x14ac:dyDescent="0.25">
      <c r="A3541" t="str">
        <f>"41727314  "</f>
        <v xml:space="preserve">41727314  </v>
      </c>
      <c r="B3541" t="s">
        <v>3430</v>
      </c>
      <c r="C3541">
        <v>64.900000000000006</v>
      </c>
      <c r="D3541" t="str">
        <f t="shared" si="158"/>
        <v>250</v>
      </c>
      <c r="E3541" t="str">
        <f>"J1460"</f>
        <v>J1460</v>
      </c>
    </row>
    <row r="3542" spans="1:5" x14ac:dyDescent="0.25">
      <c r="A3542" t="str">
        <f>"41727322  "</f>
        <v xml:space="preserve">41727322  </v>
      </c>
      <c r="B3542" t="s">
        <v>3431</v>
      </c>
      <c r="C3542">
        <v>6.6</v>
      </c>
      <c r="D3542" t="str">
        <f t="shared" si="158"/>
        <v>250</v>
      </c>
      <c r="E3542" t="str">
        <f>"J8499"</f>
        <v>J8499</v>
      </c>
    </row>
    <row r="3543" spans="1:5" x14ac:dyDescent="0.25">
      <c r="A3543" t="str">
        <f>"41727504  "</f>
        <v xml:space="preserve">41727504  </v>
      </c>
      <c r="B3543" t="s">
        <v>3432</v>
      </c>
      <c r="C3543">
        <v>6.6</v>
      </c>
      <c r="D3543" t="str">
        <f t="shared" si="158"/>
        <v>250</v>
      </c>
      <c r="E3543" t="str">
        <f>"J8499"</f>
        <v>J8499</v>
      </c>
    </row>
    <row r="3544" spans="1:5" x14ac:dyDescent="0.25">
      <c r="A3544" t="str">
        <f>"41727603  "</f>
        <v xml:space="preserve">41727603  </v>
      </c>
      <c r="B3544" t="s">
        <v>3433</v>
      </c>
      <c r="C3544">
        <v>63.8</v>
      </c>
      <c r="D3544" t="str">
        <f t="shared" si="158"/>
        <v>250</v>
      </c>
      <c r="E3544" t="str">
        <f>"J8499"</f>
        <v>J8499</v>
      </c>
    </row>
    <row r="3545" spans="1:5" x14ac:dyDescent="0.25">
      <c r="A3545" t="str">
        <f>"41727652  "</f>
        <v xml:space="preserve">41727652  </v>
      </c>
      <c r="B3545" t="s">
        <v>3434</v>
      </c>
      <c r="C3545">
        <v>126.5</v>
      </c>
      <c r="D3545" t="str">
        <f t="shared" si="158"/>
        <v>250</v>
      </c>
      <c r="E3545" t="str">
        <f>"J1580"</f>
        <v>J1580</v>
      </c>
    </row>
    <row r="3546" spans="1:5" x14ac:dyDescent="0.25">
      <c r="A3546" t="str">
        <f>"41727751  "</f>
        <v xml:space="preserve">41727751  </v>
      </c>
      <c r="B3546" t="s">
        <v>3435</v>
      </c>
      <c r="C3546">
        <v>6.6</v>
      </c>
      <c r="D3546" t="str">
        <f>"257"</f>
        <v>257</v>
      </c>
      <c r="E3546" t="str">
        <f>"J3490"</f>
        <v>J3490</v>
      </c>
    </row>
    <row r="3547" spans="1:5" x14ac:dyDescent="0.25">
      <c r="A3547" t="str">
        <f>"41727850  "</f>
        <v xml:space="preserve">41727850  </v>
      </c>
      <c r="B3547" t="s">
        <v>3436</v>
      </c>
      <c r="C3547">
        <v>207.9</v>
      </c>
      <c r="D3547" t="str">
        <f t="shared" ref="D3547:D3553" si="159">"250"</f>
        <v>250</v>
      </c>
      <c r="E3547" t="str">
        <f>"J3490"</f>
        <v>J3490</v>
      </c>
    </row>
    <row r="3548" spans="1:5" x14ac:dyDescent="0.25">
      <c r="A3548" t="str">
        <f>"41727918  "</f>
        <v xml:space="preserve">41727918  </v>
      </c>
      <c r="B3548" t="s">
        <v>3437</v>
      </c>
      <c r="C3548" s="1">
        <v>3267</v>
      </c>
      <c r="D3548" t="str">
        <f t="shared" si="159"/>
        <v>250</v>
      </c>
    </row>
    <row r="3549" spans="1:5" x14ac:dyDescent="0.25">
      <c r="A3549" t="str">
        <f>"41727975  "</f>
        <v xml:space="preserve">41727975  </v>
      </c>
      <c r="B3549" t="s">
        <v>3438</v>
      </c>
      <c r="C3549">
        <v>88</v>
      </c>
      <c r="D3549" t="str">
        <f t="shared" si="159"/>
        <v>250</v>
      </c>
      <c r="E3549" t="str">
        <f>"J3490"</f>
        <v>J3490</v>
      </c>
    </row>
    <row r="3550" spans="1:5" x14ac:dyDescent="0.25">
      <c r="A3550" t="str">
        <f>"41727983  "</f>
        <v xml:space="preserve">41727983  </v>
      </c>
      <c r="B3550" t="s">
        <v>3439</v>
      </c>
      <c r="C3550">
        <v>44</v>
      </c>
      <c r="D3550" t="str">
        <f t="shared" si="159"/>
        <v>250</v>
      </c>
      <c r="E3550" t="str">
        <f>"J3490"</f>
        <v>J3490</v>
      </c>
    </row>
    <row r="3551" spans="1:5" x14ac:dyDescent="0.25">
      <c r="A3551" t="str">
        <f>"41728106  "</f>
        <v xml:space="preserve">41728106  </v>
      </c>
      <c r="B3551" t="s">
        <v>3440</v>
      </c>
      <c r="C3551">
        <v>28.6</v>
      </c>
      <c r="D3551" t="str">
        <f t="shared" si="159"/>
        <v>250</v>
      </c>
      <c r="E3551" t="str">
        <f>"X6240"</f>
        <v>X6240</v>
      </c>
    </row>
    <row r="3552" spans="1:5" x14ac:dyDescent="0.25">
      <c r="A3552" t="str">
        <f>"41728106  "</f>
        <v xml:space="preserve">41728106  </v>
      </c>
      <c r="B3552" t="s">
        <v>3440</v>
      </c>
      <c r="C3552">
        <v>28.6</v>
      </c>
      <c r="D3552" t="str">
        <f t="shared" si="159"/>
        <v>250</v>
      </c>
      <c r="E3552" t="str">
        <f>"J1580"</f>
        <v>J1580</v>
      </c>
    </row>
    <row r="3553" spans="1:5" x14ac:dyDescent="0.25">
      <c r="A3553" t="str">
        <f>"41728163  "</f>
        <v xml:space="preserve">41728163  </v>
      </c>
      <c r="B3553" t="s">
        <v>3441</v>
      </c>
      <c r="C3553">
        <v>7.7</v>
      </c>
      <c r="D3553" t="str">
        <f t="shared" si="159"/>
        <v>250</v>
      </c>
      <c r="E3553" t="str">
        <f>"J8499"</f>
        <v>J8499</v>
      </c>
    </row>
    <row r="3554" spans="1:5" x14ac:dyDescent="0.25">
      <c r="A3554" t="str">
        <f>"41728205  "</f>
        <v xml:space="preserve">41728205  </v>
      </c>
      <c r="B3554" t="s">
        <v>3442</v>
      </c>
      <c r="C3554">
        <v>16.5</v>
      </c>
      <c r="D3554" t="str">
        <f>"257"</f>
        <v>257</v>
      </c>
      <c r="E3554" t="str">
        <f>"J3490"</f>
        <v>J3490</v>
      </c>
    </row>
    <row r="3555" spans="1:5" x14ac:dyDescent="0.25">
      <c r="A3555" t="str">
        <f>"41728353  "</f>
        <v xml:space="preserve">41728353  </v>
      </c>
      <c r="B3555" t="s">
        <v>3443</v>
      </c>
      <c r="C3555">
        <v>6.6</v>
      </c>
      <c r="D3555" t="str">
        <f>"250"</f>
        <v>250</v>
      </c>
      <c r="E3555" t="str">
        <f>"J8499"</f>
        <v>J8499</v>
      </c>
    </row>
    <row r="3556" spans="1:5" x14ac:dyDescent="0.25">
      <c r="A3556" t="str">
        <f>"41728403  "</f>
        <v xml:space="preserve">41728403  </v>
      </c>
      <c r="B3556" t="s">
        <v>3444</v>
      </c>
      <c r="C3556" s="1">
        <v>1353</v>
      </c>
      <c r="D3556" t="str">
        <f>"250"</f>
        <v>250</v>
      </c>
      <c r="E3556" t="str">
        <f>"X6254"</f>
        <v>X6254</v>
      </c>
    </row>
    <row r="3557" spans="1:5" x14ac:dyDescent="0.25">
      <c r="A3557" t="str">
        <f>"41728403  "</f>
        <v xml:space="preserve">41728403  </v>
      </c>
      <c r="B3557" t="s">
        <v>3444</v>
      </c>
      <c r="C3557" s="1">
        <v>1353</v>
      </c>
      <c r="D3557" t="str">
        <f>"250"</f>
        <v>250</v>
      </c>
      <c r="E3557" t="str">
        <f>"J1610"</f>
        <v>J1610</v>
      </c>
    </row>
    <row r="3558" spans="1:5" x14ac:dyDescent="0.25">
      <c r="A3558" t="str">
        <f>"41728502  "</f>
        <v xml:space="preserve">41728502  </v>
      </c>
      <c r="B3558" t="s">
        <v>3445</v>
      </c>
      <c r="C3558">
        <v>7.7</v>
      </c>
      <c r="D3558" t="str">
        <f>"257"</f>
        <v>257</v>
      </c>
      <c r="E3558" t="str">
        <f>"J8499"</f>
        <v>J8499</v>
      </c>
    </row>
    <row r="3559" spans="1:5" x14ac:dyDescent="0.25">
      <c r="A3559" t="str">
        <f>"41728528  "</f>
        <v xml:space="preserve">41728528  </v>
      </c>
      <c r="B3559" t="s">
        <v>3446</v>
      </c>
      <c r="C3559">
        <v>6.6</v>
      </c>
      <c r="D3559" t="str">
        <f>"257"</f>
        <v>257</v>
      </c>
    </row>
    <row r="3560" spans="1:5" x14ac:dyDescent="0.25">
      <c r="A3560" t="str">
        <f>"41728536  "</f>
        <v xml:space="preserve">41728536  </v>
      </c>
      <c r="B3560" t="s">
        <v>3447</v>
      </c>
      <c r="C3560">
        <v>8.8000000000000007</v>
      </c>
      <c r="D3560" t="str">
        <f>"250"</f>
        <v>250</v>
      </c>
    </row>
    <row r="3561" spans="1:5" x14ac:dyDescent="0.25">
      <c r="A3561" t="str">
        <f>"41728601  "</f>
        <v xml:space="preserve">41728601  </v>
      </c>
      <c r="B3561" t="s">
        <v>3448</v>
      </c>
      <c r="C3561">
        <v>124.3</v>
      </c>
      <c r="D3561" t="str">
        <f>"250"</f>
        <v>250</v>
      </c>
      <c r="E3561" t="str">
        <f>"J8499"</f>
        <v>J8499</v>
      </c>
    </row>
    <row r="3562" spans="1:5" x14ac:dyDescent="0.25">
      <c r="A3562" t="str">
        <f>"41728650  "</f>
        <v xml:space="preserve">41728650  </v>
      </c>
      <c r="B3562" t="s">
        <v>3449</v>
      </c>
      <c r="C3562">
        <v>7.7</v>
      </c>
      <c r="D3562" t="str">
        <f>"250"</f>
        <v>250</v>
      </c>
      <c r="E3562" t="str">
        <f>"J8499"</f>
        <v>J8499</v>
      </c>
    </row>
    <row r="3563" spans="1:5" x14ac:dyDescent="0.25">
      <c r="A3563" t="str">
        <f>"41728767  "</f>
        <v xml:space="preserve">41728767  </v>
      </c>
      <c r="B3563" t="s">
        <v>3450</v>
      </c>
      <c r="C3563">
        <v>147.4</v>
      </c>
      <c r="D3563" t="str">
        <f>"257"</f>
        <v>257</v>
      </c>
      <c r="E3563" t="str">
        <f>"J3490"</f>
        <v>J3490</v>
      </c>
    </row>
    <row r="3564" spans="1:5" x14ac:dyDescent="0.25">
      <c r="A3564" t="str">
        <f>"41728775  "</f>
        <v xml:space="preserve">41728775  </v>
      </c>
      <c r="B3564" t="s">
        <v>3451</v>
      </c>
      <c r="C3564">
        <v>92.4</v>
      </c>
      <c r="D3564" t="str">
        <f>"257"</f>
        <v>257</v>
      </c>
      <c r="E3564" t="str">
        <f>"J3490"</f>
        <v>J3490</v>
      </c>
    </row>
    <row r="3565" spans="1:5" x14ac:dyDescent="0.25">
      <c r="A3565" t="str">
        <f>"41728809  "</f>
        <v xml:space="preserve">41728809  </v>
      </c>
      <c r="B3565" t="s">
        <v>3452</v>
      </c>
      <c r="C3565">
        <v>6.6</v>
      </c>
      <c r="D3565" t="str">
        <f t="shared" ref="D3565:D3599" si="160">"250"</f>
        <v>250</v>
      </c>
      <c r="E3565" t="str">
        <f>"J8499"</f>
        <v>J8499</v>
      </c>
    </row>
    <row r="3566" spans="1:5" x14ac:dyDescent="0.25">
      <c r="A3566" t="str">
        <f>"41728817  "</f>
        <v xml:space="preserve">41728817  </v>
      </c>
      <c r="B3566" t="s">
        <v>3453</v>
      </c>
      <c r="C3566">
        <v>8.8000000000000007</v>
      </c>
      <c r="D3566" t="str">
        <f t="shared" si="160"/>
        <v>250</v>
      </c>
      <c r="E3566" t="str">
        <f>"J8499"</f>
        <v>J8499</v>
      </c>
    </row>
    <row r="3567" spans="1:5" x14ac:dyDescent="0.25">
      <c r="A3567" t="str">
        <f>"41728874  "</f>
        <v xml:space="preserve">41728874  </v>
      </c>
      <c r="B3567" t="s">
        <v>3454</v>
      </c>
      <c r="C3567">
        <v>7.7</v>
      </c>
      <c r="D3567" t="str">
        <f t="shared" si="160"/>
        <v>250</v>
      </c>
      <c r="E3567" t="str">
        <f>"J8499"</f>
        <v>J8499</v>
      </c>
    </row>
    <row r="3568" spans="1:5" x14ac:dyDescent="0.25">
      <c r="A3568" t="str">
        <f>"41728908  "</f>
        <v xml:space="preserve">41728908  </v>
      </c>
      <c r="B3568" t="s">
        <v>3455</v>
      </c>
      <c r="C3568">
        <v>7.7</v>
      </c>
      <c r="D3568" t="str">
        <f t="shared" si="160"/>
        <v>250</v>
      </c>
      <c r="E3568" t="str">
        <f>"J8499"</f>
        <v>J8499</v>
      </c>
    </row>
    <row r="3569" spans="1:5" x14ac:dyDescent="0.25">
      <c r="A3569" t="str">
        <f>"41729005  "</f>
        <v xml:space="preserve">41729005  </v>
      </c>
      <c r="B3569" t="s">
        <v>3456</v>
      </c>
      <c r="C3569">
        <v>46.2</v>
      </c>
      <c r="D3569" t="str">
        <f t="shared" si="160"/>
        <v>250</v>
      </c>
    </row>
    <row r="3570" spans="1:5" x14ac:dyDescent="0.25">
      <c r="A3570" t="str">
        <f>"41729054  "</f>
        <v xml:space="preserve">41729054  </v>
      </c>
      <c r="B3570" t="s">
        <v>3457</v>
      </c>
      <c r="C3570">
        <v>8.8000000000000007</v>
      </c>
      <c r="D3570" t="str">
        <f t="shared" si="160"/>
        <v>250</v>
      </c>
      <c r="E3570" t="str">
        <f>"J8499"</f>
        <v>J8499</v>
      </c>
    </row>
    <row r="3571" spans="1:5" x14ac:dyDescent="0.25">
      <c r="A3571" t="str">
        <f>"41729112  "</f>
        <v xml:space="preserve">41729112  </v>
      </c>
      <c r="B3571" t="s">
        <v>3458</v>
      </c>
      <c r="C3571">
        <v>499.4</v>
      </c>
      <c r="D3571" t="str">
        <f t="shared" si="160"/>
        <v>250</v>
      </c>
      <c r="E3571" t="str">
        <f>"X6280"</f>
        <v>X6280</v>
      </c>
    </row>
    <row r="3572" spans="1:5" x14ac:dyDescent="0.25">
      <c r="A3572" t="str">
        <f>"41729112  "</f>
        <v xml:space="preserve">41729112  </v>
      </c>
      <c r="B3572" t="s">
        <v>3458</v>
      </c>
      <c r="C3572">
        <v>499.4</v>
      </c>
      <c r="D3572" t="str">
        <f t="shared" si="160"/>
        <v>250</v>
      </c>
      <c r="E3572" t="str">
        <f>"J3490"</f>
        <v>J3490</v>
      </c>
    </row>
    <row r="3573" spans="1:5" x14ac:dyDescent="0.25">
      <c r="A3573" t="str">
        <f>"41729229  "</f>
        <v xml:space="preserve">41729229  </v>
      </c>
      <c r="B3573" t="s">
        <v>3459</v>
      </c>
      <c r="C3573">
        <v>35.200000000000003</v>
      </c>
      <c r="D3573" t="str">
        <f t="shared" si="160"/>
        <v>250</v>
      </c>
      <c r="E3573" t="str">
        <f>"X6308"</f>
        <v>X6308</v>
      </c>
    </row>
    <row r="3574" spans="1:5" x14ac:dyDescent="0.25">
      <c r="A3574" t="str">
        <f>"41729229  "</f>
        <v xml:space="preserve">41729229  </v>
      </c>
      <c r="B3574" t="s">
        <v>3459</v>
      </c>
      <c r="C3574">
        <v>35.200000000000003</v>
      </c>
      <c r="D3574" t="str">
        <f t="shared" si="160"/>
        <v>250</v>
      </c>
      <c r="E3574" t="str">
        <f>"J1644"</f>
        <v>J1644</v>
      </c>
    </row>
    <row r="3575" spans="1:5" x14ac:dyDescent="0.25">
      <c r="A3575" t="str">
        <f>"41729344  "</f>
        <v xml:space="preserve">41729344  </v>
      </c>
      <c r="B3575" t="s">
        <v>3460</v>
      </c>
      <c r="C3575">
        <v>66</v>
      </c>
      <c r="D3575" t="str">
        <f t="shared" si="160"/>
        <v>250</v>
      </c>
      <c r="E3575" t="str">
        <f>"J3490"</f>
        <v>J3490</v>
      </c>
    </row>
    <row r="3576" spans="1:5" x14ac:dyDescent="0.25">
      <c r="A3576" t="str">
        <f>"41729351  "</f>
        <v xml:space="preserve">41729351  </v>
      </c>
      <c r="B3576" t="s">
        <v>3461</v>
      </c>
      <c r="C3576">
        <v>27.5</v>
      </c>
      <c r="D3576" t="str">
        <f t="shared" si="160"/>
        <v>250</v>
      </c>
    </row>
    <row r="3577" spans="1:5" x14ac:dyDescent="0.25">
      <c r="A3577" t="str">
        <f>"41729369  "</f>
        <v xml:space="preserve">41729369  </v>
      </c>
      <c r="B3577" t="s">
        <v>3462</v>
      </c>
      <c r="C3577">
        <v>20.9</v>
      </c>
      <c r="D3577" t="str">
        <f t="shared" si="160"/>
        <v>250</v>
      </c>
    </row>
    <row r="3578" spans="1:5" x14ac:dyDescent="0.25">
      <c r="A3578" t="str">
        <f>"41729377  "</f>
        <v xml:space="preserve">41729377  </v>
      </c>
      <c r="B3578" t="s">
        <v>3463</v>
      </c>
      <c r="C3578">
        <v>51.7</v>
      </c>
      <c r="D3578" t="str">
        <f t="shared" si="160"/>
        <v>250</v>
      </c>
      <c r="E3578" t="str">
        <f>"J7042"</f>
        <v>J7042</v>
      </c>
    </row>
    <row r="3579" spans="1:5" x14ac:dyDescent="0.25">
      <c r="A3579" t="str">
        <f>"41729385  "</f>
        <v xml:space="preserve">41729385  </v>
      </c>
      <c r="B3579" t="s">
        <v>3464</v>
      </c>
      <c r="C3579">
        <v>366.3</v>
      </c>
      <c r="D3579" t="str">
        <f t="shared" si="160"/>
        <v>250</v>
      </c>
    </row>
    <row r="3580" spans="1:5" x14ac:dyDescent="0.25">
      <c r="A3580" t="str">
        <f>"41729393  "</f>
        <v xml:space="preserve">41729393  </v>
      </c>
      <c r="B3580" t="s">
        <v>3465</v>
      </c>
      <c r="C3580">
        <v>20.9</v>
      </c>
      <c r="D3580" t="str">
        <f t="shared" si="160"/>
        <v>250</v>
      </c>
      <c r="E3580" t="str">
        <f>"X6282"</f>
        <v>X6282</v>
      </c>
    </row>
    <row r="3581" spans="1:5" x14ac:dyDescent="0.25">
      <c r="A3581" t="str">
        <f>"41729393  "</f>
        <v xml:space="preserve">41729393  </v>
      </c>
      <c r="B3581" t="s">
        <v>3465</v>
      </c>
      <c r="C3581">
        <v>20.9</v>
      </c>
      <c r="D3581" t="str">
        <f t="shared" si="160"/>
        <v>250</v>
      </c>
      <c r="E3581" t="str">
        <f>"J1642"</f>
        <v>J1642</v>
      </c>
    </row>
    <row r="3582" spans="1:5" x14ac:dyDescent="0.25">
      <c r="A3582" t="str">
        <f>"41729542  "</f>
        <v xml:space="preserve">41729542  </v>
      </c>
      <c r="B3582" t="s">
        <v>3447</v>
      </c>
      <c r="C3582">
        <v>8.8000000000000007</v>
      </c>
      <c r="D3582" t="str">
        <f t="shared" si="160"/>
        <v>250</v>
      </c>
    </row>
    <row r="3583" spans="1:5" x14ac:dyDescent="0.25">
      <c r="A3583" t="str">
        <f>"41729559  "</f>
        <v xml:space="preserve">41729559  </v>
      </c>
      <c r="B3583" t="s">
        <v>3466</v>
      </c>
      <c r="C3583">
        <v>6.6</v>
      </c>
      <c r="D3583" t="str">
        <f t="shared" si="160"/>
        <v>250</v>
      </c>
      <c r="E3583" t="str">
        <f>"90779"</f>
        <v>90779</v>
      </c>
    </row>
    <row r="3584" spans="1:5" x14ac:dyDescent="0.25">
      <c r="A3584" t="str">
        <f>"41729559  "</f>
        <v xml:space="preserve">41729559  </v>
      </c>
      <c r="B3584" t="s">
        <v>3466</v>
      </c>
      <c r="C3584">
        <v>6.6</v>
      </c>
      <c r="D3584" t="str">
        <f t="shared" si="160"/>
        <v>250</v>
      </c>
      <c r="E3584" t="str">
        <f>"J8499"</f>
        <v>J8499</v>
      </c>
    </row>
    <row r="3585" spans="1:5" x14ac:dyDescent="0.25">
      <c r="A3585" t="str">
        <f>"41729625  "</f>
        <v xml:space="preserve">41729625  </v>
      </c>
      <c r="B3585" t="s">
        <v>3467</v>
      </c>
      <c r="C3585">
        <v>6.6</v>
      </c>
      <c r="D3585" t="str">
        <f t="shared" si="160"/>
        <v>250</v>
      </c>
      <c r="E3585" t="str">
        <f>"J8499"</f>
        <v>J8499</v>
      </c>
    </row>
    <row r="3586" spans="1:5" x14ac:dyDescent="0.25">
      <c r="A3586" t="str">
        <f>"41729658  "</f>
        <v xml:space="preserve">41729658  </v>
      </c>
      <c r="B3586" t="s">
        <v>3468</v>
      </c>
      <c r="C3586">
        <v>18.7</v>
      </c>
      <c r="D3586" t="str">
        <f t="shared" si="160"/>
        <v>250</v>
      </c>
      <c r="E3586" t="str">
        <f>"X6332"</f>
        <v>X6332</v>
      </c>
    </row>
    <row r="3587" spans="1:5" x14ac:dyDescent="0.25">
      <c r="A3587" t="str">
        <f>"41729658  "</f>
        <v xml:space="preserve">41729658  </v>
      </c>
      <c r="B3587" t="s">
        <v>3468</v>
      </c>
      <c r="C3587">
        <v>18.7</v>
      </c>
      <c r="D3587" t="str">
        <f t="shared" si="160"/>
        <v>250</v>
      </c>
      <c r="E3587" t="str">
        <f>"J1700"</f>
        <v>J1700</v>
      </c>
    </row>
    <row r="3588" spans="1:5" x14ac:dyDescent="0.25">
      <c r="A3588" t="str">
        <f>"41729708  "</f>
        <v xml:space="preserve">41729708  </v>
      </c>
      <c r="B3588" t="s">
        <v>3469</v>
      </c>
      <c r="C3588">
        <v>6.6</v>
      </c>
      <c r="D3588" t="str">
        <f t="shared" si="160"/>
        <v>250</v>
      </c>
      <c r="E3588" t="str">
        <f t="shared" ref="E3588:E3593" si="161">"J8499"</f>
        <v>J8499</v>
      </c>
    </row>
    <row r="3589" spans="1:5" x14ac:dyDescent="0.25">
      <c r="A3589" t="str">
        <f>"41729757  "</f>
        <v xml:space="preserve">41729757  </v>
      </c>
      <c r="B3589" t="s">
        <v>3470</v>
      </c>
      <c r="C3589">
        <v>6.6</v>
      </c>
      <c r="D3589" t="str">
        <f t="shared" si="160"/>
        <v>250</v>
      </c>
      <c r="E3589" t="str">
        <f t="shared" si="161"/>
        <v>J8499</v>
      </c>
    </row>
    <row r="3590" spans="1:5" x14ac:dyDescent="0.25">
      <c r="A3590" t="str">
        <f>"41729765  "</f>
        <v xml:space="preserve">41729765  </v>
      </c>
      <c r="B3590" t="s">
        <v>3471</v>
      </c>
      <c r="C3590">
        <v>6.6</v>
      </c>
      <c r="D3590" t="str">
        <f t="shared" si="160"/>
        <v>250</v>
      </c>
      <c r="E3590" t="str">
        <f t="shared" si="161"/>
        <v>J8499</v>
      </c>
    </row>
    <row r="3591" spans="1:5" x14ac:dyDescent="0.25">
      <c r="A3591" t="str">
        <f>"41729799  "</f>
        <v xml:space="preserve">41729799  </v>
      </c>
      <c r="B3591" t="s">
        <v>3472</v>
      </c>
      <c r="C3591">
        <v>9.9</v>
      </c>
      <c r="D3591" t="str">
        <f t="shared" si="160"/>
        <v>250</v>
      </c>
      <c r="E3591" t="str">
        <f t="shared" si="161"/>
        <v>J8499</v>
      </c>
    </row>
    <row r="3592" spans="1:5" x14ac:dyDescent="0.25">
      <c r="A3592" t="str">
        <f>"41729807  "</f>
        <v xml:space="preserve">41729807  </v>
      </c>
      <c r="B3592" t="s">
        <v>3473</v>
      </c>
      <c r="C3592">
        <v>6.6</v>
      </c>
      <c r="D3592" t="str">
        <f t="shared" si="160"/>
        <v>250</v>
      </c>
      <c r="E3592" t="str">
        <f t="shared" si="161"/>
        <v>J8499</v>
      </c>
    </row>
    <row r="3593" spans="1:5" x14ac:dyDescent="0.25">
      <c r="A3593" t="str">
        <f>"41729856  "</f>
        <v xml:space="preserve">41729856  </v>
      </c>
      <c r="B3593" t="s">
        <v>3474</v>
      </c>
      <c r="C3593">
        <v>6.6</v>
      </c>
      <c r="D3593" t="str">
        <f t="shared" si="160"/>
        <v>250</v>
      </c>
      <c r="E3593" t="str">
        <f t="shared" si="161"/>
        <v>J8499</v>
      </c>
    </row>
    <row r="3594" spans="1:5" x14ac:dyDescent="0.25">
      <c r="A3594" t="str">
        <f>"41729900"</f>
        <v>41729900</v>
      </c>
      <c r="B3594" t="s">
        <v>3475</v>
      </c>
      <c r="C3594">
        <v>220</v>
      </c>
      <c r="D3594" t="str">
        <f t="shared" si="160"/>
        <v>250</v>
      </c>
    </row>
    <row r="3595" spans="1:5" x14ac:dyDescent="0.25">
      <c r="A3595" t="str">
        <f>"41729906  "</f>
        <v xml:space="preserve">41729906  </v>
      </c>
      <c r="B3595" t="s">
        <v>3476</v>
      </c>
      <c r="C3595">
        <v>107.8</v>
      </c>
      <c r="D3595" t="str">
        <f t="shared" si="160"/>
        <v>250</v>
      </c>
      <c r="E3595" t="str">
        <f>"X5648"</f>
        <v>X5648</v>
      </c>
    </row>
    <row r="3596" spans="1:5" x14ac:dyDescent="0.25">
      <c r="A3596" t="str">
        <f>"41729906  "</f>
        <v xml:space="preserve">41729906  </v>
      </c>
      <c r="B3596" t="s">
        <v>3476</v>
      </c>
      <c r="C3596">
        <v>107.8</v>
      </c>
      <c r="D3596" t="str">
        <f t="shared" si="160"/>
        <v>250</v>
      </c>
      <c r="E3596" t="str">
        <f>"J0360"</f>
        <v>J0360</v>
      </c>
    </row>
    <row r="3597" spans="1:5" x14ac:dyDescent="0.25">
      <c r="A3597" t="str">
        <f>"41729955  "</f>
        <v xml:space="preserve">41729955  </v>
      </c>
      <c r="B3597" t="s">
        <v>3477</v>
      </c>
      <c r="C3597">
        <v>6.6</v>
      </c>
      <c r="D3597" t="str">
        <f t="shared" si="160"/>
        <v>250</v>
      </c>
      <c r="E3597" t="str">
        <f>"J8499"</f>
        <v>J8499</v>
      </c>
    </row>
    <row r="3598" spans="1:5" x14ac:dyDescent="0.25">
      <c r="A3598" t="str">
        <f>"41730001"</f>
        <v>41730001</v>
      </c>
      <c r="B3598" t="s">
        <v>3478</v>
      </c>
      <c r="C3598">
        <v>6.6</v>
      </c>
      <c r="D3598" t="str">
        <f t="shared" si="160"/>
        <v>250</v>
      </c>
    </row>
    <row r="3599" spans="1:5" x14ac:dyDescent="0.25">
      <c r="A3599" t="str">
        <f>"41730003  "</f>
        <v xml:space="preserve">41730003  </v>
      </c>
      <c r="B3599" t="s">
        <v>3479</v>
      </c>
      <c r="C3599">
        <v>53.9</v>
      </c>
      <c r="D3599" t="str">
        <f t="shared" si="160"/>
        <v>250</v>
      </c>
      <c r="E3599" t="str">
        <f>"J3490"</f>
        <v>J3490</v>
      </c>
    </row>
    <row r="3600" spans="1:5" x14ac:dyDescent="0.25">
      <c r="A3600" t="str">
        <f>"41730011  "</f>
        <v xml:space="preserve">41730011  </v>
      </c>
      <c r="B3600" t="s">
        <v>3480</v>
      </c>
      <c r="C3600">
        <v>6.6</v>
      </c>
      <c r="D3600" t="str">
        <f>"257"</f>
        <v>257</v>
      </c>
      <c r="E3600" t="str">
        <f>"J3490"</f>
        <v>J3490</v>
      </c>
    </row>
    <row r="3601" spans="1:5" x14ac:dyDescent="0.25">
      <c r="A3601" t="str">
        <f>"41730045  "</f>
        <v xml:space="preserve">41730045  </v>
      </c>
      <c r="B3601" t="s">
        <v>3481</v>
      </c>
      <c r="C3601">
        <v>17.600000000000001</v>
      </c>
      <c r="D3601" t="str">
        <f>"250"</f>
        <v>250</v>
      </c>
    </row>
    <row r="3602" spans="1:5" x14ac:dyDescent="0.25">
      <c r="A3602" t="str">
        <f>"41730052  "</f>
        <v xml:space="preserve">41730052  </v>
      </c>
      <c r="B3602" t="s">
        <v>3482</v>
      </c>
      <c r="C3602">
        <v>24.2</v>
      </c>
      <c r="D3602" t="str">
        <f>"257"</f>
        <v>257</v>
      </c>
      <c r="E3602" t="str">
        <f>"J3490"</f>
        <v>J3490</v>
      </c>
    </row>
    <row r="3603" spans="1:5" x14ac:dyDescent="0.25">
      <c r="A3603" t="str">
        <f>"41730060  "</f>
        <v xml:space="preserve">41730060  </v>
      </c>
      <c r="B3603" t="s">
        <v>3483</v>
      </c>
      <c r="C3603">
        <v>92.13</v>
      </c>
      <c r="D3603" t="str">
        <f>"257"</f>
        <v>257</v>
      </c>
    </row>
    <row r="3604" spans="1:5" x14ac:dyDescent="0.25">
      <c r="A3604" t="str">
        <f>"41730078  "</f>
        <v xml:space="preserve">41730078  </v>
      </c>
      <c r="B3604" t="s">
        <v>3484</v>
      </c>
      <c r="C3604">
        <v>15.4</v>
      </c>
      <c r="D3604" t="str">
        <f t="shared" ref="D3604:D3609" si="162">"250"</f>
        <v>250</v>
      </c>
    </row>
    <row r="3605" spans="1:5" x14ac:dyDescent="0.25">
      <c r="A3605" t="str">
        <f>"41730102  "</f>
        <v xml:space="preserve">41730102  </v>
      </c>
      <c r="B3605" t="s">
        <v>3485</v>
      </c>
      <c r="C3605">
        <v>66</v>
      </c>
      <c r="D3605" t="str">
        <f t="shared" si="162"/>
        <v>250</v>
      </c>
      <c r="E3605" t="str">
        <f>"90779"</f>
        <v>90779</v>
      </c>
    </row>
    <row r="3606" spans="1:5" x14ac:dyDescent="0.25">
      <c r="A3606" t="str">
        <f>"41730102  "</f>
        <v xml:space="preserve">41730102  </v>
      </c>
      <c r="B3606" t="s">
        <v>3485</v>
      </c>
      <c r="C3606">
        <v>66</v>
      </c>
      <c r="D3606" t="str">
        <f t="shared" si="162"/>
        <v>250</v>
      </c>
      <c r="E3606" t="str">
        <f>"J1720"</f>
        <v>J1720</v>
      </c>
    </row>
    <row r="3607" spans="1:5" x14ac:dyDescent="0.25">
      <c r="A3607" t="str">
        <f>"41730185  "</f>
        <v xml:space="preserve">41730185  </v>
      </c>
      <c r="B3607" t="s">
        <v>3486</v>
      </c>
      <c r="C3607" s="1">
        <v>1358.5</v>
      </c>
      <c r="D3607" t="str">
        <f t="shared" si="162"/>
        <v>250</v>
      </c>
    </row>
    <row r="3608" spans="1:5" x14ac:dyDescent="0.25">
      <c r="A3608" t="str">
        <f>"41730201  "</f>
        <v xml:space="preserve">41730201  </v>
      </c>
      <c r="B3608" t="s">
        <v>3487</v>
      </c>
      <c r="C3608">
        <v>6.6</v>
      </c>
      <c r="D3608" t="str">
        <f t="shared" si="162"/>
        <v>250</v>
      </c>
      <c r="E3608" t="str">
        <f>"J8499"</f>
        <v>J8499</v>
      </c>
    </row>
    <row r="3609" spans="1:5" x14ac:dyDescent="0.25">
      <c r="A3609" t="str">
        <f>"41730250  "</f>
        <v xml:space="preserve">41730250  </v>
      </c>
      <c r="B3609" t="s">
        <v>3488</v>
      </c>
      <c r="C3609">
        <v>6.6</v>
      </c>
      <c r="D3609" t="str">
        <f t="shared" si="162"/>
        <v>250</v>
      </c>
      <c r="E3609" t="str">
        <f>"J8499"</f>
        <v>J8499</v>
      </c>
    </row>
    <row r="3610" spans="1:5" x14ac:dyDescent="0.25">
      <c r="A3610" t="str">
        <f>"41730359  "</f>
        <v xml:space="preserve">41730359  </v>
      </c>
      <c r="B3610" t="s">
        <v>3489</v>
      </c>
      <c r="C3610">
        <v>20.9</v>
      </c>
      <c r="D3610" t="str">
        <f>"257"</f>
        <v>257</v>
      </c>
      <c r="E3610" t="str">
        <f>"J3490"</f>
        <v>J3490</v>
      </c>
    </row>
    <row r="3611" spans="1:5" x14ac:dyDescent="0.25">
      <c r="A3611" t="str">
        <f>"41730409  "</f>
        <v xml:space="preserve">41730409  </v>
      </c>
      <c r="B3611" t="s">
        <v>3490</v>
      </c>
      <c r="C3611">
        <v>13.2</v>
      </c>
      <c r="D3611" t="str">
        <f>"257"</f>
        <v>257</v>
      </c>
      <c r="E3611" t="str">
        <f>"J3490"</f>
        <v>J3490</v>
      </c>
    </row>
    <row r="3612" spans="1:5" x14ac:dyDescent="0.25">
      <c r="A3612" t="str">
        <f>"41730490  "</f>
        <v xml:space="preserve">41730490  </v>
      </c>
      <c r="B3612" t="s">
        <v>3491</v>
      </c>
      <c r="C3612">
        <v>99</v>
      </c>
      <c r="D3612" t="str">
        <f t="shared" ref="D3612:D3628" si="163">"250"</f>
        <v>250</v>
      </c>
    </row>
    <row r="3613" spans="1:5" x14ac:dyDescent="0.25">
      <c r="A3613" t="str">
        <f>"41731100  "</f>
        <v xml:space="preserve">41731100  </v>
      </c>
      <c r="B3613" t="s">
        <v>3492</v>
      </c>
      <c r="C3613">
        <v>57.2</v>
      </c>
      <c r="D3613" t="str">
        <f t="shared" si="163"/>
        <v>250</v>
      </c>
      <c r="E3613" t="str">
        <f>"X6210"</f>
        <v>X6210</v>
      </c>
    </row>
    <row r="3614" spans="1:5" x14ac:dyDescent="0.25">
      <c r="A3614" t="str">
        <f>"41731100  "</f>
        <v xml:space="preserve">41731100  </v>
      </c>
      <c r="B3614" t="s">
        <v>3492</v>
      </c>
      <c r="C3614">
        <v>57.2</v>
      </c>
      <c r="D3614" t="str">
        <f t="shared" si="163"/>
        <v>250</v>
      </c>
      <c r="E3614" t="str">
        <f>"J1790"</f>
        <v>J1790</v>
      </c>
    </row>
    <row r="3615" spans="1:5" x14ac:dyDescent="0.25">
      <c r="A3615" t="str">
        <f>"41731209  "</f>
        <v xml:space="preserve">41731209  </v>
      </c>
      <c r="B3615" t="s">
        <v>3493</v>
      </c>
      <c r="C3615">
        <v>7.7</v>
      </c>
      <c r="D3615" t="str">
        <f t="shared" si="163"/>
        <v>250</v>
      </c>
      <c r="E3615" t="str">
        <f>"J8499"</f>
        <v>J8499</v>
      </c>
    </row>
    <row r="3616" spans="1:5" x14ac:dyDescent="0.25">
      <c r="A3616" t="str">
        <f>"41731258  "</f>
        <v xml:space="preserve">41731258  </v>
      </c>
      <c r="B3616" t="s">
        <v>3494</v>
      </c>
      <c r="C3616">
        <v>6.6</v>
      </c>
      <c r="D3616" t="str">
        <f t="shared" si="163"/>
        <v>250</v>
      </c>
      <c r="E3616" t="str">
        <f>"J8499"</f>
        <v>J8499</v>
      </c>
    </row>
    <row r="3617" spans="1:5" x14ac:dyDescent="0.25">
      <c r="A3617" t="str">
        <f>"41731308  "</f>
        <v xml:space="preserve">41731308  </v>
      </c>
      <c r="B3617" t="s">
        <v>3495</v>
      </c>
      <c r="C3617">
        <v>7.7</v>
      </c>
      <c r="D3617" t="str">
        <f t="shared" si="163"/>
        <v>250</v>
      </c>
    </row>
    <row r="3618" spans="1:5" x14ac:dyDescent="0.25">
      <c r="A3618" t="str">
        <f>"41731357  "</f>
        <v xml:space="preserve">41731357  </v>
      </c>
      <c r="B3618" t="s">
        <v>3496</v>
      </c>
      <c r="C3618">
        <v>39.6</v>
      </c>
      <c r="D3618" t="str">
        <f t="shared" si="163"/>
        <v>250</v>
      </c>
      <c r="E3618" t="str">
        <f>"X6126"</f>
        <v>X6126</v>
      </c>
    </row>
    <row r="3619" spans="1:5" x14ac:dyDescent="0.25">
      <c r="A3619" t="str">
        <f>"41731357  "</f>
        <v xml:space="preserve">41731357  </v>
      </c>
      <c r="B3619" t="s">
        <v>3496</v>
      </c>
      <c r="C3619">
        <v>39.6</v>
      </c>
      <c r="D3619" t="str">
        <f t="shared" si="163"/>
        <v>250</v>
      </c>
      <c r="E3619" t="str">
        <f>"J1790"</f>
        <v>J1790</v>
      </c>
    </row>
    <row r="3620" spans="1:5" x14ac:dyDescent="0.25">
      <c r="A3620" t="str">
        <f>"41731456  "</f>
        <v xml:space="preserve">41731456  </v>
      </c>
      <c r="B3620" t="s">
        <v>3497</v>
      </c>
      <c r="C3620">
        <v>82.5</v>
      </c>
      <c r="D3620" t="str">
        <f t="shared" si="163"/>
        <v>250</v>
      </c>
    </row>
    <row r="3621" spans="1:5" x14ac:dyDescent="0.25">
      <c r="A3621" t="str">
        <f>"41731548  "</f>
        <v xml:space="preserve">41731548  </v>
      </c>
      <c r="B3621" t="s">
        <v>3498</v>
      </c>
      <c r="C3621">
        <v>6.6</v>
      </c>
      <c r="D3621" t="str">
        <f t="shared" si="163"/>
        <v>250</v>
      </c>
    </row>
    <row r="3622" spans="1:5" x14ac:dyDescent="0.25">
      <c r="A3622" t="str">
        <f>"41731555  "</f>
        <v xml:space="preserve">41731555  </v>
      </c>
      <c r="B3622" t="s">
        <v>3499</v>
      </c>
      <c r="C3622">
        <v>6.6</v>
      </c>
      <c r="D3622" t="str">
        <f t="shared" si="163"/>
        <v>250</v>
      </c>
      <c r="E3622" t="str">
        <f>"J8499"</f>
        <v>J8499</v>
      </c>
    </row>
    <row r="3623" spans="1:5" x14ac:dyDescent="0.25">
      <c r="A3623" t="str">
        <f>"41731563  "</f>
        <v xml:space="preserve">41731563  </v>
      </c>
      <c r="B3623" t="s">
        <v>3500</v>
      </c>
      <c r="C3623">
        <v>11</v>
      </c>
      <c r="D3623" t="str">
        <f t="shared" si="163"/>
        <v>250</v>
      </c>
      <c r="E3623" t="str">
        <f>"J8499"</f>
        <v>J8499</v>
      </c>
    </row>
    <row r="3624" spans="1:5" x14ac:dyDescent="0.25">
      <c r="A3624" t="str">
        <f>"41731654  "</f>
        <v xml:space="preserve">41731654  </v>
      </c>
      <c r="B3624" t="s">
        <v>3501</v>
      </c>
      <c r="C3624">
        <v>60.5</v>
      </c>
      <c r="D3624" t="str">
        <f t="shared" si="163"/>
        <v>250</v>
      </c>
      <c r="E3624" t="str">
        <f>"90779"</f>
        <v>90779</v>
      </c>
    </row>
    <row r="3625" spans="1:5" x14ac:dyDescent="0.25">
      <c r="A3625" t="str">
        <f>"41731654  "</f>
        <v xml:space="preserve">41731654  </v>
      </c>
      <c r="B3625" t="s">
        <v>3501</v>
      </c>
      <c r="C3625">
        <v>60.5</v>
      </c>
      <c r="D3625" t="str">
        <f t="shared" si="163"/>
        <v>250</v>
      </c>
      <c r="E3625" t="str">
        <f>"J3490"</f>
        <v>J3490</v>
      </c>
    </row>
    <row r="3626" spans="1:5" x14ac:dyDescent="0.25">
      <c r="A3626" t="str">
        <f>"41731753  "</f>
        <v xml:space="preserve">41731753  </v>
      </c>
      <c r="B3626" t="s">
        <v>3502</v>
      </c>
      <c r="C3626">
        <v>6.6</v>
      </c>
      <c r="D3626" t="str">
        <f t="shared" si="163"/>
        <v>250</v>
      </c>
      <c r="E3626" t="str">
        <f>"J8499"</f>
        <v>J8499</v>
      </c>
    </row>
    <row r="3627" spans="1:5" x14ac:dyDescent="0.25">
      <c r="A3627" t="str">
        <f>"41731761  "</f>
        <v xml:space="preserve">41731761  </v>
      </c>
      <c r="B3627" t="s">
        <v>3503</v>
      </c>
      <c r="C3627">
        <v>8.8000000000000007</v>
      </c>
      <c r="D3627" t="str">
        <f t="shared" si="163"/>
        <v>250</v>
      </c>
      <c r="E3627" t="str">
        <f>"J8499"</f>
        <v>J8499</v>
      </c>
    </row>
    <row r="3628" spans="1:5" x14ac:dyDescent="0.25">
      <c r="A3628" t="str">
        <f>"41731852  "</f>
        <v xml:space="preserve">41731852  </v>
      </c>
      <c r="B3628" t="s">
        <v>3504</v>
      </c>
      <c r="C3628">
        <v>6.6</v>
      </c>
      <c r="D3628" t="str">
        <f t="shared" si="163"/>
        <v>250</v>
      </c>
      <c r="E3628" t="str">
        <f>"J8499"</f>
        <v>J8499</v>
      </c>
    </row>
    <row r="3629" spans="1:5" x14ac:dyDescent="0.25">
      <c r="A3629" t="str">
        <f>"41731977  "</f>
        <v xml:space="preserve">41731977  </v>
      </c>
      <c r="B3629" t="s">
        <v>3505</v>
      </c>
      <c r="C3629">
        <v>11</v>
      </c>
      <c r="D3629" t="str">
        <f>"257"</f>
        <v>257</v>
      </c>
      <c r="E3629" t="str">
        <f>"J1815"</f>
        <v>J1815</v>
      </c>
    </row>
    <row r="3630" spans="1:5" x14ac:dyDescent="0.25">
      <c r="A3630" t="str">
        <f>"41731985  "</f>
        <v xml:space="preserve">41731985  </v>
      </c>
      <c r="B3630" t="s">
        <v>3506</v>
      </c>
      <c r="C3630">
        <v>148.5</v>
      </c>
      <c r="D3630" t="str">
        <f>"257"</f>
        <v>257</v>
      </c>
    </row>
    <row r="3631" spans="1:5" x14ac:dyDescent="0.25">
      <c r="A3631" t="str">
        <f>"41732082  "</f>
        <v xml:space="preserve">41732082  </v>
      </c>
      <c r="B3631" t="s">
        <v>3507</v>
      </c>
      <c r="C3631">
        <v>16.5</v>
      </c>
      <c r="D3631" t="str">
        <f>"257"</f>
        <v>257</v>
      </c>
      <c r="E3631" t="str">
        <f>"J3490"</f>
        <v>J3490</v>
      </c>
    </row>
    <row r="3632" spans="1:5" x14ac:dyDescent="0.25">
      <c r="A3632" t="str">
        <f>"41732100"</f>
        <v>41732100</v>
      </c>
      <c r="B3632" t="s">
        <v>3508</v>
      </c>
      <c r="C3632">
        <v>8.8000000000000007</v>
      </c>
      <c r="D3632" t="str">
        <f>"250"</f>
        <v>250</v>
      </c>
    </row>
    <row r="3633" spans="1:5" x14ac:dyDescent="0.25">
      <c r="A3633" t="str">
        <f>"41732264  "</f>
        <v xml:space="preserve">41732264  </v>
      </c>
      <c r="B3633" t="s">
        <v>3509</v>
      </c>
      <c r="C3633">
        <v>16.5</v>
      </c>
      <c r="D3633" t="str">
        <f>"250"</f>
        <v>250</v>
      </c>
      <c r="E3633" t="str">
        <f>"J3490"</f>
        <v>J3490</v>
      </c>
    </row>
    <row r="3634" spans="1:5" x14ac:dyDescent="0.25">
      <c r="A3634" t="str">
        <f>"41732306  "</f>
        <v xml:space="preserve">41732306  </v>
      </c>
      <c r="B3634" t="s">
        <v>3510</v>
      </c>
      <c r="C3634">
        <v>6.6</v>
      </c>
      <c r="D3634" t="str">
        <f>"250"</f>
        <v>250</v>
      </c>
      <c r="E3634" t="str">
        <f>"J8499"</f>
        <v>J8499</v>
      </c>
    </row>
    <row r="3635" spans="1:5" x14ac:dyDescent="0.25">
      <c r="A3635" t="str">
        <f>"41732314  "</f>
        <v xml:space="preserve">41732314  </v>
      </c>
      <c r="B3635" t="s">
        <v>3511</v>
      </c>
      <c r="C3635">
        <v>27.5</v>
      </c>
      <c r="D3635" t="str">
        <f>"257"</f>
        <v>257</v>
      </c>
      <c r="E3635" t="str">
        <f>"J3490"</f>
        <v>J3490</v>
      </c>
    </row>
    <row r="3636" spans="1:5" x14ac:dyDescent="0.25">
      <c r="A3636" t="str">
        <f>"41732355  "</f>
        <v xml:space="preserve">41732355  </v>
      </c>
      <c r="B3636" t="s">
        <v>3512</v>
      </c>
      <c r="C3636">
        <v>737</v>
      </c>
      <c r="D3636" t="str">
        <f>"250"</f>
        <v>250</v>
      </c>
      <c r="E3636" t="str">
        <f>"J3490"</f>
        <v>J3490</v>
      </c>
    </row>
    <row r="3637" spans="1:5" x14ac:dyDescent="0.25">
      <c r="A3637" t="str">
        <f>"41732363  "</f>
        <v xml:space="preserve">41732363  </v>
      </c>
      <c r="B3637" t="s">
        <v>3513</v>
      </c>
      <c r="C3637">
        <v>792</v>
      </c>
      <c r="D3637" t="str">
        <f>"250"</f>
        <v>250</v>
      </c>
      <c r="E3637" t="str">
        <f>"J3490"</f>
        <v>J3490</v>
      </c>
    </row>
    <row r="3638" spans="1:5" x14ac:dyDescent="0.25">
      <c r="A3638" t="str">
        <f>"41732553  "</f>
        <v xml:space="preserve">41732553  </v>
      </c>
      <c r="B3638" t="s">
        <v>3514</v>
      </c>
      <c r="C3638">
        <v>6.6</v>
      </c>
      <c r="D3638" t="str">
        <f>"250"</f>
        <v>250</v>
      </c>
      <c r="E3638" t="str">
        <f>"J8499"</f>
        <v>J8499</v>
      </c>
    </row>
    <row r="3639" spans="1:5" x14ac:dyDescent="0.25">
      <c r="A3639" t="str">
        <f>"41732561  "</f>
        <v xml:space="preserve">41732561  </v>
      </c>
      <c r="B3639" t="s">
        <v>3515</v>
      </c>
      <c r="C3639">
        <v>6.6</v>
      </c>
      <c r="D3639" t="str">
        <f>"257"</f>
        <v>257</v>
      </c>
    </row>
    <row r="3640" spans="1:5" x14ac:dyDescent="0.25">
      <c r="A3640" t="str">
        <f>"41732579  "</f>
        <v xml:space="preserve">41732579  </v>
      </c>
      <c r="B3640" t="s">
        <v>3516</v>
      </c>
      <c r="C3640">
        <v>202.29</v>
      </c>
      <c r="D3640" t="str">
        <f t="shared" ref="D3640:D3645" si="164">"250"</f>
        <v>250</v>
      </c>
    </row>
    <row r="3641" spans="1:5" x14ac:dyDescent="0.25">
      <c r="A3641" t="str">
        <f>"41732611  "</f>
        <v xml:space="preserve">41732611  </v>
      </c>
      <c r="B3641" t="s">
        <v>3517</v>
      </c>
      <c r="C3641">
        <v>8.8000000000000007</v>
      </c>
      <c r="D3641" t="str">
        <f t="shared" si="164"/>
        <v>250</v>
      </c>
      <c r="E3641" t="str">
        <f>"J8499"</f>
        <v>J8499</v>
      </c>
    </row>
    <row r="3642" spans="1:5" x14ac:dyDescent="0.25">
      <c r="A3642" t="str">
        <f>"41732629  "</f>
        <v xml:space="preserve">41732629  </v>
      </c>
      <c r="B3642" t="s">
        <v>3518</v>
      </c>
      <c r="C3642">
        <v>6.6</v>
      </c>
      <c r="D3642" t="str">
        <f t="shared" si="164"/>
        <v>250</v>
      </c>
    </row>
    <row r="3643" spans="1:5" x14ac:dyDescent="0.25">
      <c r="A3643" t="str">
        <f>"41732637  "</f>
        <v xml:space="preserve">41732637  </v>
      </c>
      <c r="B3643" t="s">
        <v>3519</v>
      </c>
      <c r="C3643">
        <v>259.22000000000003</v>
      </c>
      <c r="D3643" t="str">
        <f t="shared" si="164"/>
        <v>250</v>
      </c>
    </row>
    <row r="3644" spans="1:5" x14ac:dyDescent="0.25">
      <c r="A3644" t="str">
        <f>"41732652  "</f>
        <v xml:space="preserve">41732652  </v>
      </c>
      <c r="B3644" t="s">
        <v>3520</v>
      </c>
      <c r="C3644">
        <v>220</v>
      </c>
      <c r="D3644" t="str">
        <f t="shared" si="164"/>
        <v>250</v>
      </c>
    </row>
    <row r="3645" spans="1:5" x14ac:dyDescent="0.25">
      <c r="A3645" t="str">
        <f>"41732702  "</f>
        <v xml:space="preserve">41732702  </v>
      </c>
      <c r="B3645" t="s">
        <v>3521</v>
      </c>
      <c r="C3645">
        <v>467.5</v>
      </c>
      <c r="D3645" t="str">
        <f t="shared" si="164"/>
        <v>250</v>
      </c>
    </row>
    <row r="3646" spans="1:5" x14ac:dyDescent="0.25">
      <c r="A3646" t="str">
        <f>"41732710  "</f>
        <v xml:space="preserve">41732710  </v>
      </c>
      <c r="B3646" t="s">
        <v>3522</v>
      </c>
      <c r="C3646">
        <v>24.2</v>
      </c>
      <c r="D3646" t="str">
        <f>"257"</f>
        <v>257</v>
      </c>
      <c r="E3646" t="str">
        <f>"J3490"</f>
        <v>J3490</v>
      </c>
    </row>
    <row r="3647" spans="1:5" x14ac:dyDescent="0.25">
      <c r="A3647" t="str">
        <f>"41732801  "</f>
        <v xml:space="preserve">41732801  </v>
      </c>
      <c r="B3647" t="s">
        <v>3523</v>
      </c>
      <c r="C3647" s="1">
        <v>5247</v>
      </c>
      <c r="D3647" t="str">
        <f t="shared" ref="D3647:D3660" si="165">"250"</f>
        <v>250</v>
      </c>
      <c r="E3647" t="str">
        <f>"J3490"</f>
        <v>J3490</v>
      </c>
    </row>
    <row r="3648" spans="1:5" x14ac:dyDescent="0.25">
      <c r="A3648" t="str">
        <f>"41732959  "</f>
        <v xml:space="preserve">41732959  </v>
      </c>
      <c r="B3648" t="s">
        <v>3524</v>
      </c>
      <c r="C3648" s="1">
        <v>1100</v>
      </c>
      <c r="D3648" t="str">
        <f t="shared" si="165"/>
        <v>250</v>
      </c>
      <c r="E3648" t="str">
        <f>"90779"</f>
        <v>90779</v>
      </c>
    </row>
    <row r="3649" spans="1:5" x14ac:dyDescent="0.25">
      <c r="A3649" t="str">
        <f>"41732959  "</f>
        <v xml:space="preserve">41732959  </v>
      </c>
      <c r="B3649" t="s">
        <v>3524</v>
      </c>
      <c r="C3649" s="1">
        <v>1100</v>
      </c>
      <c r="D3649" t="str">
        <f t="shared" si="165"/>
        <v>250</v>
      </c>
      <c r="E3649" t="str">
        <f>"J3490"</f>
        <v>J3490</v>
      </c>
    </row>
    <row r="3650" spans="1:5" x14ac:dyDescent="0.25">
      <c r="A3650" t="str">
        <f>"41733007  "</f>
        <v xml:space="preserve">41733007  </v>
      </c>
      <c r="B3650" t="s">
        <v>3525</v>
      </c>
      <c r="C3650">
        <v>11</v>
      </c>
      <c r="D3650" t="str">
        <f t="shared" si="165"/>
        <v>250</v>
      </c>
      <c r="E3650" t="str">
        <f>"J8499"</f>
        <v>J8499</v>
      </c>
    </row>
    <row r="3651" spans="1:5" x14ac:dyDescent="0.25">
      <c r="A3651" t="str">
        <f>"41733056  "</f>
        <v xml:space="preserve">41733056  </v>
      </c>
      <c r="B3651" t="s">
        <v>3526</v>
      </c>
      <c r="C3651" s="1">
        <v>5247</v>
      </c>
      <c r="D3651" t="str">
        <f t="shared" si="165"/>
        <v>250</v>
      </c>
      <c r="E3651" t="str">
        <f>"90779"</f>
        <v>90779</v>
      </c>
    </row>
    <row r="3652" spans="1:5" x14ac:dyDescent="0.25">
      <c r="A3652" t="str">
        <f>"41733056  "</f>
        <v xml:space="preserve">41733056  </v>
      </c>
      <c r="B3652" t="s">
        <v>3526</v>
      </c>
      <c r="C3652" s="1">
        <v>5247</v>
      </c>
      <c r="D3652" t="str">
        <f t="shared" si="165"/>
        <v>250</v>
      </c>
      <c r="E3652" t="str">
        <f>"J3490"</f>
        <v>J3490</v>
      </c>
    </row>
    <row r="3653" spans="1:5" x14ac:dyDescent="0.25">
      <c r="A3653" t="str">
        <f>"41733155  "</f>
        <v xml:space="preserve">41733155  </v>
      </c>
      <c r="B3653" t="s">
        <v>3527</v>
      </c>
      <c r="C3653">
        <v>11</v>
      </c>
      <c r="D3653" t="str">
        <f t="shared" si="165"/>
        <v>250</v>
      </c>
      <c r="E3653" t="str">
        <f>"J8499"</f>
        <v>J8499</v>
      </c>
    </row>
    <row r="3654" spans="1:5" x14ac:dyDescent="0.25">
      <c r="A3654" t="str">
        <f>"41733213  "</f>
        <v xml:space="preserve">41733213  </v>
      </c>
      <c r="B3654" t="s">
        <v>3528</v>
      </c>
      <c r="C3654">
        <v>11</v>
      </c>
      <c r="D3654" t="str">
        <f t="shared" si="165"/>
        <v>250</v>
      </c>
      <c r="E3654" t="str">
        <f>"J8499"</f>
        <v>J8499</v>
      </c>
    </row>
    <row r="3655" spans="1:5" x14ac:dyDescent="0.25">
      <c r="A3655" t="str">
        <f>"41733254  "</f>
        <v xml:space="preserve">41733254  </v>
      </c>
      <c r="B3655" t="s">
        <v>3529</v>
      </c>
      <c r="C3655">
        <v>12.1</v>
      </c>
      <c r="D3655" t="str">
        <f t="shared" si="165"/>
        <v>250</v>
      </c>
      <c r="E3655" t="str">
        <f>"J8499"</f>
        <v>J8499</v>
      </c>
    </row>
    <row r="3656" spans="1:5" x14ac:dyDescent="0.25">
      <c r="A3656" t="str">
        <f>"41733304  "</f>
        <v xml:space="preserve">41733304  </v>
      </c>
      <c r="B3656" t="s">
        <v>3530</v>
      </c>
      <c r="C3656">
        <v>93.5</v>
      </c>
      <c r="D3656" t="str">
        <f t="shared" si="165"/>
        <v>250</v>
      </c>
      <c r="E3656" t="str">
        <f>"J1840"</f>
        <v>J1840</v>
      </c>
    </row>
    <row r="3657" spans="1:5" x14ac:dyDescent="0.25">
      <c r="A3657" t="str">
        <f>"41733312  "</f>
        <v xml:space="preserve">41733312  </v>
      </c>
      <c r="B3657" t="s">
        <v>3531</v>
      </c>
      <c r="C3657">
        <v>149.6</v>
      </c>
      <c r="D3657" t="str">
        <f t="shared" si="165"/>
        <v>250</v>
      </c>
      <c r="E3657" t="str">
        <f>"X6426"</f>
        <v>X6426</v>
      </c>
    </row>
    <row r="3658" spans="1:5" x14ac:dyDescent="0.25">
      <c r="A3658" t="str">
        <f>"41733312  "</f>
        <v xml:space="preserve">41733312  </v>
      </c>
      <c r="B3658" t="s">
        <v>3531</v>
      </c>
      <c r="C3658">
        <v>149.6</v>
      </c>
      <c r="D3658" t="str">
        <f t="shared" si="165"/>
        <v>250</v>
      </c>
      <c r="E3658" t="str">
        <f>"J1840"</f>
        <v>J1840</v>
      </c>
    </row>
    <row r="3659" spans="1:5" x14ac:dyDescent="0.25">
      <c r="A3659" t="str">
        <f>"41733353  "</f>
        <v xml:space="preserve">41733353  </v>
      </c>
      <c r="B3659" t="s">
        <v>3532</v>
      </c>
      <c r="C3659">
        <v>6.6</v>
      </c>
      <c r="D3659" t="str">
        <f t="shared" si="165"/>
        <v>250</v>
      </c>
      <c r="E3659" t="str">
        <f>"J8499"</f>
        <v>J8499</v>
      </c>
    </row>
    <row r="3660" spans="1:5" x14ac:dyDescent="0.25">
      <c r="A3660" t="str">
        <f>"41733452  "</f>
        <v xml:space="preserve">41733452  </v>
      </c>
      <c r="B3660" t="s">
        <v>3533</v>
      </c>
      <c r="C3660">
        <v>13.2</v>
      </c>
      <c r="D3660" t="str">
        <f t="shared" si="165"/>
        <v>250</v>
      </c>
      <c r="E3660" t="str">
        <f>"J3490"</f>
        <v>J3490</v>
      </c>
    </row>
    <row r="3661" spans="1:5" x14ac:dyDescent="0.25">
      <c r="A3661" t="str">
        <f>"41733502  "</f>
        <v xml:space="preserve">41733502  </v>
      </c>
      <c r="B3661" t="s">
        <v>3534</v>
      </c>
      <c r="C3661">
        <v>6.6</v>
      </c>
      <c r="D3661" t="str">
        <f>"257"</f>
        <v>257</v>
      </c>
      <c r="E3661" t="str">
        <f>"J3490"</f>
        <v>J3490</v>
      </c>
    </row>
    <row r="3662" spans="1:5" x14ac:dyDescent="0.25">
      <c r="A3662" t="str">
        <f>"41733650  "</f>
        <v xml:space="preserve">41733650  </v>
      </c>
      <c r="B3662" t="s">
        <v>3535</v>
      </c>
      <c r="C3662">
        <v>38.340000000000003</v>
      </c>
      <c r="D3662" t="str">
        <f>"257"</f>
        <v>257</v>
      </c>
      <c r="E3662" t="str">
        <f>"J3490"</f>
        <v>J3490</v>
      </c>
    </row>
    <row r="3663" spans="1:5" x14ac:dyDescent="0.25">
      <c r="A3663" t="str">
        <f>"41733700  "</f>
        <v xml:space="preserve">41733700  </v>
      </c>
      <c r="B3663" t="s">
        <v>3536</v>
      </c>
      <c r="C3663">
        <v>176</v>
      </c>
      <c r="D3663" t="str">
        <f t="shared" ref="D3663:D3671" si="166">"250"</f>
        <v>250</v>
      </c>
      <c r="E3663" t="str">
        <f>"J3490"</f>
        <v>J3490</v>
      </c>
    </row>
    <row r="3664" spans="1:5" x14ac:dyDescent="0.25">
      <c r="A3664" t="str">
        <f>"41733718  "</f>
        <v xml:space="preserve">41733718  </v>
      </c>
      <c r="B3664" t="s">
        <v>3537</v>
      </c>
      <c r="C3664">
        <v>88</v>
      </c>
      <c r="D3664" t="str">
        <f t="shared" si="166"/>
        <v>250</v>
      </c>
      <c r="E3664" t="str">
        <f>"J3490"</f>
        <v>J3490</v>
      </c>
    </row>
    <row r="3665" spans="1:5" x14ac:dyDescent="0.25">
      <c r="A3665" t="str">
        <f>"41733759  "</f>
        <v xml:space="preserve">41733759  </v>
      </c>
      <c r="B3665" t="s">
        <v>3538</v>
      </c>
      <c r="C3665">
        <v>176</v>
      </c>
      <c r="D3665" t="str">
        <f t="shared" si="166"/>
        <v>250</v>
      </c>
      <c r="E3665" t="str">
        <f>"J8499"</f>
        <v>J8499</v>
      </c>
    </row>
    <row r="3666" spans="1:5" x14ac:dyDescent="0.25">
      <c r="A3666" t="str">
        <f>"41733809  "</f>
        <v xml:space="preserve">41733809  </v>
      </c>
      <c r="B3666" t="s">
        <v>3539</v>
      </c>
      <c r="C3666">
        <v>7.7</v>
      </c>
      <c r="D3666" t="str">
        <f t="shared" si="166"/>
        <v>250</v>
      </c>
      <c r="E3666" t="str">
        <f>"J8499"</f>
        <v>J8499</v>
      </c>
    </row>
    <row r="3667" spans="1:5" x14ac:dyDescent="0.25">
      <c r="A3667" t="str">
        <f>"41733858  "</f>
        <v xml:space="preserve">41733858  </v>
      </c>
      <c r="B3667" t="s">
        <v>3540</v>
      </c>
      <c r="C3667">
        <v>29.7</v>
      </c>
      <c r="D3667" t="str">
        <f t="shared" si="166"/>
        <v>250</v>
      </c>
    </row>
    <row r="3668" spans="1:5" x14ac:dyDescent="0.25">
      <c r="A3668" t="str">
        <f>"41734104  "</f>
        <v xml:space="preserve">41734104  </v>
      </c>
      <c r="B3668" t="s">
        <v>3541</v>
      </c>
      <c r="C3668">
        <v>31.9</v>
      </c>
      <c r="D3668" t="str">
        <f t="shared" si="166"/>
        <v>250</v>
      </c>
      <c r="E3668" t="str">
        <f>"90779"</f>
        <v>90779</v>
      </c>
    </row>
    <row r="3669" spans="1:5" x14ac:dyDescent="0.25">
      <c r="A3669" t="str">
        <f>"41734104  "</f>
        <v xml:space="preserve">41734104  </v>
      </c>
      <c r="B3669" t="s">
        <v>3541</v>
      </c>
      <c r="C3669">
        <v>31.9</v>
      </c>
      <c r="D3669" t="str">
        <f t="shared" si="166"/>
        <v>250</v>
      </c>
      <c r="E3669" t="str">
        <f>"J3480"</f>
        <v>J3480</v>
      </c>
    </row>
    <row r="3670" spans="1:5" x14ac:dyDescent="0.25">
      <c r="A3670" t="str">
        <f>"41734120  "</f>
        <v xml:space="preserve">41734120  </v>
      </c>
      <c r="B3670" t="s">
        <v>3542</v>
      </c>
      <c r="C3670">
        <v>63.8</v>
      </c>
      <c r="D3670" t="str">
        <f t="shared" si="166"/>
        <v>250</v>
      </c>
      <c r="E3670" t="str">
        <f>"J3490"</f>
        <v>J3490</v>
      </c>
    </row>
    <row r="3671" spans="1:5" x14ac:dyDescent="0.25">
      <c r="A3671" t="str">
        <f>"41734138  "</f>
        <v xml:space="preserve">41734138  </v>
      </c>
      <c r="B3671" t="s">
        <v>3543</v>
      </c>
      <c r="C3671">
        <v>8.8000000000000007</v>
      </c>
      <c r="D3671" t="str">
        <f t="shared" si="166"/>
        <v>250</v>
      </c>
      <c r="E3671" t="str">
        <f>"J8499"</f>
        <v>J8499</v>
      </c>
    </row>
    <row r="3672" spans="1:5" x14ac:dyDescent="0.25">
      <c r="A3672" t="str">
        <f>"41734142"</f>
        <v>41734142</v>
      </c>
      <c r="B3672" t="s">
        <v>3544</v>
      </c>
      <c r="C3672">
        <v>31.9</v>
      </c>
      <c r="D3672" t="str">
        <f>"771"</f>
        <v>771</v>
      </c>
      <c r="E3672" t="str">
        <f>"G0008"</f>
        <v>G0008</v>
      </c>
    </row>
    <row r="3673" spans="1:5" x14ac:dyDescent="0.25">
      <c r="A3673" t="str">
        <f>"41734155"</f>
        <v>41734155</v>
      </c>
      <c r="B3673" t="s">
        <v>3545</v>
      </c>
      <c r="C3673">
        <v>250.53</v>
      </c>
      <c r="D3673" t="str">
        <f>"636"</f>
        <v>636</v>
      </c>
      <c r="E3673" t="str">
        <f>"Q2039"</f>
        <v>Q2039</v>
      </c>
    </row>
    <row r="3674" spans="1:5" x14ac:dyDescent="0.25">
      <c r="A3674" t="str">
        <f>"41734161  "</f>
        <v xml:space="preserve">41734161  </v>
      </c>
      <c r="B3674" t="s">
        <v>3546</v>
      </c>
      <c r="C3674">
        <v>6.6</v>
      </c>
      <c r="D3674" t="str">
        <f>"257"</f>
        <v>257</v>
      </c>
      <c r="E3674" t="str">
        <f>"J3490"</f>
        <v>J3490</v>
      </c>
    </row>
    <row r="3675" spans="1:5" x14ac:dyDescent="0.25">
      <c r="A3675" t="str">
        <f>"41734179  "</f>
        <v xml:space="preserve">41734179  </v>
      </c>
      <c r="B3675" t="s">
        <v>3547</v>
      </c>
      <c r="C3675">
        <v>7.7</v>
      </c>
      <c r="D3675" t="str">
        <f>"250"</f>
        <v>250</v>
      </c>
      <c r="E3675" t="str">
        <f>"J8499"</f>
        <v>J8499</v>
      </c>
    </row>
    <row r="3676" spans="1:5" x14ac:dyDescent="0.25">
      <c r="A3676" t="str">
        <f>"41734187  "</f>
        <v xml:space="preserve">41734187  </v>
      </c>
      <c r="B3676" t="s">
        <v>3548</v>
      </c>
      <c r="C3676">
        <v>125.4</v>
      </c>
      <c r="D3676" t="str">
        <f>"636"</f>
        <v>636</v>
      </c>
      <c r="E3676" t="str">
        <f>"90674"</f>
        <v>90674</v>
      </c>
    </row>
    <row r="3677" spans="1:5" x14ac:dyDescent="0.25">
      <c r="A3677" t="str">
        <f>"41734187  "</f>
        <v xml:space="preserve">41734187  </v>
      </c>
      <c r="B3677" t="s">
        <v>3548</v>
      </c>
      <c r="C3677">
        <v>125.4</v>
      </c>
      <c r="D3677" t="str">
        <f>"636"</f>
        <v>636</v>
      </c>
    </row>
    <row r="3678" spans="1:5" x14ac:dyDescent="0.25">
      <c r="A3678" t="str">
        <f>"41734195  "</f>
        <v xml:space="preserve">41734195  </v>
      </c>
      <c r="B3678" t="s">
        <v>3549</v>
      </c>
      <c r="C3678">
        <v>11</v>
      </c>
      <c r="D3678" t="str">
        <f t="shared" ref="D3678:D3692" si="167">"250"</f>
        <v>250</v>
      </c>
      <c r="E3678" t="str">
        <f>"J8499"</f>
        <v>J8499</v>
      </c>
    </row>
    <row r="3679" spans="1:5" x14ac:dyDescent="0.25">
      <c r="A3679" t="str">
        <f>"41734252  "</f>
        <v xml:space="preserve">41734252  </v>
      </c>
      <c r="B3679" t="s">
        <v>3550</v>
      </c>
      <c r="C3679">
        <v>8.8000000000000007</v>
      </c>
      <c r="D3679" t="str">
        <f t="shared" si="167"/>
        <v>250</v>
      </c>
      <c r="E3679" t="str">
        <f>"J8499"</f>
        <v>J8499</v>
      </c>
    </row>
    <row r="3680" spans="1:5" x14ac:dyDescent="0.25">
      <c r="A3680" t="str">
        <f>"41734302  "</f>
        <v xml:space="preserve">41734302  </v>
      </c>
      <c r="B3680" t="s">
        <v>3551</v>
      </c>
      <c r="C3680">
        <v>11</v>
      </c>
      <c r="D3680" t="str">
        <f t="shared" si="167"/>
        <v>250</v>
      </c>
      <c r="E3680" t="str">
        <f>"J8499"</f>
        <v>J8499</v>
      </c>
    </row>
    <row r="3681" spans="1:5" x14ac:dyDescent="0.25">
      <c r="A3681" t="str">
        <f>"41734468  "</f>
        <v xml:space="preserve">41734468  </v>
      </c>
      <c r="B3681" t="s">
        <v>3552</v>
      </c>
      <c r="C3681">
        <v>47.3</v>
      </c>
      <c r="D3681" t="str">
        <f t="shared" si="167"/>
        <v>250</v>
      </c>
      <c r="E3681" t="str">
        <f>"J3490"</f>
        <v>J3490</v>
      </c>
    </row>
    <row r="3682" spans="1:5" x14ac:dyDescent="0.25">
      <c r="A3682" t="str">
        <f>"41734658  "</f>
        <v xml:space="preserve">41734658  </v>
      </c>
      <c r="B3682" t="s">
        <v>3553</v>
      </c>
      <c r="C3682">
        <v>55</v>
      </c>
      <c r="D3682" t="str">
        <f t="shared" si="167"/>
        <v>250</v>
      </c>
      <c r="E3682" t="str">
        <f>"J3490"</f>
        <v>J3490</v>
      </c>
    </row>
    <row r="3683" spans="1:5" x14ac:dyDescent="0.25">
      <c r="A3683" t="str">
        <f>"41734666  "</f>
        <v xml:space="preserve">41734666  </v>
      </c>
      <c r="B3683" t="s">
        <v>3554</v>
      </c>
      <c r="C3683">
        <v>99</v>
      </c>
      <c r="D3683" t="str">
        <f t="shared" si="167"/>
        <v>250</v>
      </c>
      <c r="E3683" t="str">
        <f>"J3490"</f>
        <v>J3490</v>
      </c>
    </row>
    <row r="3684" spans="1:5" x14ac:dyDescent="0.25">
      <c r="A3684" t="str">
        <f>"41734708  "</f>
        <v xml:space="preserve">41734708  </v>
      </c>
      <c r="B3684" t="s">
        <v>3555</v>
      </c>
      <c r="C3684">
        <v>159.78</v>
      </c>
      <c r="D3684" t="str">
        <f t="shared" si="167"/>
        <v>250</v>
      </c>
      <c r="E3684" t="str">
        <f>"J3490"</f>
        <v>J3490</v>
      </c>
    </row>
    <row r="3685" spans="1:5" x14ac:dyDescent="0.25">
      <c r="A3685" t="str">
        <f>"41734757  "</f>
        <v xml:space="preserve">41734757  </v>
      </c>
      <c r="B3685" t="s">
        <v>3556</v>
      </c>
      <c r="C3685">
        <v>57.2</v>
      </c>
      <c r="D3685" t="str">
        <f t="shared" si="167"/>
        <v>250</v>
      </c>
      <c r="E3685" t="str">
        <f>"J3490"</f>
        <v>J3490</v>
      </c>
    </row>
    <row r="3686" spans="1:5" x14ac:dyDescent="0.25">
      <c r="A3686" t="str">
        <f>"41734856  "</f>
        <v xml:space="preserve">41734856  </v>
      </c>
      <c r="B3686" t="s">
        <v>3557</v>
      </c>
      <c r="C3686">
        <v>77</v>
      </c>
      <c r="D3686" t="str">
        <f t="shared" si="167"/>
        <v>250</v>
      </c>
      <c r="E3686" t="str">
        <f>"J3301"</f>
        <v>J3301</v>
      </c>
    </row>
    <row r="3687" spans="1:5" x14ac:dyDescent="0.25">
      <c r="A3687" t="str">
        <f>"41734864  "</f>
        <v xml:space="preserve">41734864  </v>
      </c>
      <c r="B3687" t="s">
        <v>3558</v>
      </c>
      <c r="C3687">
        <v>27.5</v>
      </c>
      <c r="D3687" t="str">
        <f t="shared" si="167"/>
        <v>250</v>
      </c>
      <c r="E3687" t="str">
        <f>"J3301"</f>
        <v>J3301</v>
      </c>
    </row>
    <row r="3688" spans="1:5" x14ac:dyDescent="0.25">
      <c r="A3688" t="str">
        <f>"41734955  "</f>
        <v xml:space="preserve">41734955  </v>
      </c>
      <c r="B3688" t="s">
        <v>3559</v>
      </c>
      <c r="C3688">
        <v>100.1</v>
      </c>
      <c r="D3688" t="str">
        <f t="shared" si="167"/>
        <v>250</v>
      </c>
      <c r="E3688" t="str">
        <f>"X6434"</f>
        <v>X6434</v>
      </c>
    </row>
    <row r="3689" spans="1:5" x14ac:dyDescent="0.25">
      <c r="A3689" t="str">
        <f>"41734955  "</f>
        <v xml:space="preserve">41734955  </v>
      </c>
      <c r="B3689" t="s">
        <v>3559</v>
      </c>
      <c r="C3689">
        <v>100.1</v>
      </c>
      <c r="D3689" t="str">
        <f t="shared" si="167"/>
        <v>250</v>
      </c>
      <c r="E3689" t="str">
        <f>"J3490"</f>
        <v>J3490</v>
      </c>
    </row>
    <row r="3690" spans="1:5" x14ac:dyDescent="0.25">
      <c r="A3690" t="str">
        <f>"41735010  "</f>
        <v xml:space="preserve">41735010  </v>
      </c>
      <c r="B3690" t="s">
        <v>3560</v>
      </c>
      <c r="C3690">
        <v>77</v>
      </c>
      <c r="D3690" t="str">
        <f t="shared" si="167"/>
        <v>250</v>
      </c>
    </row>
    <row r="3691" spans="1:5" x14ac:dyDescent="0.25">
      <c r="A3691" t="str">
        <f>"41735051  "</f>
        <v xml:space="preserve">41735051  </v>
      </c>
      <c r="B3691" t="s">
        <v>3561</v>
      </c>
      <c r="C3691">
        <v>14.85</v>
      </c>
      <c r="D3691" t="str">
        <f t="shared" si="167"/>
        <v>250</v>
      </c>
      <c r="E3691" t="str">
        <f>"J8499"</f>
        <v>J8499</v>
      </c>
    </row>
    <row r="3692" spans="1:5" x14ac:dyDescent="0.25">
      <c r="A3692" t="str">
        <f>"41735119  "</f>
        <v xml:space="preserve">41735119  </v>
      </c>
      <c r="B3692" t="s">
        <v>3562</v>
      </c>
      <c r="C3692">
        <v>8.8000000000000007</v>
      </c>
      <c r="D3692" t="str">
        <f t="shared" si="167"/>
        <v>250</v>
      </c>
      <c r="E3692" t="str">
        <f>"J8499"</f>
        <v>J8499</v>
      </c>
    </row>
    <row r="3693" spans="1:5" x14ac:dyDescent="0.25">
      <c r="A3693" t="str">
        <f>"41735200  "</f>
        <v xml:space="preserve">41735200  </v>
      </c>
      <c r="B3693" t="s">
        <v>3563</v>
      </c>
      <c r="C3693">
        <v>6.6</v>
      </c>
      <c r="D3693" t="str">
        <f>"257"</f>
        <v>257</v>
      </c>
      <c r="E3693" t="str">
        <f>"J8499"</f>
        <v>J8499</v>
      </c>
    </row>
    <row r="3694" spans="1:5" x14ac:dyDescent="0.25">
      <c r="A3694" t="str">
        <f>"41735259  "</f>
        <v xml:space="preserve">41735259  </v>
      </c>
      <c r="B3694" t="s">
        <v>3564</v>
      </c>
      <c r="C3694">
        <v>176</v>
      </c>
      <c r="D3694" t="str">
        <f>"250"</f>
        <v>250</v>
      </c>
      <c r="E3694" t="str">
        <f>"90779"</f>
        <v>90779</v>
      </c>
    </row>
    <row r="3695" spans="1:5" x14ac:dyDescent="0.25">
      <c r="A3695" t="str">
        <f>"41735259  "</f>
        <v xml:space="preserve">41735259  </v>
      </c>
      <c r="B3695" t="s">
        <v>3564</v>
      </c>
      <c r="C3695">
        <v>176</v>
      </c>
      <c r="D3695" t="str">
        <f>"250"</f>
        <v>250</v>
      </c>
      <c r="E3695" t="str">
        <f>"J3490"</f>
        <v>J3490</v>
      </c>
    </row>
    <row r="3696" spans="1:5" x14ac:dyDescent="0.25">
      <c r="A3696" t="str">
        <f>"41735309  "</f>
        <v xml:space="preserve">41735309  </v>
      </c>
      <c r="B3696" t="s">
        <v>3565</v>
      </c>
      <c r="C3696">
        <v>88</v>
      </c>
      <c r="D3696" t="str">
        <f>"250"</f>
        <v>250</v>
      </c>
      <c r="E3696" t="str">
        <f>"J3490"</f>
        <v>J3490</v>
      </c>
    </row>
    <row r="3697" spans="1:5" x14ac:dyDescent="0.25">
      <c r="A3697" t="str">
        <f>"41735358  "</f>
        <v xml:space="preserve">41735358  </v>
      </c>
      <c r="B3697" t="s">
        <v>3566</v>
      </c>
      <c r="C3697">
        <v>88</v>
      </c>
      <c r="D3697" t="str">
        <f>"250"</f>
        <v>250</v>
      </c>
      <c r="E3697" t="str">
        <f>"J3490"</f>
        <v>J3490</v>
      </c>
    </row>
    <row r="3698" spans="1:5" x14ac:dyDescent="0.25">
      <c r="A3698" t="str">
        <f>"41735408  "</f>
        <v xml:space="preserve">41735408  </v>
      </c>
      <c r="B3698" t="s">
        <v>3567</v>
      </c>
      <c r="C3698">
        <v>55</v>
      </c>
      <c r="D3698" t="str">
        <f>"257"</f>
        <v>257</v>
      </c>
      <c r="E3698" t="str">
        <f>"J3490"</f>
        <v>J3490</v>
      </c>
    </row>
    <row r="3699" spans="1:5" x14ac:dyDescent="0.25">
      <c r="A3699" t="str">
        <f>"41735424  "</f>
        <v xml:space="preserve">41735424  </v>
      </c>
      <c r="B3699" t="s">
        <v>3568</v>
      </c>
      <c r="C3699">
        <v>11</v>
      </c>
      <c r="D3699" t="str">
        <f>"250"</f>
        <v>250</v>
      </c>
      <c r="E3699" t="str">
        <f>"J8499"</f>
        <v>J8499</v>
      </c>
    </row>
    <row r="3700" spans="1:5" x14ac:dyDescent="0.25">
      <c r="A3700" t="str">
        <f>"41735457  "</f>
        <v xml:space="preserve">41735457  </v>
      </c>
      <c r="B3700" t="s">
        <v>3569</v>
      </c>
      <c r="C3700">
        <v>6.6</v>
      </c>
      <c r="D3700" t="str">
        <f>"257"</f>
        <v>257</v>
      </c>
      <c r="E3700" t="str">
        <f>"J3490"</f>
        <v>J3490</v>
      </c>
    </row>
    <row r="3701" spans="1:5" x14ac:dyDescent="0.25">
      <c r="A3701" t="str">
        <f>"41735556  "</f>
        <v xml:space="preserve">41735556  </v>
      </c>
      <c r="B3701" t="s">
        <v>3570</v>
      </c>
      <c r="C3701">
        <v>11</v>
      </c>
      <c r="D3701" t="str">
        <f t="shared" ref="D3701:D3710" si="168">"250"</f>
        <v>250</v>
      </c>
      <c r="E3701" t="str">
        <f>"J8499"</f>
        <v>J8499</v>
      </c>
    </row>
    <row r="3702" spans="1:5" x14ac:dyDescent="0.25">
      <c r="A3702" t="str">
        <f>"41735606  "</f>
        <v xml:space="preserve">41735606  </v>
      </c>
      <c r="B3702" t="s">
        <v>3571</v>
      </c>
      <c r="C3702">
        <v>11</v>
      </c>
      <c r="D3702" t="str">
        <f t="shared" si="168"/>
        <v>250</v>
      </c>
      <c r="E3702" t="str">
        <f>"J8499"</f>
        <v>J8499</v>
      </c>
    </row>
    <row r="3703" spans="1:5" x14ac:dyDescent="0.25">
      <c r="A3703" t="str">
        <f>"41735622  "</f>
        <v xml:space="preserve">41735622  </v>
      </c>
      <c r="B3703" t="s">
        <v>3572</v>
      </c>
      <c r="C3703">
        <v>17.3</v>
      </c>
      <c r="D3703" t="str">
        <f t="shared" si="168"/>
        <v>250</v>
      </c>
    </row>
    <row r="3704" spans="1:5" x14ac:dyDescent="0.25">
      <c r="A3704" t="str">
        <f>"41735655  "</f>
        <v xml:space="preserve">41735655  </v>
      </c>
      <c r="B3704" t="s">
        <v>3573</v>
      </c>
      <c r="C3704">
        <v>38.5</v>
      </c>
      <c r="D3704" t="str">
        <f t="shared" si="168"/>
        <v>250</v>
      </c>
      <c r="E3704" t="str">
        <f>"X6080"</f>
        <v>X6080</v>
      </c>
    </row>
    <row r="3705" spans="1:5" x14ac:dyDescent="0.25">
      <c r="A3705" t="str">
        <f>"41735655  "</f>
        <v xml:space="preserve">41735655  </v>
      </c>
      <c r="B3705" t="s">
        <v>3573</v>
      </c>
      <c r="C3705">
        <v>38.5</v>
      </c>
      <c r="D3705" t="str">
        <f t="shared" si="168"/>
        <v>250</v>
      </c>
      <c r="E3705" t="str">
        <f>"J1160"</f>
        <v>J1160</v>
      </c>
    </row>
    <row r="3706" spans="1:5" x14ac:dyDescent="0.25">
      <c r="A3706" t="str">
        <f>"41735705  "</f>
        <v xml:space="preserve">41735705  </v>
      </c>
      <c r="B3706" t="s">
        <v>3574</v>
      </c>
      <c r="C3706">
        <v>6.6</v>
      </c>
      <c r="D3706" t="str">
        <f t="shared" si="168"/>
        <v>250</v>
      </c>
      <c r="E3706" t="str">
        <f>"J8499"</f>
        <v>J8499</v>
      </c>
    </row>
    <row r="3707" spans="1:5" x14ac:dyDescent="0.25">
      <c r="A3707" t="str">
        <f>"41735713  "</f>
        <v xml:space="preserve">41735713  </v>
      </c>
      <c r="B3707" t="s">
        <v>3575</v>
      </c>
      <c r="C3707">
        <v>9.9</v>
      </c>
      <c r="D3707" t="str">
        <f t="shared" si="168"/>
        <v>250</v>
      </c>
      <c r="E3707" t="str">
        <f>"J3490"</f>
        <v>J3490</v>
      </c>
    </row>
    <row r="3708" spans="1:5" x14ac:dyDescent="0.25">
      <c r="A3708" t="str">
        <f>"41735721  "</f>
        <v xml:space="preserve">41735721  </v>
      </c>
      <c r="B3708" t="s">
        <v>3576</v>
      </c>
      <c r="C3708">
        <v>9.9</v>
      </c>
      <c r="D3708" t="str">
        <f t="shared" si="168"/>
        <v>250</v>
      </c>
      <c r="E3708" t="str">
        <f>"J3490"</f>
        <v>J3490</v>
      </c>
    </row>
    <row r="3709" spans="1:5" x14ac:dyDescent="0.25">
      <c r="A3709" t="str">
        <f>"41735747  "</f>
        <v xml:space="preserve">41735747  </v>
      </c>
      <c r="B3709" t="s">
        <v>3577</v>
      </c>
      <c r="C3709">
        <v>9.9</v>
      </c>
      <c r="D3709" t="str">
        <f t="shared" si="168"/>
        <v>250</v>
      </c>
      <c r="E3709" t="str">
        <f>"J3490"</f>
        <v>J3490</v>
      </c>
    </row>
    <row r="3710" spans="1:5" x14ac:dyDescent="0.25">
      <c r="A3710" t="str">
        <f>"41735762  "</f>
        <v xml:space="preserve">41735762  </v>
      </c>
      <c r="B3710" t="s">
        <v>3578</v>
      </c>
      <c r="C3710">
        <v>9.9</v>
      </c>
      <c r="D3710" t="str">
        <f t="shared" si="168"/>
        <v>250</v>
      </c>
      <c r="E3710" t="str">
        <f>"J3490"</f>
        <v>J3490</v>
      </c>
    </row>
    <row r="3711" spans="1:5" x14ac:dyDescent="0.25">
      <c r="A3711" t="str">
        <f>"41736026  "</f>
        <v xml:space="preserve">41736026  </v>
      </c>
      <c r="B3711" t="s">
        <v>3579</v>
      </c>
      <c r="C3711">
        <v>6.6</v>
      </c>
      <c r="D3711" t="str">
        <f>"257"</f>
        <v>257</v>
      </c>
    </row>
    <row r="3712" spans="1:5" x14ac:dyDescent="0.25">
      <c r="A3712" t="str">
        <f>"41736109  "</f>
        <v xml:space="preserve">41736109  </v>
      </c>
      <c r="B3712" t="s">
        <v>3580</v>
      </c>
      <c r="C3712">
        <v>27.5</v>
      </c>
      <c r="D3712" t="str">
        <f>"250"</f>
        <v>250</v>
      </c>
      <c r="E3712" t="str">
        <f>"X6228"</f>
        <v>X6228</v>
      </c>
    </row>
    <row r="3713" spans="1:5" x14ac:dyDescent="0.25">
      <c r="A3713" t="str">
        <f>"41736109  "</f>
        <v xml:space="preserve">41736109  </v>
      </c>
      <c r="B3713" t="s">
        <v>3580</v>
      </c>
      <c r="C3713">
        <v>27.5</v>
      </c>
      <c r="D3713" t="str">
        <f>"250"</f>
        <v>250</v>
      </c>
      <c r="E3713" t="str">
        <f>"J1940"</f>
        <v>J1940</v>
      </c>
    </row>
    <row r="3714" spans="1:5" x14ac:dyDescent="0.25">
      <c r="A3714" t="str">
        <f>"41736117  "</f>
        <v xml:space="preserve">41736117  </v>
      </c>
      <c r="B3714" t="s">
        <v>3581</v>
      </c>
      <c r="C3714">
        <v>6.6</v>
      </c>
      <c r="D3714" t="str">
        <f>"250"</f>
        <v>250</v>
      </c>
      <c r="E3714" t="str">
        <f>"J8499"</f>
        <v>J8499</v>
      </c>
    </row>
    <row r="3715" spans="1:5" x14ac:dyDescent="0.25">
      <c r="A3715" t="str">
        <f>"41736125  "</f>
        <v xml:space="preserve">41736125  </v>
      </c>
      <c r="B3715" t="s">
        <v>3582</v>
      </c>
      <c r="C3715">
        <v>11</v>
      </c>
      <c r="D3715" t="str">
        <f>"250"</f>
        <v>250</v>
      </c>
      <c r="E3715" t="str">
        <f>"J8499"</f>
        <v>J8499</v>
      </c>
    </row>
    <row r="3716" spans="1:5" x14ac:dyDescent="0.25">
      <c r="A3716" t="str">
        <f>"41736133  "</f>
        <v xml:space="preserve">41736133  </v>
      </c>
      <c r="B3716" t="s">
        <v>3583</v>
      </c>
      <c r="C3716">
        <v>6.6</v>
      </c>
      <c r="D3716" t="str">
        <f>"257"</f>
        <v>257</v>
      </c>
      <c r="E3716" t="str">
        <f>"J3490"</f>
        <v>J3490</v>
      </c>
    </row>
    <row r="3717" spans="1:5" x14ac:dyDescent="0.25">
      <c r="A3717" t="str">
        <f>"41736158  "</f>
        <v xml:space="preserve">41736158  </v>
      </c>
      <c r="B3717" t="s">
        <v>3584</v>
      </c>
      <c r="C3717">
        <v>7.7</v>
      </c>
      <c r="D3717" t="str">
        <f>"250"</f>
        <v>250</v>
      </c>
      <c r="E3717" t="str">
        <f>"J8499"</f>
        <v>J8499</v>
      </c>
    </row>
    <row r="3718" spans="1:5" x14ac:dyDescent="0.25">
      <c r="A3718" t="str">
        <f>"41736166  "</f>
        <v xml:space="preserve">41736166  </v>
      </c>
      <c r="B3718" t="s">
        <v>3585</v>
      </c>
      <c r="C3718">
        <v>8.8000000000000007</v>
      </c>
      <c r="D3718" t="str">
        <f>"250"</f>
        <v>250</v>
      </c>
      <c r="E3718" t="str">
        <f>"J8499"</f>
        <v>J8499</v>
      </c>
    </row>
    <row r="3719" spans="1:5" x14ac:dyDescent="0.25">
      <c r="A3719" t="str">
        <f>"41736174  "</f>
        <v xml:space="preserve">41736174  </v>
      </c>
      <c r="B3719" t="s">
        <v>3586</v>
      </c>
      <c r="C3719">
        <v>6.6</v>
      </c>
      <c r="D3719" t="str">
        <f>"250"</f>
        <v>250</v>
      </c>
      <c r="E3719" t="str">
        <f>"J8499"</f>
        <v>J8499</v>
      </c>
    </row>
    <row r="3720" spans="1:5" x14ac:dyDescent="0.25">
      <c r="A3720" t="str">
        <f>"41736216  "</f>
        <v xml:space="preserve">41736216  </v>
      </c>
      <c r="B3720" t="s">
        <v>3587</v>
      </c>
      <c r="C3720">
        <v>93.5</v>
      </c>
      <c r="D3720" t="str">
        <f>"250"</f>
        <v>250</v>
      </c>
      <c r="E3720" t="str">
        <f>"90779"</f>
        <v>90779</v>
      </c>
    </row>
    <row r="3721" spans="1:5" x14ac:dyDescent="0.25">
      <c r="A3721" t="str">
        <f>"41736216  "</f>
        <v xml:space="preserve">41736216  </v>
      </c>
      <c r="B3721" t="s">
        <v>3587</v>
      </c>
      <c r="C3721">
        <v>93.5</v>
      </c>
      <c r="D3721" t="str">
        <f>"250"</f>
        <v>250</v>
      </c>
      <c r="E3721" t="str">
        <f>"J2770"</f>
        <v>J2770</v>
      </c>
    </row>
    <row r="3722" spans="1:5" x14ac:dyDescent="0.25">
      <c r="A3722" t="str">
        <f>"41736224  "</f>
        <v xml:space="preserve">41736224  </v>
      </c>
      <c r="B3722" t="s">
        <v>3588</v>
      </c>
      <c r="C3722">
        <v>108.9</v>
      </c>
      <c r="D3722" t="str">
        <f>"257"</f>
        <v>257</v>
      </c>
    </row>
    <row r="3723" spans="1:5" x14ac:dyDescent="0.25">
      <c r="A3723" t="str">
        <f>"41736257  "</f>
        <v xml:space="preserve">41736257  </v>
      </c>
      <c r="B3723" t="s">
        <v>3589</v>
      </c>
      <c r="C3723">
        <v>16.350000000000001</v>
      </c>
      <c r="D3723" t="str">
        <f t="shared" ref="D3723:D3758" si="169">"250"</f>
        <v>250</v>
      </c>
    </row>
    <row r="3724" spans="1:5" x14ac:dyDescent="0.25">
      <c r="A3724" t="str">
        <f>"41736299  "</f>
        <v xml:space="preserve">41736299  </v>
      </c>
      <c r="B3724" t="s">
        <v>3590</v>
      </c>
      <c r="C3724">
        <v>12.67</v>
      </c>
      <c r="D3724" t="str">
        <f t="shared" si="169"/>
        <v>250</v>
      </c>
    </row>
    <row r="3725" spans="1:5" x14ac:dyDescent="0.25">
      <c r="A3725" t="str">
        <f>"41736455  "</f>
        <v xml:space="preserve">41736455  </v>
      </c>
      <c r="B3725" t="s">
        <v>3591</v>
      </c>
      <c r="C3725">
        <v>66</v>
      </c>
      <c r="D3725" t="str">
        <f t="shared" si="169"/>
        <v>250</v>
      </c>
      <c r="E3725" t="str">
        <f>"X6452"</f>
        <v>X6452</v>
      </c>
    </row>
    <row r="3726" spans="1:5" x14ac:dyDescent="0.25">
      <c r="A3726" t="str">
        <f>"41736455  "</f>
        <v xml:space="preserve">41736455  </v>
      </c>
      <c r="B3726" t="s">
        <v>3591</v>
      </c>
      <c r="C3726">
        <v>66</v>
      </c>
      <c r="D3726" t="str">
        <f t="shared" si="169"/>
        <v>250</v>
      </c>
      <c r="E3726" t="str">
        <f>"J3490"</f>
        <v>J3490</v>
      </c>
    </row>
    <row r="3727" spans="1:5" x14ac:dyDescent="0.25">
      <c r="A3727" t="str">
        <f>"41736539  "</f>
        <v xml:space="preserve">41736539  </v>
      </c>
      <c r="B3727" t="s">
        <v>3592</v>
      </c>
      <c r="C3727">
        <v>11</v>
      </c>
      <c r="D3727" t="str">
        <f t="shared" si="169"/>
        <v>250</v>
      </c>
      <c r="E3727" t="str">
        <f>"J8499"</f>
        <v>J8499</v>
      </c>
    </row>
    <row r="3728" spans="1:5" x14ac:dyDescent="0.25">
      <c r="A3728" t="str">
        <f>"41736547  "</f>
        <v xml:space="preserve">41736547  </v>
      </c>
      <c r="B3728" t="s">
        <v>3593</v>
      </c>
      <c r="C3728">
        <v>8.8000000000000007</v>
      </c>
      <c r="D3728" t="str">
        <f t="shared" si="169"/>
        <v>250</v>
      </c>
      <c r="E3728" t="str">
        <f>"J8499"</f>
        <v>J8499</v>
      </c>
    </row>
    <row r="3729" spans="1:5" x14ac:dyDescent="0.25">
      <c r="A3729" t="str">
        <f>"41736604  "</f>
        <v xml:space="preserve">41736604  </v>
      </c>
      <c r="B3729" t="s">
        <v>3594</v>
      </c>
      <c r="C3729">
        <v>11</v>
      </c>
      <c r="D3729" t="str">
        <f t="shared" si="169"/>
        <v>250</v>
      </c>
      <c r="E3729" t="str">
        <f>"J8499"</f>
        <v>J8499</v>
      </c>
    </row>
    <row r="3730" spans="1:5" x14ac:dyDescent="0.25">
      <c r="A3730" t="str">
        <f>"41736620  "</f>
        <v xml:space="preserve">41736620  </v>
      </c>
      <c r="B3730" t="s">
        <v>3595</v>
      </c>
      <c r="C3730">
        <v>8.8000000000000007</v>
      </c>
      <c r="D3730" t="str">
        <f t="shared" si="169"/>
        <v>250</v>
      </c>
      <c r="E3730" t="str">
        <f>"J8499"</f>
        <v>J8499</v>
      </c>
    </row>
    <row r="3731" spans="1:5" x14ac:dyDescent="0.25">
      <c r="A3731" t="str">
        <f>"41736851  "</f>
        <v xml:space="preserve">41736851  </v>
      </c>
      <c r="B3731" t="s">
        <v>3596</v>
      </c>
      <c r="C3731">
        <v>49.5</v>
      </c>
      <c r="D3731" t="str">
        <f t="shared" si="169"/>
        <v>250</v>
      </c>
    </row>
    <row r="3732" spans="1:5" x14ac:dyDescent="0.25">
      <c r="A3732" t="str">
        <f>"41736885  "</f>
        <v xml:space="preserve">41736885  </v>
      </c>
      <c r="B3732" t="s">
        <v>3597</v>
      </c>
      <c r="C3732">
        <v>113.3</v>
      </c>
      <c r="D3732" t="str">
        <f t="shared" si="169"/>
        <v>250</v>
      </c>
      <c r="E3732" t="str">
        <f>"J3490"</f>
        <v>J3490</v>
      </c>
    </row>
    <row r="3733" spans="1:5" x14ac:dyDescent="0.25">
      <c r="A3733" t="str">
        <f>"41736901  "</f>
        <v xml:space="preserve">41736901  </v>
      </c>
      <c r="B3733" t="s">
        <v>3598</v>
      </c>
      <c r="C3733">
        <v>132</v>
      </c>
      <c r="D3733" t="str">
        <f t="shared" si="169"/>
        <v>250</v>
      </c>
      <c r="E3733" t="str">
        <f>"J3490"</f>
        <v>J3490</v>
      </c>
    </row>
    <row r="3734" spans="1:5" x14ac:dyDescent="0.25">
      <c r="A3734" t="str">
        <f>"41736919  "</f>
        <v xml:space="preserve">41736919  </v>
      </c>
      <c r="B3734" t="s">
        <v>3599</v>
      </c>
      <c r="C3734">
        <v>501.05</v>
      </c>
      <c r="D3734" t="str">
        <f t="shared" si="169"/>
        <v>250</v>
      </c>
    </row>
    <row r="3735" spans="1:5" x14ac:dyDescent="0.25">
      <c r="A3735" t="str">
        <f>"41736927  "</f>
        <v xml:space="preserve">41736927  </v>
      </c>
      <c r="B3735" t="s">
        <v>3600</v>
      </c>
      <c r="C3735">
        <v>108.9</v>
      </c>
      <c r="D3735" t="str">
        <f t="shared" si="169"/>
        <v>250</v>
      </c>
      <c r="E3735" t="str">
        <f>"J3490"</f>
        <v>J3490</v>
      </c>
    </row>
    <row r="3736" spans="1:5" x14ac:dyDescent="0.25">
      <c r="A3736" t="str">
        <f>"41737156  "</f>
        <v xml:space="preserve">41737156  </v>
      </c>
      <c r="B3736" t="s">
        <v>3601</v>
      </c>
      <c r="C3736">
        <v>7.7</v>
      </c>
      <c r="D3736" t="str">
        <f t="shared" si="169"/>
        <v>250</v>
      </c>
      <c r="E3736" t="str">
        <f>"J8499"</f>
        <v>J8499</v>
      </c>
    </row>
    <row r="3737" spans="1:5" x14ac:dyDescent="0.25">
      <c r="A3737" t="str">
        <f>"41737164  "</f>
        <v xml:space="preserve">41737164  </v>
      </c>
      <c r="B3737" t="s">
        <v>3602</v>
      </c>
      <c r="C3737">
        <v>237.6</v>
      </c>
      <c r="D3737" t="str">
        <f t="shared" si="169"/>
        <v>250</v>
      </c>
      <c r="E3737" t="str">
        <f>"J1631"</f>
        <v>J1631</v>
      </c>
    </row>
    <row r="3738" spans="1:5" x14ac:dyDescent="0.25">
      <c r="A3738" t="str">
        <f>"41737354  "</f>
        <v xml:space="preserve">41737354  </v>
      </c>
      <c r="B3738" t="s">
        <v>3603</v>
      </c>
      <c r="C3738">
        <v>6.6</v>
      </c>
      <c r="D3738" t="str">
        <f t="shared" si="169"/>
        <v>250</v>
      </c>
      <c r="E3738" t="str">
        <f>"J8499"</f>
        <v>J8499</v>
      </c>
    </row>
    <row r="3739" spans="1:5" x14ac:dyDescent="0.25">
      <c r="A3739" t="str">
        <f>"41737362  "</f>
        <v xml:space="preserve">41737362  </v>
      </c>
      <c r="B3739" t="s">
        <v>3604</v>
      </c>
      <c r="C3739">
        <v>49.5</v>
      </c>
      <c r="D3739" t="str">
        <f t="shared" si="169"/>
        <v>250</v>
      </c>
      <c r="E3739" t="str">
        <f>"90779"</f>
        <v>90779</v>
      </c>
    </row>
    <row r="3740" spans="1:5" x14ac:dyDescent="0.25">
      <c r="A3740" t="str">
        <f>"41737362  "</f>
        <v xml:space="preserve">41737362  </v>
      </c>
      <c r="B3740" t="s">
        <v>3604</v>
      </c>
      <c r="C3740">
        <v>49.5</v>
      </c>
      <c r="D3740" t="str">
        <f t="shared" si="169"/>
        <v>250</v>
      </c>
      <c r="E3740" t="str">
        <f>"J3490"</f>
        <v>J3490</v>
      </c>
    </row>
    <row r="3741" spans="1:5" x14ac:dyDescent="0.25">
      <c r="A3741" t="str">
        <f>"41737404  "</f>
        <v xml:space="preserve">41737404  </v>
      </c>
      <c r="B3741" t="s">
        <v>3605</v>
      </c>
      <c r="C3741">
        <v>7.7</v>
      </c>
      <c r="D3741" t="str">
        <f t="shared" si="169"/>
        <v>250</v>
      </c>
      <c r="E3741" t="str">
        <f>"J8499"</f>
        <v>J8499</v>
      </c>
    </row>
    <row r="3742" spans="1:5" x14ac:dyDescent="0.25">
      <c r="A3742" t="str">
        <f>"41737412  "</f>
        <v xml:space="preserve">41737412  </v>
      </c>
      <c r="B3742" t="s">
        <v>3606</v>
      </c>
      <c r="C3742">
        <v>7.7</v>
      </c>
      <c r="D3742" t="str">
        <f t="shared" si="169"/>
        <v>250</v>
      </c>
      <c r="E3742" t="str">
        <f>"J8499"</f>
        <v>J8499</v>
      </c>
    </row>
    <row r="3743" spans="1:5" x14ac:dyDescent="0.25">
      <c r="A3743" t="str">
        <f>"41737420  "</f>
        <v xml:space="preserve">41737420  </v>
      </c>
      <c r="B3743" t="s">
        <v>3607</v>
      </c>
      <c r="C3743">
        <v>9.9</v>
      </c>
      <c r="D3743" t="str">
        <f t="shared" si="169"/>
        <v>250</v>
      </c>
      <c r="E3743" t="str">
        <f>"J8499"</f>
        <v>J8499</v>
      </c>
    </row>
    <row r="3744" spans="1:5" x14ac:dyDescent="0.25">
      <c r="A3744" t="str">
        <f>"41737461  "</f>
        <v xml:space="preserve">41737461  </v>
      </c>
      <c r="B3744" t="s">
        <v>3608</v>
      </c>
      <c r="C3744">
        <v>6.6</v>
      </c>
      <c r="D3744" t="str">
        <f t="shared" si="169"/>
        <v>250</v>
      </c>
      <c r="E3744" t="str">
        <f>"J8499"</f>
        <v>J8499</v>
      </c>
    </row>
    <row r="3745" spans="1:5" x14ac:dyDescent="0.25">
      <c r="A3745" t="str">
        <f>"41737479  "</f>
        <v xml:space="preserve">41737479  </v>
      </c>
      <c r="B3745" t="s">
        <v>3609</v>
      </c>
      <c r="C3745">
        <v>146.30000000000001</v>
      </c>
      <c r="D3745" t="str">
        <f t="shared" si="169"/>
        <v>250</v>
      </c>
      <c r="E3745" t="str">
        <f>"J3490"</f>
        <v>J3490</v>
      </c>
    </row>
    <row r="3746" spans="1:5" x14ac:dyDescent="0.25">
      <c r="A3746" t="str">
        <f>"41737503  "</f>
        <v xml:space="preserve">41737503  </v>
      </c>
      <c r="B3746" t="s">
        <v>3610</v>
      </c>
      <c r="C3746">
        <v>6.6</v>
      </c>
      <c r="D3746" t="str">
        <f t="shared" si="169"/>
        <v>250</v>
      </c>
      <c r="E3746" t="str">
        <f>"J8499"</f>
        <v>J8499</v>
      </c>
    </row>
    <row r="3747" spans="1:5" x14ac:dyDescent="0.25">
      <c r="A3747" t="str">
        <f>"41737610  "</f>
        <v xml:space="preserve">41737610  </v>
      </c>
      <c r="B3747" t="s">
        <v>3611</v>
      </c>
      <c r="C3747">
        <v>350.35</v>
      </c>
      <c r="D3747" t="str">
        <f t="shared" si="169"/>
        <v>250</v>
      </c>
      <c r="E3747" t="str">
        <f>"J3490"</f>
        <v>J3490</v>
      </c>
    </row>
    <row r="3748" spans="1:5" x14ac:dyDescent="0.25">
      <c r="A3748" t="str">
        <f>"41737628  "</f>
        <v xml:space="preserve">41737628  </v>
      </c>
      <c r="B3748" t="s">
        <v>3612</v>
      </c>
      <c r="C3748">
        <v>7.7</v>
      </c>
      <c r="D3748" t="str">
        <f t="shared" si="169"/>
        <v>250</v>
      </c>
    </row>
    <row r="3749" spans="1:5" x14ac:dyDescent="0.25">
      <c r="A3749" t="str">
        <f>"41737701  "</f>
        <v xml:space="preserve">41737701  </v>
      </c>
      <c r="B3749" t="s">
        <v>3613</v>
      </c>
      <c r="C3749">
        <v>132</v>
      </c>
      <c r="D3749" t="str">
        <f t="shared" si="169"/>
        <v>250</v>
      </c>
      <c r="E3749" t="str">
        <f>"J3490"</f>
        <v>J3490</v>
      </c>
    </row>
    <row r="3750" spans="1:5" x14ac:dyDescent="0.25">
      <c r="A3750" t="str">
        <f>"41737719  "</f>
        <v xml:space="preserve">41737719  </v>
      </c>
      <c r="B3750" t="s">
        <v>3614</v>
      </c>
      <c r="C3750">
        <v>6.6</v>
      </c>
      <c r="D3750" t="str">
        <f t="shared" si="169"/>
        <v>250</v>
      </c>
      <c r="E3750" t="str">
        <f>"J8499"</f>
        <v>J8499</v>
      </c>
    </row>
    <row r="3751" spans="1:5" x14ac:dyDescent="0.25">
      <c r="A3751" t="str">
        <f>"41737735  "</f>
        <v xml:space="preserve">41737735  </v>
      </c>
      <c r="B3751" t="s">
        <v>3615</v>
      </c>
      <c r="C3751">
        <v>134.19999999999999</v>
      </c>
      <c r="D3751" t="str">
        <f t="shared" si="169"/>
        <v>250</v>
      </c>
      <c r="E3751" t="str">
        <f>"J3490"</f>
        <v>J3490</v>
      </c>
    </row>
    <row r="3752" spans="1:5" x14ac:dyDescent="0.25">
      <c r="A3752" t="str">
        <f>"41737750  "</f>
        <v xml:space="preserve">41737750  </v>
      </c>
      <c r="B3752" t="s">
        <v>3616</v>
      </c>
      <c r="C3752">
        <v>133.1</v>
      </c>
      <c r="D3752" t="str">
        <f t="shared" si="169"/>
        <v>250</v>
      </c>
      <c r="E3752" t="str">
        <f>"J3490"</f>
        <v>J3490</v>
      </c>
    </row>
    <row r="3753" spans="1:5" x14ac:dyDescent="0.25">
      <c r="A3753" t="str">
        <f>"41737883  "</f>
        <v xml:space="preserve">41737883  </v>
      </c>
      <c r="B3753" t="s">
        <v>3617</v>
      </c>
      <c r="C3753">
        <v>476.63</v>
      </c>
      <c r="D3753" t="str">
        <f t="shared" si="169"/>
        <v>250</v>
      </c>
      <c r="E3753" t="str">
        <f>"90732"</f>
        <v>90732</v>
      </c>
    </row>
    <row r="3754" spans="1:5" x14ac:dyDescent="0.25">
      <c r="A3754" t="str">
        <f>"41737883  "</f>
        <v xml:space="preserve">41737883  </v>
      </c>
      <c r="B3754" t="s">
        <v>3617</v>
      </c>
      <c r="C3754">
        <v>476.63</v>
      </c>
      <c r="D3754" t="str">
        <f t="shared" si="169"/>
        <v>250</v>
      </c>
    </row>
    <row r="3755" spans="1:5" x14ac:dyDescent="0.25">
      <c r="A3755" t="str">
        <f>"41737909  "</f>
        <v xml:space="preserve">41737909  </v>
      </c>
      <c r="B3755" t="s">
        <v>3618</v>
      </c>
      <c r="C3755">
        <v>16.5</v>
      </c>
      <c r="D3755" t="str">
        <f t="shared" si="169"/>
        <v>250</v>
      </c>
      <c r="E3755" t="str">
        <f>"J8499"</f>
        <v>J8499</v>
      </c>
    </row>
    <row r="3756" spans="1:5" x14ac:dyDescent="0.25">
      <c r="A3756" t="str">
        <f>"41737917  "</f>
        <v xml:space="preserve">41737917  </v>
      </c>
      <c r="B3756" t="s">
        <v>3619</v>
      </c>
      <c r="C3756">
        <v>237.6</v>
      </c>
      <c r="D3756" t="str">
        <f t="shared" si="169"/>
        <v>250</v>
      </c>
      <c r="E3756" t="str">
        <f>"90779"</f>
        <v>90779</v>
      </c>
    </row>
    <row r="3757" spans="1:5" x14ac:dyDescent="0.25">
      <c r="A3757" t="str">
        <f>"41737917  "</f>
        <v xml:space="preserve">41737917  </v>
      </c>
      <c r="B3757" t="s">
        <v>3619</v>
      </c>
      <c r="C3757">
        <v>237.6</v>
      </c>
      <c r="D3757" t="str">
        <f t="shared" si="169"/>
        <v>250</v>
      </c>
      <c r="E3757" t="str">
        <f>"P9046"</f>
        <v>P9046</v>
      </c>
    </row>
    <row r="3758" spans="1:5" x14ac:dyDescent="0.25">
      <c r="A3758" t="str">
        <f>"41737925  "</f>
        <v xml:space="preserve">41737925  </v>
      </c>
      <c r="B3758" t="s">
        <v>3620</v>
      </c>
      <c r="C3758">
        <v>128.69999999999999</v>
      </c>
      <c r="D3758" t="str">
        <f t="shared" si="169"/>
        <v>250</v>
      </c>
      <c r="E3758" t="str">
        <f>"J3490"</f>
        <v>J3490</v>
      </c>
    </row>
    <row r="3759" spans="1:5" x14ac:dyDescent="0.25">
      <c r="A3759" t="str">
        <f>"41737933  "</f>
        <v xml:space="preserve">41737933  </v>
      </c>
      <c r="B3759" t="s">
        <v>3621</v>
      </c>
      <c r="C3759">
        <v>91.85</v>
      </c>
      <c r="D3759" t="str">
        <f>"257"</f>
        <v>257</v>
      </c>
      <c r="E3759" t="str">
        <f>"J3490"</f>
        <v>J3490</v>
      </c>
    </row>
    <row r="3760" spans="1:5" x14ac:dyDescent="0.25">
      <c r="A3760" t="str">
        <f>"41737941  "</f>
        <v xml:space="preserve">41737941  </v>
      </c>
      <c r="B3760" t="s">
        <v>3622</v>
      </c>
      <c r="C3760">
        <v>27.5</v>
      </c>
      <c r="D3760" t="str">
        <f t="shared" ref="D3760:D3765" si="170">"250"</f>
        <v>250</v>
      </c>
      <c r="E3760" t="str">
        <f>"J3490"</f>
        <v>J3490</v>
      </c>
    </row>
    <row r="3761" spans="1:5" x14ac:dyDescent="0.25">
      <c r="A3761" t="str">
        <f>"41737958  "</f>
        <v xml:space="preserve">41737958  </v>
      </c>
      <c r="B3761" t="s">
        <v>3623</v>
      </c>
      <c r="C3761">
        <v>9.9</v>
      </c>
      <c r="D3761" t="str">
        <f t="shared" si="170"/>
        <v>250</v>
      </c>
      <c r="E3761" t="str">
        <f>"90779"</f>
        <v>90779</v>
      </c>
    </row>
    <row r="3762" spans="1:5" x14ac:dyDescent="0.25">
      <c r="A3762" t="str">
        <f>"41737958  "</f>
        <v xml:space="preserve">41737958  </v>
      </c>
      <c r="B3762" t="s">
        <v>3623</v>
      </c>
      <c r="C3762">
        <v>9.9</v>
      </c>
      <c r="D3762" t="str">
        <f t="shared" si="170"/>
        <v>250</v>
      </c>
      <c r="E3762" t="str">
        <f>"J3490"</f>
        <v>J3490</v>
      </c>
    </row>
    <row r="3763" spans="1:5" x14ac:dyDescent="0.25">
      <c r="A3763" t="str">
        <f>"41737966  "</f>
        <v xml:space="preserve">41737966  </v>
      </c>
      <c r="B3763" t="s">
        <v>3624</v>
      </c>
      <c r="C3763">
        <v>165</v>
      </c>
      <c r="D3763" t="str">
        <f t="shared" si="170"/>
        <v>250</v>
      </c>
      <c r="E3763" t="str">
        <f>"X6600"</f>
        <v>X6600</v>
      </c>
    </row>
    <row r="3764" spans="1:5" x14ac:dyDescent="0.25">
      <c r="A3764" t="str">
        <f>"41737966  "</f>
        <v xml:space="preserve">41737966  </v>
      </c>
      <c r="B3764" t="s">
        <v>3624</v>
      </c>
      <c r="C3764">
        <v>165</v>
      </c>
      <c r="D3764" t="str">
        <f t="shared" si="170"/>
        <v>250</v>
      </c>
      <c r="E3764" t="str">
        <f>"J3490"</f>
        <v>J3490</v>
      </c>
    </row>
    <row r="3765" spans="1:5" x14ac:dyDescent="0.25">
      <c r="A3765" t="str">
        <f>"41737974  "</f>
        <v xml:space="preserve">41737974  </v>
      </c>
      <c r="B3765" t="s">
        <v>3625</v>
      </c>
      <c r="C3765">
        <v>320.10000000000002</v>
      </c>
      <c r="D3765" t="str">
        <f t="shared" si="170"/>
        <v>250</v>
      </c>
      <c r="E3765" t="str">
        <f>"J3490"</f>
        <v>J3490</v>
      </c>
    </row>
    <row r="3766" spans="1:5" x14ac:dyDescent="0.25">
      <c r="A3766" t="str">
        <f>"41738055  "</f>
        <v xml:space="preserve">41738055  </v>
      </c>
      <c r="B3766" t="s">
        <v>3626</v>
      </c>
      <c r="C3766">
        <v>34.1</v>
      </c>
      <c r="D3766" t="str">
        <f>"257"</f>
        <v>257</v>
      </c>
      <c r="E3766" t="str">
        <f>"J3490"</f>
        <v>J3490</v>
      </c>
    </row>
    <row r="3767" spans="1:5" x14ac:dyDescent="0.25">
      <c r="A3767" t="str">
        <f>"41738154  "</f>
        <v xml:space="preserve">41738154  </v>
      </c>
      <c r="B3767" t="s">
        <v>3627</v>
      </c>
      <c r="C3767">
        <v>23.1</v>
      </c>
      <c r="D3767" t="str">
        <f>"250"</f>
        <v>250</v>
      </c>
      <c r="E3767" t="str">
        <f>"J8499"</f>
        <v>J8499</v>
      </c>
    </row>
    <row r="3768" spans="1:5" x14ac:dyDescent="0.25">
      <c r="A3768" t="str">
        <f>"41738196  "</f>
        <v xml:space="preserve">41738196  </v>
      </c>
      <c r="B3768" t="s">
        <v>3628</v>
      </c>
      <c r="C3768">
        <v>40.65</v>
      </c>
      <c r="D3768" t="str">
        <f>"250"</f>
        <v>250</v>
      </c>
      <c r="E3768" t="str">
        <f>"J8499"</f>
        <v>J8499</v>
      </c>
    </row>
    <row r="3769" spans="1:5" x14ac:dyDescent="0.25">
      <c r="A3769" t="str">
        <f>"41738204  "</f>
        <v xml:space="preserve">41738204  </v>
      </c>
      <c r="B3769" t="s">
        <v>3629</v>
      </c>
      <c r="C3769">
        <v>34.1</v>
      </c>
      <c r="D3769" t="str">
        <f>"257"</f>
        <v>257</v>
      </c>
      <c r="E3769" t="str">
        <f>"J3490"</f>
        <v>J3490</v>
      </c>
    </row>
    <row r="3770" spans="1:5" x14ac:dyDescent="0.25">
      <c r="A3770" t="str">
        <f>"41738303  "</f>
        <v xml:space="preserve">41738303  </v>
      </c>
      <c r="B3770" t="s">
        <v>3630</v>
      </c>
      <c r="C3770">
        <v>13.2</v>
      </c>
      <c r="D3770" t="str">
        <f t="shared" ref="D3770:D3796" si="171">"250"</f>
        <v>250</v>
      </c>
      <c r="E3770" t="str">
        <f>"J8499"</f>
        <v>J8499</v>
      </c>
    </row>
    <row r="3771" spans="1:5" x14ac:dyDescent="0.25">
      <c r="A3771" t="str">
        <f>"41738352  "</f>
        <v xml:space="preserve">41738352  </v>
      </c>
      <c r="B3771" t="s">
        <v>3631</v>
      </c>
      <c r="C3771">
        <v>11</v>
      </c>
      <c r="D3771" t="str">
        <f t="shared" si="171"/>
        <v>250</v>
      </c>
      <c r="E3771" t="str">
        <f>"J8499"</f>
        <v>J8499</v>
      </c>
    </row>
    <row r="3772" spans="1:5" x14ac:dyDescent="0.25">
      <c r="A3772" t="str">
        <f>"41738451  "</f>
        <v xml:space="preserve">41738451  </v>
      </c>
      <c r="B3772" t="s">
        <v>3632</v>
      </c>
      <c r="C3772">
        <v>22</v>
      </c>
      <c r="D3772" t="str">
        <f t="shared" si="171"/>
        <v>250</v>
      </c>
      <c r="E3772" t="str">
        <f>"J3490"</f>
        <v>J3490</v>
      </c>
    </row>
    <row r="3773" spans="1:5" x14ac:dyDescent="0.25">
      <c r="A3773" t="str">
        <f>"41738469  "</f>
        <v xml:space="preserve">41738469  </v>
      </c>
      <c r="B3773" t="s">
        <v>3633</v>
      </c>
      <c r="C3773">
        <v>9.9</v>
      </c>
      <c r="D3773" t="str">
        <f t="shared" si="171"/>
        <v>250</v>
      </c>
      <c r="E3773" t="str">
        <f>"J8499"</f>
        <v>J8499</v>
      </c>
    </row>
    <row r="3774" spans="1:5" x14ac:dyDescent="0.25">
      <c r="A3774" t="str">
        <f>"41738576  "</f>
        <v xml:space="preserve">41738576  </v>
      </c>
      <c r="B3774" t="s">
        <v>3634</v>
      </c>
      <c r="C3774">
        <v>27.5</v>
      </c>
      <c r="D3774" t="str">
        <f t="shared" si="171"/>
        <v>250</v>
      </c>
    </row>
    <row r="3775" spans="1:5" x14ac:dyDescent="0.25">
      <c r="A3775" t="str">
        <f>"41738584  "</f>
        <v xml:space="preserve">41738584  </v>
      </c>
      <c r="B3775" t="s">
        <v>3635</v>
      </c>
      <c r="C3775">
        <v>22</v>
      </c>
      <c r="D3775" t="str">
        <f t="shared" si="171"/>
        <v>250</v>
      </c>
      <c r="E3775" t="str">
        <f>"J3490"</f>
        <v>J3490</v>
      </c>
    </row>
    <row r="3776" spans="1:5" x14ac:dyDescent="0.25">
      <c r="A3776" t="str">
        <f>"41738618  "</f>
        <v xml:space="preserve">41738618  </v>
      </c>
      <c r="B3776" t="s">
        <v>3636</v>
      </c>
      <c r="C3776">
        <v>27.5</v>
      </c>
      <c r="D3776" t="str">
        <f t="shared" si="171"/>
        <v>250</v>
      </c>
      <c r="E3776" t="str">
        <f>"X6520"</f>
        <v>X6520</v>
      </c>
    </row>
    <row r="3777" spans="1:5" x14ac:dyDescent="0.25">
      <c r="A3777" t="str">
        <f>"41738618  "</f>
        <v xml:space="preserve">41738618  </v>
      </c>
      <c r="B3777" t="s">
        <v>3636</v>
      </c>
      <c r="C3777">
        <v>27.5</v>
      </c>
      <c r="D3777" t="str">
        <f t="shared" si="171"/>
        <v>250</v>
      </c>
      <c r="E3777" t="str">
        <f>"J2150"</f>
        <v>J2150</v>
      </c>
    </row>
    <row r="3778" spans="1:5" x14ac:dyDescent="0.25">
      <c r="A3778" t="str">
        <f>"41739004  "</f>
        <v xml:space="preserve">41739004  </v>
      </c>
      <c r="B3778" t="s">
        <v>3637</v>
      </c>
      <c r="C3778">
        <v>110</v>
      </c>
      <c r="D3778" t="str">
        <f t="shared" si="171"/>
        <v>250</v>
      </c>
      <c r="E3778" t="str">
        <f>"J1956"</f>
        <v>J1956</v>
      </c>
    </row>
    <row r="3779" spans="1:5" x14ac:dyDescent="0.25">
      <c r="A3779" t="str">
        <f>"41739061  "</f>
        <v xml:space="preserve">41739061  </v>
      </c>
      <c r="B3779" t="s">
        <v>3638</v>
      </c>
      <c r="C3779">
        <v>27.5</v>
      </c>
      <c r="D3779" t="str">
        <f t="shared" si="171"/>
        <v>250</v>
      </c>
      <c r="E3779" t="str">
        <f>"90779"</f>
        <v>90779</v>
      </c>
    </row>
    <row r="3780" spans="1:5" x14ac:dyDescent="0.25">
      <c r="A3780" t="str">
        <f>"41739061  "</f>
        <v xml:space="preserve">41739061  </v>
      </c>
      <c r="B3780" t="s">
        <v>3638</v>
      </c>
      <c r="C3780">
        <v>27.5</v>
      </c>
      <c r="D3780" t="str">
        <f t="shared" si="171"/>
        <v>250</v>
      </c>
      <c r="E3780" t="str">
        <f>"J3490"</f>
        <v>J3490</v>
      </c>
    </row>
    <row r="3781" spans="1:5" x14ac:dyDescent="0.25">
      <c r="A3781" t="str">
        <f>"41739079  "</f>
        <v xml:space="preserve">41739079  </v>
      </c>
      <c r="B3781" t="s">
        <v>3639</v>
      </c>
      <c r="C3781">
        <v>27.5</v>
      </c>
      <c r="D3781" t="str">
        <f t="shared" si="171"/>
        <v>250</v>
      </c>
      <c r="E3781" t="str">
        <f>"90779"</f>
        <v>90779</v>
      </c>
    </row>
    <row r="3782" spans="1:5" x14ac:dyDescent="0.25">
      <c r="A3782" t="str">
        <f>"41739079  "</f>
        <v xml:space="preserve">41739079  </v>
      </c>
      <c r="B3782" t="s">
        <v>3639</v>
      </c>
      <c r="C3782">
        <v>27.5</v>
      </c>
      <c r="D3782" t="str">
        <f t="shared" si="171"/>
        <v>250</v>
      </c>
      <c r="E3782" t="str">
        <f>"J3490"</f>
        <v>J3490</v>
      </c>
    </row>
    <row r="3783" spans="1:5" x14ac:dyDescent="0.25">
      <c r="A3783" t="str">
        <f>"41739103  "</f>
        <v xml:space="preserve">41739103  </v>
      </c>
      <c r="B3783" t="s">
        <v>3640</v>
      </c>
      <c r="C3783">
        <v>27.5</v>
      </c>
      <c r="D3783" t="str">
        <f t="shared" si="171"/>
        <v>250</v>
      </c>
      <c r="E3783" t="str">
        <f>"90779"</f>
        <v>90779</v>
      </c>
    </row>
    <row r="3784" spans="1:5" x14ac:dyDescent="0.25">
      <c r="A3784" t="str">
        <f>"41739103  "</f>
        <v xml:space="preserve">41739103  </v>
      </c>
      <c r="B3784" t="s">
        <v>3640</v>
      </c>
      <c r="C3784">
        <v>27.5</v>
      </c>
      <c r="D3784" t="str">
        <f t="shared" si="171"/>
        <v>250</v>
      </c>
      <c r="E3784" t="str">
        <f>"J3490"</f>
        <v>J3490</v>
      </c>
    </row>
    <row r="3785" spans="1:5" x14ac:dyDescent="0.25">
      <c r="A3785" t="str">
        <f>"41739509  "</f>
        <v xml:space="preserve">41739509  </v>
      </c>
      <c r="B3785" t="s">
        <v>3641</v>
      </c>
      <c r="C3785">
        <v>891</v>
      </c>
      <c r="D3785" t="str">
        <f t="shared" si="171"/>
        <v>250</v>
      </c>
      <c r="E3785" t="str">
        <f>"J3490"</f>
        <v>J3490</v>
      </c>
    </row>
    <row r="3786" spans="1:5" x14ac:dyDescent="0.25">
      <c r="A3786" t="str">
        <f>"41739558  "</f>
        <v xml:space="preserve">41739558  </v>
      </c>
      <c r="B3786" t="s">
        <v>3642</v>
      </c>
      <c r="C3786" s="1">
        <v>1098.9000000000001</v>
      </c>
      <c r="D3786" t="str">
        <f t="shared" si="171"/>
        <v>250</v>
      </c>
      <c r="E3786" t="str">
        <f>"J3490"</f>
        <v>J3490</v>
      </c>
    </row>
    <row r="3787" spans="1:5" x14ac:dyDescent="0.25">
      <c r="A3787" t="str">
        <f>"41739582  "</f>
        <v xml:space="preserve">41739582  </v>
      </c>
      <c r="B3787" t="s">
        <v>3643</v>
      </c>
      <c r="C3787">
        <v>6.6</v>
      </c>
      <c r="D3787" t="str">
        <f t="shared" si="171"/>
        <v>250</v>
      </c>
      <c r="E3787" t="str">
        <f>"J8499"</f>
        <v>J8499</v>
      </c>
    </row>
    <row r="3788" spans="1:5" x14ac:dyDescent="0.25">
      <c r="A3788" t="str">
        <f>"41739764  "</f>
        <v xml:space="preserve">41739764  </v>
      </c>
      <c r="B3788" t="s">
        <v>3644</v>
      </c>
      <c r="C3788">
        <v>600.6</v>
      </c>
      <c r="D3788" t="str">
        <f t="shared" si="171"/>
        <v>250</v>
      </c>
      <c r="E3788" t="str">
        <f>"J3490"</f>
        <v>J3490</v>
      </c>
    </row>
    <row r="3789" spans="1:5" x14ac:dyDescent="0.25">
      <c r="A3789" t="str">
        <f>"41739772  "</f>
        <v xml:space="preserve">41739772  </v>
      </c>
      <c r="B3789" t="s">
        <v>3645</v>
      </c>
      <c r="C3789">
        <v>39.6</v>
      </c>
      <c r="D3789" t="str">
        <f t="shared" si="171"/>
        <v>250</v>
      </c>
      <c r="E3789" t="str">
        <f>"J3490"</f>
        <v>J3490</v>
      </c>
    </row>
    <row r="3790" spans="1:5" x14ac:dyDescent="0.25">
      <c r="A3790" t="str">
        <f>"41739996  "</f>
        <v xml:space="preserve">41739996  </v>
      </c>
      <c r="B3790" t="s">
        <v>3518</v>
      </c>
      <c r="C3790">
        <v>6.6</v>
      </c>
      <c r="D3790" t="str">
        <f t="shared" si="171"/>
        <v>250</v>
      </c>
    </row>
    <row r="3791" spans="1:5" x14ac:dyDescent="0.25">
      <c r="A3791" t="str">
        <f>"41740010  "</f>
        <v xml:space="preserve">41740010  </v>
      </c>
      <c r="B3791" t="s">
        <v>3646</v>
      </c>
      <c r="C3791">
        <v>16.5</v>
      </c>
      <c r="D3791" t="str">
        <f t="shared" si="171"/>
        <v>250</v>
      </c>
    </row>
    <row r="3792" spans="1:5" x14ac:dyDescent="0.25">
      <c r="A3792" t="str">
        <f>"41740028  "</f>
        <v xml:space="preserve">41740028  </v>
      </c>
      <c r="B3792" t="s">
        <v>3647</v>
      </c>
      <c r="C3792">
        <v>11</v>
      </c>
      <c r="D3792" t="str">
        <f t="shared" si="171"/>
        <v>250</v>
      </c>
    </row>
    <row r="3793" spans="1:5" x14ac:dyDescent="0.25">
      <c r="A3793" t="str">
        <f>"41740036  "</f>
        <v xml:space="preserve">41740036  </v>
      </c>
      <c r="B3793" t="s">
        <v>3648</v>
      </c>
      <c r="C3793">
        <v>9.9</v>
      </c>
      <c r="D3793" t="str">
        <f t="shared" si="171"/>
        <v>250</v>
      </c>
    </row>
    <row r="3794" spans="1:5" x14ac:dyDescent="0.25">
      <c r="A3794" t="str">
        <f>"41740044  "</f>
        <v xml:space="preserve">41740044  </v>
      </c>
      <c r="B3794" t="s">
        <v>3649</v>
      </c>
      <c r="C3794">
        <v>10.84</v>
      </c>
      <c r="D3794" t="str">
        <f t="shared" si="171"/>
        <v>250</v>
      </c>
    </row>
    <row r="3795" spans="1:5" x14ac:dyDescent="0.25">
      <c r="A3795" t="str">
        <f>"41740051  "</f>
        <v xml:space="preserve">41740051  </v>
      </c>
      <c r="B3795" t="s">
        <v>3650</v>
      </c>
      <c r="C3795">
        <v>6.6</v>
      </c>
      <c r="D3795" t="str">
        <f t="shared" si="171"/>
        <v>250</v>
      </c>
      <c r="E3795" t="str">
        <f>"J7509"</f>
        <v>J7509</v>
      </c>
    </row>
    <row r="3796" spans="1:5" x14ac:dyDescent="0.25">
      <c r="A3796" t="str">
        <f>"41740085  "</f>
        <v xml:space="preserve">41740085  </v>
      </c>
      <c r="B3796" t="s">
        <v>3651</v>
      </c>
      <c r="C3796">
        <v>231.44</v>
      </c>
      <c r="D3796" t="str">
        <f t="shared" si="171"/>
        <v>250</v>
      </c>
    </row>
    <row r="3797" spans="1:5" x14ac:dyDescent="0.25">
      <c r="A3797" t="str">
        <f>"41740093  "</f>
        <v xml:space="preserve">41740093  </v>
      </c>
      <c r="B3797" t="s">
        <v>3652</v>
      </c>
      <c r="C3797">
        <v>6.6</v>
      </c>
      <c r="D3797" t="str">
        <f>"257"</f>
        <v>257</v>
      </c>
      <c r="E3797" t="str">
        <f>"J3490"</f>
        <v>J3490</v>
      </c>
    </row>
    <row r="3798" spans="1:5" x14ac:dyDescent="0.25">
      <c r="A3798" t="str">
        <f>"41740101  "</f>
        <v xml:space="preserve">41740101  </v>
      </c>
      <c r="B3798" t="s">
        <v>3653</v>
      </c>
      <c r="C3798">
        <v>110</v>
      </c>
      <c r="D3798" t="str">
        <f t="shared" ref="D3798:D3826" si="172">"250"</f>
        <v>250</v>
      </c>
      <c r="E3798" t="str">
        <f>"X5856"</f>
        <v>X5856</v>
      </c>
    </row>
    <row r="3799" spans="1:5" x14ac:dyDescent="0.25">
      <c r="A3799" t="str">
        <f>"41740101  "</f>
        <v xml:space="preserve">41740101  </v>
      </c>
      <c r="B3799" t="s">
        <v>3653</v>
      </c>
      <c r="C3799">
        <v>110</v>
      </c>
      <c r="D3799" t="str">
        <f t="shared" si="172"/>
        <v>250</v>
      </c>
      <c r="E3799" t="str">
        <f>"J0694"</f>
        <v>J0694</v>
      </c>
    </row>
    <row r="3800" spans="1:5" x14ac:dyDescent="0.25">
      <c r="A3800" t="str">
        <f>"41740127  "</f>
        <v xml:space="preserve">41740127  </v>
      </c>
      <c r="B3800" t="s">
        <v>3654</v>
      </c>
      <c r="C3800">
        <v>6.6</v>
      </c>
      <c r="D3800" t="str">
        <f t="shared" si="172"/>
        <v>250</v>
      </c>
      <c r="E3800" t="str">
        <f>"J8499"</f>
        <v>J8499</v>
      </c>
    </row>
    <row r="3801" spans="1:5" x14ac:dyDescent="0.25">
      <c r="A3801" t="str">
        <f>"41740176  "</f>
        <v xml:space="preserve">41740176  </v>
      </c>
      <c r="B3801" t="s">
        <v>3655</v>
      </c>
      <c r="C3801">
        <v>30.8</v>
      </c>
      <c r="D3801" t="str">
        <f t="shared" si="172"/>
        <v>250</v>
      </c>
    </row>
    <row r="3802" spans="1:5" x14ac:dyDescent="0.25">
      <c r="A3802" t="str">
        <f>"41740192  "</f>
        <v xml:space="preserve">41740192  </v>
      </c>
      <c r="B3802" t="s">
        <v>3656</v>
      </c>
      <c r="C3802">
        <v>38.5</v>
      </c>
      <c r="D3802" t="str">
        <f t="shared" si="172"/>
        <v>250</v>
      </c>
    </row>
    <row r="3803" spans="1:5" x14ac:dyDescent="0.25">
      <c r="A3803" t="str">
        <f>"41740200  "</f>
        <v xml:space="preserve">41740200  </v>
      </c>
      <c r="B3803" t="s">
        <v>3657</v>
      </c>
      <c r="C3803">
        <v>6.6</v>
      </c>
      <c r="D3803" t="str">
        <f t="shared" si="172"/>
        <v>250</v>
      </c>
      <c r="E3803" t="str">
        <f>"J8499"</f>
        <v>J8499</v>
      </c>
    </row>
    <row r="3804" spans="1:5" x14ac:dyDescent="0.25">
      <c r="A3804" t="str">
        <f>"41740218  "</f>
        <v xml:space="preserve">41740218  </v>
      </c>
      <c r="B3804" t="s">
        <v>3658</v>
      </c>
      <c r="C3804">
        <v>8.8000000000000007</v>
      </c>
      <c r="D3804" t="str">
        <f t="shared" si="172"/>
        <v>250</v>
      </c>
      <c r="E3804" t="str">
        <f>"J8499"</f>
        <v>J8499</v>
      </c>
    </row>
    <row r="3805" spans="1:5" x14ac:dyDescent="0.25">
      <c r="A3805" t="str">
        <f>"41740234  "</f>
        <v xml:space="preserve">41740234  </v>
      </c>
      <c r="B3805" t="s">
        <v>3659</v>
      </c>
      <c r="C3805">
        <v>21.29</v>
      </c>
      <c r="D3805" t="str">
        <f t="shared" si="172"/>
        <v>250</v>
      </c>
    </row>
    <row r="3806" spans="1:5" x14ac:dyDescent="0.25">
      <c r="A3806" t="str">
        <f>"41740242  "</f>
        <v xml:space="preserve">41740242  </v>
      </c>
      <c r="B3806" t="s">
        <v>3660</v>
      </c>
      <c r="C3806">
        <v>89.1</v>
      </c>
      <c r="D3806" t="str">
        <f t="shared" si="172"/>
        <v>250</v>
      </c>
    </row>
    <row r="3807" spans="1:5" x14ac:dyDescent="0.25">
      <c r="A3807" t="str">
        <f>"41740457  "</f>
        <v xml:space="preserve">41740457  </v>
      </c>
      <c r="B3807" t="s">
        <v>3661</v>
      </c>
      <c r="C3807">
        <v>6.6</v>
      </c>
      <c r="D3807" t="str">
        <f t="shared" si="172"/>
        <v>250</v>
      </c>
      <c r="E3807" t="str">
        <f>"J8499"</f>
        <v>J8499</v>
      </c>
    </row>
    <row r="3808" spans="1:5" x14ac:dyDescent="0.25">
      <c r="A3808" t="str">
        <f>"41740507  "</f>
        <v xml:space="preserve">41740507  </v>
      </c>
      <c r="B3808" t="s">
        <v>3662</v>
      </c>
      <c r="C3808">
        <v>441.1</v>
      </c>
      <c r="D3808" t="str">
        <f t="shared" si="172"/>
        <v>250</v>
      </c>
      <c r="E3808" t="str">
        <f>"J8499"</f>
        <v>J8499</v>
      </c>
    </row>
    <row r="3809" spans="1:5" x14ac:dyDescent="0.25">
      <c r="A3809" t="str">
        <f>"41740531  "</f>
        <v xml:space="preserve">41740531  </v>
      </c>
      <c r="B3809" t="s">
        <v>3663</v>
      </c>
      <c r="C3809">
        <v>27.5</v>
      </c>
      <c r="D3809" t="str">
        <f t="shared" si="172"/>
        <v>250</v>
      </c>
    </row>
    <row r="3810" spans="1:5" x14ac:dyDescent="0.25">
      <c r="A3810" t="str">
        <f>"41740622  "</f>
        <v xml:space="preserve">41740622  </v>
      </c>
      <c r="B3810" t="s">
        <v>3664</v>
      </c>
      <c r="C3810">
        <v>6.6</v>
      </c>
      <c r="D3810" t="str">
        <f t="shared" si="172"/>
        <v>250</v>
      </c>
      <c r="E3810" t="str">
        <f>"J8499"</f>
        <v>J8499</v>
      </c>
    </row>
    <row r="3811" spans="1:5" x14ac:dyDescent="0.25">
      <c r="A3811" t="str">
        <f>"41740903  "</f>
        <v xml:space="preserve">41740903  </v>
      </c>
      <c r="B3811" t="s">
        <v>3665</v>
      </c>
      <c r="C3811">
        <v>7.7</v>
      </c>
      <c r="D3811" t="str">
        <f t="shared" si="172"/>
        <v>250</v>
      </c>
      <c r="E3811" t="str">
        <f>"J8499"</f>
        <v>J8499</v>
      </c>
    </row>
    <row r="3812" spans="1:5" x14ac:dyDescent="0.25">
      <c r="A3812" t="str">
        <f>"41740911  "</f>
        <v xml:space="preserve">41740911  </v>
      </c>
      <c r="B3812" t="s">
        <v>3666</v>
      </c>
      <c r="C3812">
        <v>11</v>
      </c>
      <c r="D3812" t="str">
        <f t="shared" si="172"/>
        <v>250</v>
      </c>
      <c r="E3812" t="str">
        <f>"J8499"</f>
        <v>J8499</v>
      </c>
    </row>
    <row r="3813" spans="1:5" x14ac:dyDescent="0.25">
      <c r="A3813" t="str">
        <f>"41740952  "</f>
        <v xml:space="preserve">41740952  </v>
      </c>
      <c r="B3813" t="s">
        <v>3667</v>
      </c>
      <c r="C3813">
        <v>6.6</v>
      </c>
      <c r="D3813" t="str">
        <f t="shared" si="172"/>
        <v>250</v>
      </c>
      <c r="E3813" t="str">
        <f>"J3490"</f>
        <v>J3490</v>
      </c>
    </row>
    <row r="3814" spans="1:5" x14ac:dyDescent="0.25">
      <c r="A3814" t="str">
        <f>"41741059  "</f>
        <v xml:space="preserve">41741059  </v>
      </c>
      <c r="B3814" t="s">
        <v>3668</v>
      </c>
      <c r="C3814">
        <v>6.6</v>
      </c>
      <c r="D3814" t="str">
        <f t="shared" si="172"/>
        <v>250</v>
      </c>
      <c r="E3814" t="str">
        <f>"J8499"</f>
        <v>J8499</v>
      </c>
    </row>
    <row r="3815" spans="1:5" x14ac:dyDescent="0.25">
      <c r="A3815" t="str">
        <f>"41741141  "</f>
        <v xml:space="preserve">41741141  </v>
      </c>
      <c r="B3815" t="s">
        <v>3669</v>
      </c>
      <c r="C3815">
        <v>6.6</v>
      </c>
      <c r="D3815" t="str">
        <f t="shared" si="172"/>
        <v>250</v>
      </c>
      <c r="E3815" t="str">
        <f>"J8499"</f>
        <v>J8499</v>
      </c>
    </row>
    <row r="3816" spans="1:5" x14ac:dyDescent="0.25">
      <c r="A3816" t="str">
        <f>"41741208  "</f>
        <v xml:space="preserve">41741208  </v>
      </c>
      <c r="B3816" t="s">
        <v>3670</v>
      </c>
      <c r="C3816">
        <v>158.4</v>
      </c>
      <c r="D3816" t="str">
        <f t="shared" si="172"/>
        <v>250</v>
      </c>
      <c r="E3816" t="str">
        <f>"X6566"</f>
        <v>X6566</v>
      </c>
    </row>
    <row r="3817" spans="1:5" x14ac:dyDescent="0.25">
      <c r="A3817" t="str">
        <f>"41741208  "</f>
        <v xml:space="preserve">41741208  </v>
      </c>
      <c r="B3817" t="s">
        <v>3670</v>
      </c>
      <c r="C3817">
        <v>158.4</v>
      </c>
      <c r="D3817" t="str">
        <f t="shared" si="172"/>
        <v>250</v>
      </c>
      <c r="E3817" t="str">
        <f>"J2210"</f>
        <v>J2210</v>
      </c>
    </row>
    <row r="3818" spans="1:5" x14ac:dyDescent="0.25">
      <c r="A3818" t="str">
        <f>"41741257  "</f>
        <v xml:space="preserve">41741257  </v>
      </c>
      <c r="B3818" t="s">
        <v>3671</v>
      </c>
      <c r="C3818">
        <v>6.6</v>
      </c>
      <c r="D3818" t="str">
        <f t="shared" si="172"/>
        <v>250</v>
      </c>
      <c r="E3818" t="str">
        <f>"J8499"</f>
        <v>J8499</v>
      </c>
    </row>
    <row r="3819" spans="1:5" x14ac:dyDescent="0.25">
      <c r="A3819" t="str">
        <f>"41741265  "</f>
        <v xml:space="preserve">41741265  </v>
      </c>
      <c r="B3819" t="s">
        <v>3672</v>
      </c>
      <c r="C3819">
        <v>13.2</v>
      </c>
      <c r="D3819" t="str">
        <f t="shared" si="172"/>
        <v>250</v>
      </c>
    </row>
    <row r="3820" spans="1:5" x14ac:dyDescent="0.25">
      <c r="A3820" t="str">
        <f>"41741455  "</f>
        <v xml:space="preserve">41741455  </v>
      </c>
      <c r="B3820" t="s">
        <v>3673</v>
      </c>
      <c r="C3820">
        <v>26.4</v>
      </c>
      <c r="D3820" t="str">
        <f t="shared" si="172"/>
        <v>250</v>
      </c>
      <c r="E3820" t="str">
        <f>"J8610"</f>
        <v>J8610</v>
      </c>
    </row>
    <row r="3821" spans="1:5" x14ac:dyDescent="0.25">
      <c r="A3821" t="str">
        <f>"41741505  "</f>
        <v xml:space="preserve">41741505  </v>
      </c>
      <c r="B3821" t="s">
        <v>3674</v>
      </c>
      <c r="C3821">
        <v>124.3</v>
      </c>
      <c r="D3821" t="str">
        <f t="shared" si="172"/>
        <v>250</v>
      </c>
    </row>
    <row r="3822" spans="1:5" x14ac:dyDescent="0.25">
      <c r="A3822" t="str">
        <f>"41741554  "</f>
        <v xml:space="preserve">41741554  </v>
      </c>
      <c r="B3822" t="s">
        <v>3675</v>
      </c>
      <c r="C3822" s="1">
        <v>1416.8</v>
      </c>
      <c r="D3822" t="str">
        <f t="shared" si="172"/>
        <v>250</v>
      </c>
      <c r="E3822" t="str">
        <f>"J3490"</f>
        <v>J3490</v>
      </c>
    </row>
    <row r="3823" spans="1:5" x14ac:dyDescent="0.25">
      <c r="A3823" t="str">
        <f>"41741604  "</f>
        <v xml:space="preserve">41741604  </v>
      </c>
      <c r="B3823" t="s">
        <v>3676</v>
      </c>
      <c r="C3823">
        <v>7.7</v>
      </c>
      <c r="D3823" t="str">
        <f t="shared" si="172"/>
        <v>250</v>
      </c>
      <c r="E3823" t="str">
        <f>"J8499"</f>
        <v>J8499</v>
      </c>
    </row>
    <row r="3824" spans="1:5" x14ac:dyDescent="0.25">
      <c r="A3824" t="str">
        <f>"41741612  "</f>
        <v xml:space="preserve">41741612  </v>
      </c>
      <c r="B3824" t="s">
        <v>3677</v>
      </c>
      <c r="C3824">
        <v>8.8000000000000007</v>
      </c>
      <c r="D3824" t="str">
        <f t="shared" si="172"/>
        <v>250</v>
      </c>
      <c r="E3824" t="str">
        <f>"J8499"</f>
        <v>J8499</v>
      </c>
    </row>
    <row r="3825" spans="1:5" x14ac:dyDescent="0.25">
      <c r="A3825" t="str">
        <f>"41741620  "</f>
        <v xml:space="preserve">41741620  </v>
      </c>
      <c r="B3825" t="s">
        <v>3678</v>
      </c>
      <c r="C3825">
        <v>11</v>
      </c>
      <c r="D3825" t="str">
        <f t="shared" si="172"/>
        <v>250</v>
      </c>
      <c r="E3825" t="str">
        <f>"J8499"</f>
        <v>J8499</v>
      </c>
    </row>
    <row r="3826" spans="1:5" x14ac:dyDescent="0.25">
      <c r="A3826" t="str">
        <f>"41741638  "</f>
        <v xml:space="preserve">41741638  </v>
      </c>
      <c r="B3826" t="s">
        <v>3679</v>
      </c>
      <c r="C3826">
        <v>6.6</v>
      </c>
      <c r="D3826" t="str">
        <f t="shared" si="172"/>
        <v>250</v>
      </c>
      <c r="E3826" t="str">
        <f>"J8499"</f>
        <v>J8499</v>
      </c>
    </row>
    <row r="3827" spans="1:5" x14ac:dyDescent="0.25">
      <c r="A3827" t="str">
        <f>"41741653  "</f>
        <v xml:space="preserve">41741653  </v>
      </c>
      <c r="B3827" t="s">
        <v>3680</v>
      </c>
      <c r="C3827">
        <v>97.9</v>
      </c>
      <c r="D3827" t="str">
        <f>"257"</f>
        <v>257</v>
      </c>
      <c r="E3827" t="str">
        <f>"J3490"</f>
        <v>J3490</v>
      </c>
    </row>
    <row r="3828" spans="1:5" x14ac:dyDescent="0.25">
      <c r="A3828" t="str">
        <f>"41741687  "</f>
        <v xml:space="preserve">41741687  </v>
      </c>
      <c r="B3828" t="s">
        <v>3681</v>
      </c>
      <c r="C3828">
        <v>6.6</v>
      </c>
      <c r="D3828" t="str">
        <f>"250"</f>
        <v>250</v>
      </c>
      <c r="E3828" t="str">
        <f>"J8499"</f>
        <v>J8499</v>
      </c>
    </row>
    <row r="3829" spans="1:5" x14ac:dyDescent="0.25">
      <c r="A3829" t="str">
        <f>"41741752  "</f>
        <v xml:space="preserve">41741752  </v>
      </c>
      <c r="B3829" t="s">
        <v>3682</v>
      </c>
      <c r="C3829">
        <v>6.6</v>
      </c>
      <c r="D3829" t="str">
        <f>"250"</f>
        <v>250</v>
      </c>
      <c r="E3829" t="str">
        <f>"J8499"</f>
        <v>J8499</v>
      </c>
    </row>
    <row r="3830" spans="1:5" x14ac:dyDescent="0.25">
      <c r="A3830" t="str">
        <f>"41741877  "</f>
        <v xml:space="preserve">41741877  </v>
      </c>
      <c r="B3830" t="s">
        <v>3683</v>
      </c>
      <c r="C3830">
        <v>6.6</v>
      </c>
      <c r="D3830" t="str">
        <f>"250"</f>
        <v>250</v>
      </c>
      <c r="E3830" t="str">
        <f>"J8499"</f>
        <v>J8499</v>
      </c>
    </row>
    <row r="3831" spans="1:5" x14ac:dyDescent="0.25">
      <c r="A3831" t="str">
        <f>"41741927  "</f>
        <v xml:space="preserve">41741927  </v>
      </c>
      <c r="B3831" t="s">
        <v>3684</v>
      </c>
      <c r="C3831">
        <v>11</v>
      </c>
      <c r="D3831" t="str">
        <f>"250"</f>
        <v>250</v>
      </c>
      <c r="E3831" t="str">
        <f>"J8499"</f>
        <v>J8499</v>
      </c>
    </row>
    <row r="3832" spans="1:5" x14ac:dyDescent="0.25">
      <c r="A3832" t="str">
        <f>"41741935  "</f>
        <v xml:space="preserve">41741935  </v>
      </c>
      <c r="B3832" t="s">
        <v>3685</v>
      </c>
      <c r="C3832">
        <v>20.9</v>
      </c>
      <c r="D3832" t="str">
        <f>"250"</f>
        <v>250</v>
      </c>
      <c r="E3832" t="str">
        <f>"J8499"</f>
        <v>J8499</v>
      </c>
    </row>
    <row r="3833" spans="1:5" x14ac:dyDescent="0.25">
      <c r="A3833" t="str">
        <f>"41741950  "</f>
        <v xml:space="preserve">41741950  </v>
      </c>
      <c r="B3833" t="s">
        <v>3686</v>
      </c>
      <c r="C3833">
        <v>6.6</v>
      </c>
      <c r="D3833" t="str">
        <f>"257"</f>
        <v>257</v>
      </c>
      <c r="E3833" t="str">
        <f>"J3490"</f>
        <v>J3490</v>
      </c>
    </row>
    <row r="3834" spans="1:5" x14ac:dyDescent="0.25">
      <c r="A3834" t="str">
        <f>"41742000"</f>
        <v>41742000</v>
      </c>
      <c r="B3834" t="s">
        <v>3687</v>
      </c>
      <c r="C3834">
        <v>10.07</v>
      </c>
      <c r="D3834" t="str">
        <f>"250"</f>
        <v>250</v>
      </c>
    </row>
    <row r="3835" spans="1:5" x14ac:dyDescent="0.25">
      <c r="A3835" t="str">
        <f>"41742008  "</f>
        <v xml:space="preserve">41742008  </v>
      </c>
      <c r="B3835" t="s">
        <v>3688</v>
      </c>
      <c r="C3835">
        <v>6.6</v>
      </c>
      <c r="D3835" t="str">
        <f>"250"</f>
        <v>250</v>
      </c>
      <c r="E3835" t="str">
        <f>"J8499"</f>
        <v>J8499</v>
      </c>
    </row>
    <row r="3836" spans="1:5" x14ac:dyDescent="0.25">
      <c r="A3836" t="str">
        <f>"41742057  "</f>
        <v xml:space="preserve">41742057  </v>
      </c>
      <c r="B3836" t="s">
        <v>3689</v>
      </c>
      <c r="C3836">
        <v>7.7</v>
      </c>
      <c r="D3836" t="str">
        <f>"250"</f>
        <v>250</v>
      </c>
      <c r="E3836" t="str">
        <f>"J8499"</f>
        <v>J8499</v>
      </c>
    </row>
    <row r="3837" spans="1:5" x14ac:dyDescent="0.25">
      <c r="A3837" t="str">
        <f>"41742107  "</f>
        <v xml:space="preserve">41742107  </v>
      </c>
      <c r="B3837" t="s">
        <v>3690</v>
      </c>
      <c r="C3837">
        <v>8.8000000000000007</v>
      </c>
      <c r="D3837" t="str">
        <f>"250"</f>
        <v>250</v>
      </c>
      <c r="E3837" t="str">
        <f>"J8499"</f>
        <v>J8499</v>
      </c>
    </row>
    <row r="3838" spans="1:5" x14ac:dyDescent="0.25">
      <c r="A3838" t="str">
        <f>"41742156  "</f>
        <v xml:space="preserve">41742156  </v>
      </c>
      <c r="B3838" t="s">
        <v>3691</v>
      </c>
      <c r="C3838">
        <v>12.1</v>
      </c>
      <c r="D3838" t="str">
        <f>"250"</f>
        <v>250</v>
      </c>
      <c r="E3838" t="str">
        <f>"J8499"</f>
        <v>J8499</v>
      </c>
    </row>
    <row r="3839" spans="1:5" x14ac:dyDescent="0.25">
      <c r="A3839" t="str">
        <f>"41742198  "</f>
        <v xml:space="preserve">41742198  </v>
      </c>
      <c r="B3839" t="s">
        <v>3692</v>
      </c>
      <c r="C3839">
        <v>6.6</v>
      </c>
      <c r="D3839" t="str">
        <f>"257"</f>
        <v>257</v>
      </c>
      <c r="E3839" t="str">
        <f>"J3490"</f>
        <v>J3490</v>
      </c>
    </row>
    <row r="3840" spans="1:5" x14ac:dyDescent="0.25">
      <c r="A3840" t="str">
        <f>"41742331"</f>
        <v>41742331</v>
      </c>
      <c r="B3840" t="s">
        <v>3693</v>
      </c>
      <c r="C3840">
        <v>11</v>
      </c>
      <c r="D3840" t="str">
        <f t="shared" ref="D3840:D3846" si="173">"250"</f>
        <v>250</v>
      </c>
    </row>
    <row r="3841" spans="1:5" x14ac:dyDescent="0.25">
      <c r="A3841" t="str">
        <f>"41742354  "</f>
        <v xml:space="preserve">41742354  </v>
      </c>
      <c r="B3841" t="s">
        <v>3694</v>
      </c>
      <c r="C3841">
        <v>88</v>
      </c>
      <c r="D3841" t="str">
        <f t="shared" si="173"/>
        <v>250</v>
      </c>
      <c r="E3841" t="str">
        <f>"J3490"</f>
        <v>J3490</v>
      </c>
    </row>
    <row r="3842" spans="1:5" x14ac:dyDescent="0.25">
      <c r="A3842" t="str">
        <f>"41742362  "</f>
        <v xml:space="preserve">41742362  </v>
      </c>
      <c r="B3842" t="s">
        <v>3695</v>
      </c>
      <c r="C3842">
        <v>6.6</v>
      </c>
      <c r="D3842" t="str">
        <f t="shared" si="173"/>
        <v>250</v>
      </c>
    </row>
    <row r="3843" spans="1:5" x14ac:dyDescent="0.25">
      <c r="A3843" t="str">
        <f>"41742404  "</f>
        <v xml:space="preserve">41742404  </v>
      </c>
      <c r="B3843" t="s">
        <v>3696</v>
      </c>
      <c r="C3843">
        <v>27.5</v>
      </c>
      <c r="D3843" t="str">
        <f t="shared" si="173"/>
        <v>250</v>
      </c>
      <c r="E3843" t="str">
        <f>"J3490"</f>
        <v>J3490</v>
      </c>
    </row>
    <row r="3844" spans="1:5" x14ac:dyDescent="0.25">
      <c r="A3844" t="str">
        <f>"41742453  "</f>
        <v xml:space="preserve">41742453  </v>
      </c>
      <c r="B3844" t="s">
        <v>3697</v>
      </c>
      <c r="C3844">
        <v>6.6</v>
      </c>
      <c r="D3844" t="str">
        <f t="shared" si="173"/>
        <v>250</v>
      </c>
      <c r="E3844" t="str">
        <f>"J3490"</f>
        <v>J3490</v>
      </c>
    </row>
    <row r="3845" spans="1:5" x14ac:dyDescent="0.25">
      <c r="A3845" t="str">
        <f>"41742461  "</f>
        <v xml:space="preserve">41742461  </v>
      </c>
      <c r="B3845" t="s">
        <v>3698</v>
      </c>
      <c r="C3845">
        <v>23.1</v>
      </c>
      <c r="D3845" t="str">
        <f t="shared" si="173"/>
        <v>250</v>
      </c>
      <c r="E3845" t="str">
        <f>"J3490"</f>
        <v>J3490</v>
      </c>
    </row>
    <row r="3846" spans="1:5" x14ac:dyDescent="0.25">
      <c r="A3846" t="str">
        <f>"41742610  "</f>
        <v xml:space="preserve">41742610  </v>
      </c>
      <c r="B3846" t="s">
        <v>3699</v>
      </c>
      <c r="C3846">
        <v>55</v>
      </c>
      <c r="D3846" t="str">
        <f t="shared" si="173"/>
        <v>250</v>
      </c>
    </row>
    <row r="3847" spans="1:5" x14ac:dyDescent="0.25">
      <c r="A3847" t="str">
        <f>"41742651  "</f>
        <v xml:space="preserve">41742651  </v>
      </c>
      <c r="B3847" t="s">
        <v>3700</v>
      </c>
      <c r="C3847">
        <v>23.1</v>
      </c>
      <c r="D3847" t="str">
        <f>"257"</f>
        <v>257</v>
      </c>
      <c r="E3847" t="str">
        <f>"J3490"</f>
        <v>J3490</v>
      </c>
    </row>
    <row r="3848" spans="1:5" x14ac:dyDescent="0.25">
      <c r="A3848" t="str">
        <f>"41742701  "</f>
        <v xml:space="preserve">41742701  </v>
      </c>
      <c r="B3848" t="s">
        <v>3701</v>
      </c>
      <c r="C3848">
        <v>20.9</v>
      </c>
      <c r="D3848" t="str">
        <f>"257"</f>
        <v>257</v>
      </c>
      <c r="E3848" t="str">
        <f>"J3490"</f>
        <v>J3490</v>
      </c>
    </row>
    <row r="3849" spans="1:5" x14ac:dyDescent="0.25">
      <c r="A3849" t="str">
        <f>"41742719  "</f>
        <v xml:space="preserve">41742719  </v>
      </c>
      <c r="B3849" t="s">
        <v>3702</v>
      </c>
      <c r="C3849">
        <v>200.2</v>
      </c>
      <c r="D3849" t="str">
        <f>"250"</f>
        <v>250</v>
      </c>
      <c r="E3849" t="str">
        <f>"X5852"</f>
        <v>X5852</v>
      </c>
    </row>
    <row r="3850" spans="1:5" x14ac:dyDescent="0.25">
      <c r="A3850" t="str">
        <f>"41742750  "</f>
        <v xml:space="preserve">41742750  </v>
      </c>
      <c r="B3850" t="s">
        <v>3703</v>
      </c>
      <c r="C3850">
        <v>130.9</v>
      </c>
      <c r="D3850" t="str">
        <f>"250"</f>
        <v>250</v>
      </c>
      <c r="E3850" t="str">
        <f>"J3490"</f>
        <v>J3490</v>
      </c>
    </row>
    <row r="3851" spans="1:5" x14ac:dyDescent="0.25">
      <c r="A3851" t="str">
        <f>"41742768  "</f>
        <v xml:space="preserve">41742768  </v>
      </c>
      <c r="B3851" t="s">
        <v>3704</v>
      </c>
      <c r="C3851">
        <v>196.9</v>
      </c>
      <c r="D3851" t="str">
        <f>"257"</f>
        <v>257</v>
      </c>
      <c r="E3851" t="str">
        <f>"J3490"</f>
        <v>J3490</v>
      </c>
    </row>
    <row r="3852" spans="1:5" x14ac:dyDescent="0.25">
      <c r="A3852" t="str">
        <f>"41742776  "</f>
        <v xml:space="preserve">41742776  </v>
      </c>
      <c r="B3852" t="s">
        <v>3705</v>
      </c>
      <c r="C3852">
        <v>108.9</v>
      </c>
      <c r="D3852" t="str">
        <f>"257"</f>
        <v>257</v>
      </c>
      <c r="E3852" t="str">
        <f>"J3490"</f>
        <v>J3490</v>
      </c>
    </row>
    <row r="3853" spans="1:5" x14ac:dyDescent="0.25">
      <c r="A3853" t="str">
        <f>"41742800  "</f>
        <v xml:space="preserve">41742800  </v>
      </c>
      <c r="B3853" t="s">
        <v>3706</v>
      </c>
      <c r="C3853">
        <v>49.5</v>
      </c>
      <c r="D3853" t="str">
        <f t="shared" ref="D3853:D3860" si="174">"250"</f>
        <v>250</v>
      </c>
    </row>
    <row r="3854" spans="1:5" x14ac:dyDescent="0.25">
      <c r="A3854" t="str">
        <f>"41742818  "</f>
        <v xml:space="preserve">41742818  </v>
      </c>
      <c r="B3854" t="s">
        <v>3707</v>
      </c>
      <c r="C3854">
        <v>7.7</v>
      </c>
      <c r="D3854" t="str">
        <f t="shared" si="174"/>
        <v>250</v>
      </c>
      <c r="E3854" t="str">
        <f>"J8499"</f>
        <v>J8499</v>
      </c>
    </row>
    <row r="3855" spans="1:5" x14ac:dyDescent="0.25">
      <c r="A3855" t="str">
        <f>"41742826  "</f>
        <v xml:space="preserve">41742826  </v>
      </c>
      <c r="B3855" t="s">
        <v>3708</v>
      </c>
      <c r="C3855">
        <v>6.6</v>
      </c>
      <c r="D3855" t="str">
        <f t="shared" si="174"/>
        <v>250</v>
      </c>
      <c r="E3855" t="str">
        <f>"J8499"</f>
        <v>J8499</v>
      </c>
    </row>
    <row r="3856" spans="1:5" x14ac:dyDescent="0.25">
      <c r="A3856" t="str">
        <f>"41742909  "</f>
        <v xml:space="preserve">41742909  </v>
      </c>
      <c r="B3856" t="s">
        <v>3709</v>
      </c>
      <c r="C3856">
        <v>328.9</v>
      </c>
      <c r="D3856" t="str">
        <f t="shared" si="174"/>
        <v>250</v>
      </c>
      <c r="E3856" t="str">
        <f>"J2770"</f>
        <v>J2770</v>
      </c>
    </row>
    <row r="3857" spans="1:5" x14ac:dyDescent="0.25">
      <c r="A3857" t="str">
        <f>"41743006  "</f>
        <v xml:space="preserve">41743006  </v>
      </c>
      <c r="B3857" t="s">
        <v>3710</v>
      </c>
      <c r="C3857">
        <v>11</v>
      </c>
      <c r="D3857" t="str">
        <f t="shared" si="174"/>
        <v>250</v>
      </c>
      <c r="E3857" t="str">
        <f>"J8499"</f>
        <v>J8499</v>
      </c>
    </row>
    <row r="3858" spans="1:5" x14ac:dyDescent="0.25">
      <c r="A3858" t="str">
        <f>"41743204  "</f>
        <v xml:space="preserve">41743204  </v>
      </c>
      <c r="B3858" t="s">
        <v>3711</v>
      </c>
      <c r="C3858">
        <v>82.5</v>
      </c>
      <c r="D3858" t="str">
        <f t="shared" si="174"/>
        <v>250</v>
      </c>
      <c r="E3858" t="str">
        <f>"J3490"</f>
        <v>J3490</v>
      </c>
    </row>
    <row r="3859" spans="1:5" x14ac:dyDescent="0.25">
      <c r="A3859" t="str">
        <f>"41743214"</f>
        <v>41743214</v>
      </c>
      <c r="B3859" t="s">
        <v>3712</v>
      </c>
      <c r="C3859">
        <v>11</v>
      </c>
      <c r="D3859" t="str">
        <f t="shared" si="174"/>
        <v>250</v>
      </c>
    </row>
    <row r="3860" spans="1:5" x14ac:dyDescent="0.25">
      <c r="A3860" t="str">
        <f>"41743253  "</f>
        <v xml:space="preserve">41743253  </v>
      </c>
      <c r="B3860" t="s">
        <v>3713</v>
      </c>
      <c r="C3860">
        <v>8.8000000000000007</v>
      </c>
      <c r="D3860" t="str">
        <f t="shared" si="174"/>
        <v>250</v>
      </c>
      <c r="E3860" t="str">
        <f>"J8499"</f>
        <v>J8499</v>
      </c>
    </row>
    <row r="3861" spans="1:5" x14ac:dyDescent="0.25">
      <c r="A3861" t="str">
        <f>"41743295  "</f>
        <v xml:space="preserve">41743295  </v>
      </c>
      <c r="B3861" t="s">
        <v>3714</v>
      </c>
      <c r="C3861">
        <v>82.5</v>
      </c>
      <c r="D3861" t="str">
        <f>"257"</f>
        <v>257</v>
      </c>
      <c r="E3861" t="str">
        <f>"J3490"</f>
        <v>J3490</v>
      </c>
    </row>
    <row r="3862" spans="1:5" x14ac:dyDescent="0.25">
      <c r="A3862" t="str">
        <f>"41743527  "</f>
        <v xml:space="preserve">41743527  </v>
      </c>
      <c r="B3862" t="s">
        <v>3715</v>
      </c>
      <c r="C3862">
        <v>55</v>
      </c>
      <c r="D3862" t="str">
        <f t="shared" ref="D3862:D3881" si="175">"250"</f>
        <v>250</v>
      </c>
      <c r="E3862" t="str">
        <f>"J3490"</f>
        <v>J3490</v>
      </c>
    </row>
    <row r="3863" spans="1:5" x14ac:dyDescent="0.25">
      <c r="A3863" t="str">
        <f>"41743568  "</f>
        <v xml:space="preserve">41743568  </v>
      </c>
      <c r="B3863" t="s">
        <v>3716</v>
      </c>
      <c r="C3863" s="1">
        <v>1545.5</v>
      </c>
      <c r="D3863" t="str">
        <f t="shared" si="175"/>
        <v>250</v>
      </c>
      <c r="E3863" t="str">
        <f>"J2270"</f>
        <v>J2270</v>
      </c>
    </row>
    <row r="3864" spans="1:5" x14ac:dyDescent="0.25">
      <c r="A3864" t="str">
        <f>"41743600  "</f>
        <v xml:space="preserve">41743600  </v>
      </c>
      <c r="B3864" t="s">
        <v>3717</v>
      </c>
      <c r="C3864">
        <v>320.10000000000002</v>
      </c>
      <c r="D3864" t="str">
        <f t="shared" si="175"/>
        <v>250</v>
      </c>
      <c r="E3864" t="str">
        <f>"J3490"</f>
        <v>J3490</v>
      </c>
    </row>
    <row r="3865" spans="1:5" x14ac:dyDescent="0.25">
      <c r="A3865" t="str">
        <f>"41743626  "</f>
        <v xml:space="preserve">41743626  </v>
      </c>
      <c r="B3865" t="s">
        <v>3718</v>
      </c>
      <c r="C3865">
        <v>89.1</v>
      </c>
      <c r="D3865" t="str">
        <f t="shared" si="175"/>
        <v>250</v>
      </c>
      <c r="E3865" t="str">
        <f>"J3490"</f>
        <v>J3490</v>
      </c>
    </row>
    <row r="3866" spans="1:5" x14ac:dyDescent="0.25">
      <c r="A3866" t="str">
        <f>"41743634  "</f>
        <v xml:space="preserve">41743634  </v>
      </c>
      <c r="B3866" t="s">
        <v>3719</v>
      </c>
      <c r="C3866">
        <v>16.5</v>
      </c>
      <c r="D3866" t="str">
        <f t="shared" si="175"/>
        <v>250</v>
      </c>
      <c r="E3866" t="str">
        <f>"J8499"</f>
        <v>J8499</v>
      </c>
    </row>
    <row r="3867" spans="1:5" x14ac:dyDescent="0.25">
      <c r="A3867" t="str">
        <f>"41743642  "</f>
        <v xml:space="preserve">41743642  </v>
      </c>
      <c r="B3867" t="s">
        <v>3720</v>
      </c>
      <c r="C3867">
        <v>14.3</v>
      </c>
      <c r="D3867" t="str">
        <f t="shared" si="175"/>
        <v>250</v>
      </c>
      <c r="E3867" t="str">
        <f>"J8499"</f>
        <v>J8499</v>
      </c>
    </row>
    <row r="3868" spans="1:5" x14ac:dyDescent="0.25">
      <c r="A3868" t="str">
        <f>"41743709  "</f>
        <v xml:space="preserve">41743709  </v>
      </c>
      <c r="B3868" t="s">
        <v>3721</v>
      </c>
      <c r="C3868">
        <v>213.4</v>
      </c>
      <c r="D3868" t="str">
        <f t="shared" si="175"/>
        <v>250</v>
      </c>
      <c r="E3868" t="str">
        <f>"J8499"</f>
        <v>J8499</v>
      </c>
    </row>
    <row r="3869" spans="1:5" x14ac:dyDescent="0.25">
      <c r="A3869" t="str">
        <f>"41743725  "</f>
        <v xml:space="preserve">41743725  </v>
      </c>
      <c r="B3869" t="s">
        <v>3722</v>
      </c>
      <c r="C3869">
        <v>16.5</v>
      </c>
      <c r="D3869" t="str">
        <f t="shared" si="175"/>
        <v>250</v>
      </c>
      <c r="E3869" t="str">
        <f>"J8499"</f>
        <v>J8499</v>
      </c>
    </row>
    <row r="3870" spans="1:5" x14ac:dyDescent="0.25">
      <c r="A3870" t="str">
        <f>"41743758  "</f>
        <v xml:space="preserve">41743758  </v>
      </c>
      <c r="B3870" t="s">
        <v>3723</v>
      </c>
      <c r="C3870">
        <v>72.599999999999994</v>
      </c>
      <c r="D3870" t="str">
        <f t="shared" si="175"/>
        <v>250</v>
      </c>
      <c r="E3870" t="str">
        <f>"J3490"</f>
        <v>J3490</v>
      </c>
    </row>
    <row r="3871" spans="1:5" x14ac:dyDescent="0.25">
      <c r="A3871" t="str">
        <f>"41743766  "</f>
        <v xml:space="preserve">41743766  </v>
      </c>
      <c r="B3871" t="s">
        <v>3724</v>
      </c>
      <c r="C3871">
        <v>121</v>
      </c>
      <c r="D3871" t="str">
        <f t="shared" si="175"/>
        <v>250</v>
      </c>
      <c r="E3871" t="str">
        <f>"J3490"</f>
        <v>J3490</v>
      </c>
    </row>
    <row r="3872" spans="1:5" x14ac:dyDescent="0.25">
      <c r="A3872" t="str">
        <f>"41743774  "</f>
        <v xml:space="preserve">41743774  </v>
      </c>
      <c r="B3872" t="s">
        <v>3725</v>
      </c>
      <c r="C3872">
        <v>6.6</v>
      </c>
      <c r="D3872" t="str">
        <f t="shared" si="175"/>
        <v>250</v>
      </c>
      <c r="E3872" t="str">
        <f>"J8499"</f>
        <v>J8499</v>
      </c>
    </row>
    <row r="3873" spans="1:5" x14ac:dyDescent="0.25">
      <c r="A3873" t="str">
        <f>"41743782  "</f>
        <v xml:space="preserve">41743782  </v>
      </c>
      <c r="B3873" t="s">
        <v>3726</v>
      </c>
      <c r="C3873">
        <v>6.6</v>
      </c>
      <c r="D3873" t="str">
        <f t="shared" si="175"/>
        <v>250</v>
      </c>
      <c r="E3873" t="str">
        <f>"J8499"</f>
        <v>J8499</v>
      </c>
    </row>
    <row r="3874" spans="1:5" x14ac:dyDescent="0.25">
      <c r="A3874" t="str">
        <f>"41743808  "</f>
        <v xml:space="preserve">41743808  </v>
      </c>
      <c r="B3874" t="s">
        <v>3727</v>
      </c>
      <c r="C3874">
        <v>16.5</v>
      </c>
      <c r="D3874" t="str">
        <f t="shared" si="175"/>
        <v>250</v>
      </c>
      <c r="E3874" t="str">
        <f>"J3490"</f>
        <v>J3490</v>
      </c>
    </row>
    <row r="3875" spans="1:5" x14ac:dyDescent="0.25">
      <c r="A3875" t="str">
        <f>"41743816  "</f>
        <v xml:space="preserve">41743816  </v>
      </c>
      <c r="B3875" t="s">
        <v>3728</v>
      </c>
      <c r="C3875">
        <v>16.489999999999998</v>
      </c>
      <c r="D3875" t="str">
        <f t="shared" si="175"/>
        <v>250</v>
      </c>
      <c r="E3875" t="str">
        <f>"J8499"</f>
        <v>J8499</v>
      </c>
    </row>
    <row r="3876" spans="1:5" x14ac:dyDescent="0.25">
      <c r="A3876" t="str">
        <f>"41743840  "</f>
        <v xml:space="preserve">41743840  </v>
      </c>
      <c r="B3876" t="s">
        <v>3729</v>
      </c>
      <c r="C3876">
        <v>99</v>
      </c>
      <c r="D3876" t="str">
        <f t="shared" si="175"/>
        <v>250</v>
      </c>
      <c r="E3876" t="str">
        <f>"J3490"</f>
        <v>J3490</v>
      </c>
    </row>
    <row r="3877" spans="1:5" x14ac:dyDescent="0.25">
      <c r="A3877" t="str">
        <f>"41743857  "</f>
        <v xml:space="preserve">41743857  </v>
      </c>
      <c r="B3877" t="s">
        <v>3730</v>
      </c>
      <c r="C3877">
        <v>121</v>
      </c>
      <c r="D3877" t="str">
        <f t="shared" si="175"/>
        <v>250</v>
      </c>
      <c r="E3877" t="str">
        <f>"J3490"</f>
        <v>J3490</v>
      </c>
    </row>
    <row r="3878" spans="1:5" x14ac:dyDescent="0.25">
      <c r="A3878" t="str">
        <f>"41743865  "</f>
        <v xml:space="preserve">41743865  </v>
      </c>
      <c r="B3878" t="s">
        <v>3731</v>
      </c>
      <c r="C3878" s="1">
        <v>1098.9000000000001</v>
      </c>
      <c r="D3878" t="str">
        <f t="shared" si="175"/>
        <v>250</v>
      </c>
      <c r="E3878" t="str">
        <f>"J3490"</f>
        <v>J3490</v>
      </c>
    </row>
    <row r="3879" spans="1:5" x14ac:dyDescent="0.25">
      <c r="A3879" t="str">
        <f>"41743873  "</f>
        <v xml:space="preserve">41743873  </v>
      </c>
      <c r="B3879" t="s">
        <v>3732</v>
      </c>
      <c r="C3879">
        <v>11.96</v>
      </c>
      <c r="D3879" t="str">
        <f t="shared" si="175"/>
        <v>250</v>
      </c>
      <c r="E3879" t="str">
        <f>"J8499"</f>
        <v>J8499</v>
      </c>
    </row>
    <row r="3880" spans="1:5" x14ac:dyDescent="0.25">
      <c r="A3880" t="str">
        <f>"41743907  "</f>
        <v xml:space="preserve">41743907  </v>
      </c>
      <c r="B3880" t="s">
        <v>3733</v>
      </c>
      <c r="C3880">
        <v>232.1</v>
      </c>
      <c r="D3880" t="str">
        <f t="shared" si="175"/>
        <v>250</v>
      </c>
      <c r="E3880" t="str">
        <f>"J3490"</f>
        <v>J3490</v>
      </c>
    </row>
    <row r="3881" spans="1:5" x14ac:dyDescent="0.25">
      <c r="A3881" t="str">
        <f>"41743956  "</f>
        <v xml:space="preserve">41743956  </v>
      </c>
      <c r="B3881" t="s">
        <v>3734</v>
      </c>
      <c r="C3881">
        <v>6.6</v>
      </c>
      <c r="D3881" t="str">
        <f t="shared" si="175"/>
        <v>250</v>
      </c>
      <c r="E3881" t="str">
        <f>"J8499"</f>
        <v>J8499</v>
      </c>
    </row>
    <row r="3882" spans="1:5" x14ac:dyDescent="0.25">
      <c r="A3882" t="str">
        <f>"41744004  "</f>
        <v xml:space="preserve">41744004  </v>
      </c>
      <c r="B3882" t="s">
        <v>3735</v>
      </c>
      <c r="C3882">
        <v>108.9</v>
      </c>
      <c r="D3882" t="str">
        <f>"257"</f>
        <v>257</v>
      </c>
      <c r="E3882" t="str">
        <f>"J3490"</f>
        <v>J3490</v>
      </c>
    </row>
    <row r="3883" spans="1:5" x14ac:dyDescent="0.25">
      <c r="A3883" t="str">
        <f>"41744123"</f>
        <v>41744123</v>
      </c>
      <c r="B3883" t="s">
        <v>3736</v>
      </c>
      <c r="C3883">
        <v>8.8000000000000007</v>
      </c>
      <c r="D3883" t="str">
        <f>"257"</f>
        <v>257</v>
      </c>
    </row>
    <row r="3884" spans="1:5" x14ac:dyDescent="0.25">
      <c r="A3884" t="str">
        <f>"41744204"</f>
        <v>41744204</v>
      </c>
      <c r="B3884" t="s">
        <v>3737</v>
      </c>
      <c r="C3884">
        <v>24.75</v>
      </c>
      <c r="D3884" t="str">
        <f>"250"</f>
        <v>250</v>
      </c>
    </row>
    <row r="3885" spans="1:5" x14ac:dyDescent="0.25">
      <c r="A3885" t="str">
        <f>"41744251  "</f>
        <v xml:space="preserve">41744251  </v>
      </c>
      <c r="B3885" t="s">
        <v>3738</v>
      </c>
      <c r="C3885">
        <v>20.9</v>
      </c>
      <c r="D3885" t="str">
        <f>"257"</f>
        <v>257</v>
      </c>
      <c r="E3885" t="str">
        <f>"J3490"</f>
        <v>J3490</v>
      </c>
    </row>
    <row r="3886" spans="1:5" x14ac:dyDescent="0.25">
      <c r="A3886" t="str">
        <f>"41744343  "</f>
        <v xml:space="preserve">41744343  </v>
      </c>
      <c r="B3886" t="s">
        <v>3739</v>
      </c>
      <c r="C3886">
        <v>8.8000000000000007</v>
      </c>
      <c r="D3886" t="str">
        <f>"250"</f>
        <v>250</v>
      </c>
      <c r="E3886" t="str">
        <f>"J3490"</f>
        <v>J3490</v>
      </c>
    </row>
    <row r="3887" spans="1:5" x14ac:dyDescent="0.25">
      <c r="A3887" t="str">
        <f>"41744459  "</f>
        <v xml:space="preserve">41744459  </v>
      </c>
      <c r="B3887" t="s">
        <v>3740</v>
      </c>
      <c r="C3887">
        <v>6.6</v>
      </c>
      <c r="D3887" t="str">
        <f>"257"</f>
        <v>257</v>
      </c>
      <c r="E3887" t="str">
        <f>"J3490"</f>
        <v>J3490</v>
      </c>
    </row>
    <row r="3888" spans="1:5" x14ac:dyDescent="0.25">
      <c r="A3888" t="str">
        <f>"41744520"</f>
        <v>41744520</v>
      </c>
      <c r="B3888" t="s">
        <v>3741</v>
      </c>
      <c r="C3888">
        <v>132</v>
      </c>
      <c r="D3888" t="str">
        <f>"250"</f>
        <v>250</v>
      </c>
      <c r="E3888" t="str">
        <f>"J0713"</f>
        <v>J0713</v>
      </c>
    </row>
    <row r="3889" spans="1:5" x14ac:dyDescent="0.25">
      <c r="A3889" t="str">
        <f>"41744608  "</f>
        <v xml:space="preserve">41744608  </v>
      </c>
      <c r="B3889" t="s">
        <v>3742</v>
      </c>
      <c r="C3889">
        <v>6.6</v>
      </c>
      <c r="D3889" t="str">
        <f>"250"</f>
        <v>250</v>
      </c>
      <c r="E3889" t="str">
        <f>"J8499"</f>
        <v>J8499</v>
      </c>
    </row>
    <row r="3890" spans="1:5" x14ac:dyDescent="0.25">
      <c r="A3890" t="str">
        <f>"41744640  "</f>
        <v xml:space="preserve">41744640  </v>
      </c>
      <c r="B3890" t="s">
        <v>3743</v>
      </c>
      <c r="C3890">
        <v>9.9</v>
      </c>
      <c r="D3890" t="str">
        <f>"257"</f>
        <v>257</v>
      </c>
      <c r="E3890" t="str">
        <f>"J8499"</f>
        <v>J8499</v>
      </c>
    </row>
    <row r="3891" spans="1:5" x14ac:dyDescent="0.25">
      <c r="A3891" t="str">
        <f>"41744707  "</f>
        <v xml:space="preserve">41744707  </v>
      </c>
      <c r="B3891" t="s">
        <v>3744</v>
      </c>
      <c r="C3891">
        <v>49.5</v>
      </c>
      <c r="D3891" t="str">
        <f t="shared" ref="D3891:D3917" si="176">"250"</f>
        <v>250</v>
      </c>
      <c r="E3891" t="str">
        <f>"J3490"</f>
        <v>J3490</v>
      </c>
    </row>
    <row r="3892" spans="1:5" x14ac:dyDescent="0.25">
      <c r="A3892" t="str">
        <f>"41744756  "</f>
        <v xml:space="preserve">41744756  </v>
      </c>
      <c r="B3892" t="s">
        <v>3745</v>
      </c>
      <c r="C3892">
        <v>82.5</v>
      </c>
      <c r="D3892" t="str">
        <f t="shared" si="176"/>
        <v>250</v>
      </c>
      <c r="E3892" t="str">
        <f>"J3490"</f>
        <v>J3490</v>
      </c>
    </row>
    <row r="3893" spans="1:5" x14ac:dyDescent="0.25">
      <c r="A3893" t="str">
        <f>"41744855  "</f>
        <v xml:space="preserve">41744855  </v>
      </c>
      <c r="B3893" t="s">
        <v>3746</v>
      </c>
      <c r="C3893">
        <v>91.3</v>
      </c>
      <c r="D3893" t="str">
        <f t="shared" si="176"/>
        <v>250</v>
      </c>
      <c r="E3893" t="str">
        <f>"X6606"</f>
        <v>X6606</v>
      </c>
    </row>
    <row r="3894" spans="1:5" x14ac:dyDescent="0.25">
      <c r="A3894" t="str">
        <f>"41744855  "</f>
        <v xml:space="preserve">41744855  </v>
      </c>
      <c r="B3894" t="s">
        <v>3746</v>
      </c>
      <c r="C3894">
        <v>91.3</v>
      </c>
      <c r="D3894" t="str">
        <f t="shared" si="176"/>
        <v>250</v>
      </c>
      <c r="E3894" t="str">
        <f>"J3490"</f>
        <v>J3490</v>
      </c>
    </row>
    <row r="3895" spans="1:5" x14ac:dyDescent="0.25">
      <c r="A3895" t="str">
        <f>"41744863  "</f>
        <v xml:space="preserve">41744863  </v>
      </c>
      <c r="B3895" t="s">
        <v>3747</v>
      </c>
      <c r="C3895">
        <v>176</v>
      </c>
      <c r="D3895" t="str">
        <f t="shared" si="176"/>
        <v>250</v>
      </c>
      <c r="E3895" t="str">
        <f>"X6604"</f>
        <v>X6604</v>
      </c>
    </row>
    <row r="3896" spans="1:5" x14ac:dyDescent="0.25">
      <c r="A3896" t="str">
        <f>"41744863  "</f>
        <v xml:space="preserve">41744863  </v>
      </c>
      <c r="B3896" t="s">
        <v>3747</v>
      </c>
      <c r="C3896">
        <v>176</v>
      </c>
      <c r="D3896" t="str">
        <f t="shared" si="176"/>
        <v>250</v>
      </c>
      <c r="E3896" t="str">
        <f>"J3490"</f>
        <v>J3490</v>
      </c>
    </row>
    <row r="3897" spans="1:5" x14ac:dyDescent="0.25">
      <c r="A3897" t="str">
        <f>"41744889  "</f>
        <v xml:space="preserve">41744889  </v>
      </c>
      <c r="B3897" t="s">
        <v>3748</v>
      </c>
      <c r="C3897">
        <v>20.9</v>
      </c>
      <c r="D3897" t="str">
        <f t="shared" si="176"/>
        <v>250</v>
      </c>
      <c r="E3897" t="str">
        <f>"J8499"</f>
        <v>J8499</v>
      </c>
    </row>
    <row r="3898" spans="1:5" x14ac:dyDescent="0.25">
      <c r="A3898" t="str">
        <f>"41744905  "</f>
        <v xml:space="preserve">41744905  </v>
      </c>
      <c r="B3898" t="s">
        <v>3749</v>
      </c>
      <c r="C3898">
        <v>35.200000000000003</v>
      </c>
      <c r="D3898" t="str">
        <f t="shared" si="176"/>
        <v>250</v>
      </c>
      <c r="E3898" t="str">
        <f>"X6610"</f>
        <v>X6610</v>
      </c>
    </row>
    <row r="3899" spans="1:5" x14ac:dyDescent="0.25">
      <c r="A3899" t="str">
        <f>"41744905  "</f>
        <v xml:space="preserve">41744905  </v>
      </c>
      <c r="B3899" t="s">
        <v>3749</v>
      </c>
      <c r="C3899">
        <v>35.200000000000003</v>
      </c>
      <c r="D3899" t="str">
        <f t="shared" si="176"/>
        <v>250</v>
      </c>
      <c r="E3899" t="str">
        <f>"J3490"</f>
        <v>J3490</v>
      </c>
    </row>
    <row r="3900" spans="1:5" x14ac:dyDescent="0.25">
      <c r="A3900" t="str">
        <f>"41744913  "</f>
        <v xml:space="preserve">41744913  </v>
      </c>
      <c r="B3900" t="s">
        <v>3750</v>
      </c>
      <c r="C3900">
        <v>163.9</v>
      </c>
      <c r="D3900" t="str">
        <f t="shared" si="176"/>
        <v>250</v>
      </c>
      <c r="E3900" t="str">
        <f>"J3490"</f>
        <v>J3490</v>
      </c>
    </row>
    <row r="3901" spans="1:5" x14ac:dyDescent="0.25">
      <c r="A3901" t="str">
        <f>"41744920"</f>
        <v>41744920</v>
      </c>
      <c r="B3901" t="s">
        <v>3751</v>
      </c>
      <c r="C3901">
        <v>69.67</v>
      </c>
      <c r="D3901" t="str">
        <f t="shared" si="176"/>
        <v>250</v>
      </c>
    </row>
    <row r="3902" spans="1:5" x14ac:dyDescent="0.25">
      <c r="A3902" t="str">
        <f>"41745022"</f>
        <v>41745022</v>
      </c>
      <c r="B3902" t="s">
        <v>3752</v>
      </c>
      <c r="C3902">
        <v>58.3</v>
      </c>
      <c r="D3902" t="str">
        <f t="shared" si="176"/>
        <v>250</v>
      </c>
    </row>
    <row r="3903" spans="1:5" x14ac:dyDescent="0.25">
      <c r="A3903" t="str">
        <f>"41745050  "</f>
        <v xml:space="preserve">41745050  </v>
      </c>
      <c r="B3903" t="s">
        <v>3753</v>
      </c>
      <c r="C3903">
        <v>6.6</v>
      </c>
      <c r="D3903" t="str">
        <f t="shared" si="176"/>
        <v>250</v>
      </c>
      <c r="E3903" t="str">
        <f>"J8499"</f>
        <v>J8499</v>
      </c>
    </row>
    <row r="3904" spans="1:5" x14ac:dyDescent="0.25">
      <c r="A3904" t="str">
        <f>"41745100  "</f>
        <v xml:space="preserve">41745100  </v>
      </c>
      <c r="B3904" t="s">
        <v>3754</v>
      </c>
      <c r="C3904">
        <v>9.9</v>
      </c>
      <c r="D3904" t="str">
        <f t="shared" si="176"/>
        <v>250</v>
      </c>
      <c r="E3904" t="str">
        <f>"J8499"</f>
        <v>J8499</v>
      </c>
    </row>
    <row r="3905" spans="1:5" x14ac:dyDescent="0.25">
      <c r="A3905" t="str">
        <f>"41745118  "</f>
        <v xml:space="preserve">41745118  </v>
      </c>
      <c r="B3905" t="s">
        <v>3755</v>
      </c>
      <c r="C3905">
        <v>12.1</v>
      </c>
      <c r="D3905" t="str">
        <f t="shared" si="176"/>
        <v>250</v>
      </c>
      <c r="E3905" t="str">
        <f>"J8499"</f>
        <v>J8499</v>
      </c>
    </row>
    <row r="3906" spans="1:5" x14ac:dyDescent="0.25">
      <c r="A3906" t="str">
        <f>"41745159  "</f>
        <v xml:space="preserve">41745159  </v>
      </c>
      <c r="B3906" t="s">
        <v>3756</v>
      </c>
      <c r="C3906">
        <v>125.4</v>
      </c>
      <c r="D3906" t="str">
        <f t="shared" si="176"/>
        <v>250</v>
      </c>
    </row>
    <row r="3907" spans="1:5" x14ac:dyDescent="0.25">
      <c r="A3907" t="str">
        <f>"41745308  "</f>
        <v xml:space="preserve">41745308  </v>
      </c>
      <c r="B3907" t="s">
        <v>3757</v>
      </c>
      <c r="C3907">
        <v>6.6</v>
      </c>
      <c r="D3907" t="str">
        <f t="shared" si="176"/>
        <v>250</v>
      </c>
      <c r="E3907" t="str">
        <f>"J8499"</f>
        <v>J8499</v>
      </c>
    </row>
    <row r="3908" spans="1:5" x14ac:dyDescent="0.25">
      <c r="A3908" t="str">
        <f>"41745320"</f>
        <v>41745320</v>
      </c>
      <c r="B3908" t="s">
        <v>3758</v>
      </c>
      <c r="C3908" s="1">
        <v>1221</v>
      </c>
      <c r="D3908" t="str">
        <f t="shared" si="176"/>
        <v>250</v>
      </c>
    </row>
    <row r="3909" spans="1:5" x14ac:dyDescent="0.25">
      <c r="A3909" t="str">
        <f>"41745407  "</f>
        <v xml:space="preserve">41745407  </v>
      </c>
      <c r="B3909" t="s">
        <v>3759</v>
      </c>
      <c r="C3909">
        <v>92.4</v>
      </c>
      <c r="D3909" t="str">
        <f t="shared" si="176"/>
        <v>250</v>
      </c>
      <c r="E3909" t="str">
        <f>"X6220"</f>
        <v>X6220</v>
      </c>
    </row>
    <row r="3910" spans="1:5" x14ac:dyDescent="0.25">
      <c r="A3910" t="str">
        <f>"41745407  "</f>
        <v xml:space="preserve">41745407  </v>
      </c>
      <c r="B3910" t="s">
        <v>3759</v>
      </c>
      <c r="C3910">
        <v>92.4</v>
      </c>
      <c r="D3910" t="str">
        <f t="shared" si="176"/>
        <v>250</v>
      </c>
      <c r="E3910" t="str">
        <f>"J3260"</f>
        <v>J3260</v>
      </c>
    </row>
    <row r="3911" spans="1:5" x14ac:dyDescent="0.25">
      <c r="A3911" t="str">
        <f>"41745415  "</f>
        <v xml:space="preserve">41745415  </v>
      </c>
      <c r="B3911" t="s">
        <v>3760</v>
      </c>
      <c r="C3911">
        <v>57.2</v>
      </c>
      <c r="D3911" t="str">
        <f t="shared" si="176"/>
        <v>250</v>
      </c>
      <c r="E3911" t="str">
        <f>"J3260"</f>
        <v>J3260</v>
      </c>
    </row>
    <row r="3912" spans="1:5" x14ac:dyDescent="0.25">
      <c r="A3912" t="str">
        <f>"41745480  "</f>
        <v xml:space="preserve">41745480  </v>
      </c>
      <c r="B3912" t="s">
        <v>3761</v>
      </c>
      <c r="C3912">
        <v>600.6</v>
      </c>
      <c r="D3912" t="str">
        <f t="shared" si="176"/>
        <v>250</v>
      </c>
      <c r="E3912" t="str">
        <f>"90779"</f>
        <v>90779</v>
      </c>
    </row>
    <row r="3913" spans="1:5" x14ac:dyDescent="0.25">
      <c r="A3913" t="str">
        <f>"41745480  "</f>
        <v xml:space="preserve">41745480  </v>
      </c>
      <c r="B3913" t="s">
        <v>3761</v>
      </c>
      <c r="C3913">
        <v>600.6</v>
      </c>
      <c r="D3913" t="str">
        <f t="shared" si="176"/>
        <v>250</v>
      </c>
      <c r="E3913" t="str">
        <f>"J3260"</f>
        <v>J3260</v>
      </c>
    </row>
    <row r="3914" spans="1:5" x14ac:dyDescent="0.25">
      <c r="A3914" t="str">
        <f>"41745612"</f>
        <v>41745612</v>
      </c>
      <c r="B3914" t="s">
        <v>3762</v>
      </c>
      <c r="C3914">
        <v>9.92</v>
      </c>
      <c r="D3914" t="str">
        <f t="shared" si="176"/>
        <v>250</v>
      </c>
    </row>
    <row r="3915" spans="1:5" x14ac:dyDescent="0.25">
      <c r="A3915" t="str">
        <f>"41745688  "</f>
        <v xml:space="preserve">41745688  </v>
      </c>
      <c r="B3915" t="s">
        <v>3763</v>
      </c>
      <c r="C3915">
        <v>6.6</v>
      </c>
      <c r="D3915" t="str">
        <f t="shared" si="176"/>
        <v>250</v>
      </c>
      <c r="E3915" t="str">
        <f>"J8499"</f>
        <v>J8499</v>
      </c>
    </row>
    <row r="3916" spans="1:5" x14ac:dyDescent="0.25">
      <c r="A3916" t="str">
        <f>"41746058  "</f>
        <v xml:space="preserve">41746058  </v>
      </c>
      <c r="B3916" t="s">
        <v>3764</v>
      </c>
      <c r="C3916">
        <v>375.1</v>
      </c>
      <c r="D3916" t="str">
        <f t="shared" si="176"/>
        <v>250</v>
      </c>
      <c r="E3916" t="str">
        <f>"J3490"</f>
        <v>J3490</v>
      </c>
    </row>
    <row r="3917" spans="1:5" x14ac:dyDescent="0.25">
      <c r="A3917" t="str">
        <f>"41746108  "</f>
        <v xml:space="preserve">41746108  </v>
      </c>
      <c r="B3917" t="s">
        <v>3765</v>
      </c>
      <c r="C3917">
        <v>84.7</v>
      </c>
      <c r="D3917" t="str">
        <f t="shared" si="176"/>
        <v>250</v>
      </c>
      <c r="E3917" t="str">
        <f>"J3490"</f>
        <v>J3490</v>
      </c>
    </row>
    <row r="3918" spans="1:5" x14ac:dyDescent="0.25">
      <c r="A3918" t="str">
        <f>"41746157  "</f>
        <v xml:space="preserve">41746157  </v>
      </c>
      <c r="B3918" t="s">
        <v>3766</v>
      </c>
      <c r="C3918">
        <v>33</v>
      </c>
      <c r="D3918" t="str">
        <f>"257"</f>
        <v>257</v>
      </c>
      <c r="E3918" t="str">
        <f>"J3490"</f>
        <v>J3490</v>
      </c>
    </row>
    <row r="3919" spans="1:5" x14ac:dyDescent="0.25">
      <c r="A3919" t="str">
        <f>"41746207  "</f>
        <v xml:space="preserve">41746207  </v>
      </c>
      <c r="B3919" t="s">
        <v>3767</v>
      </c>
      <c r="C3919">
        <v>429</v>
      </c>
      <c r="D3919" t="str">
        <f>"250"</f>
        <v>250</v>
      </c>
      <c r="E3919" t="str">
        <f>"J3490"</f>
        <v>J3490</v>
      </c>
    </row>
    <row r="3920" spans="1:5" x14ac:dyDescent="0.25">
      <c r="A3920" t="str">
        <f>"41746256  "</f>
        <v xml:space="preserve">41746256  </v>
      </c>
      <c r="B3920" t="s">
        <v>3768</v>
      </c>
      <c r="C3920">
        <v>35.200000000000003</v>
      </c>
      <c r="D3920" t="str">
        <f>"250"</f>
        <v>250</v>
      </c>
      <c r="E3920" t="str">
        <f>"J8499"</f>
        <v>J8499</v>
      </c>
    </row>
    <row r="3921" spans="1:5" x14ac:dyDescent="0.25">
      <c r="A3921" t="str">
        <f>"41746280  "</f>
        <v xml:space="preserve">41746280  </v>
      </c>
      <c r="B3921" t="s">
        <v>3648</v>
      </c>
      <c r="C3921">
        <v>8.8000000000000007</v>
      </c>
      <c r="D3921" t="str">
        <f>"250"</f>
        <v>250</v>
      </c>
    </row>
    <row r="3922" spans="1:5" x14ac:dyDescent="0.25">
      <c r="A3922" t="str">
        <f>"41746306  "</f>
        <v xml:space="preserve">41746306  </v>
      </c>
      <c r="B3922" t="s">
        <v>3769</v>
      </c>
      <c r="C3922">
        <v>44</v>
      </c>
      <c r="D3922" t="str">
        <f>"257"</f>
        <v>257</v>
      </c>
      <c r="E3922" t="str">
        <f>"J3490"</f>
        <v>J3490</v>
      </c>
    </row>
    <row r="3923" spans="1:5" x14ac:dyDescent="0.25">
      <c r="A3923" t="str">
        <f>"41746322  "</f>
        <v xml:space="preserve">41746322  </v>
      </c>
      <c r="B3923" t="s">
        <v>3770</v>
      </c>
      <c r="C3923">
        <v>12.32</v>
      </c>
      <c r="D3923" t="str">
        <f>"250"</f>
        <v>250</v>
      </c>
      <c r="E3923" t="str">
        <f>"J8499"</f>
        <v>J8499</v>
      </c>
    </row>
    <row r="3924" spans="1:5" x14ac:dyDescent="0.25">
      <c r="A3924" t="str">
        <f>"41746504  "</f>
        <v xml:space="preserve">41746504  </v>
      </c>
      <c r="B3924" t="s">
        <v>3771</v>
      </c>
      <c r="C3924">
        <v>53.9</v>
      </c>
      <c r="D3924" t="str">
        <f>"257"</f>
        <v>257</v>
      </c>
      <c r="E3924" t="str">
        <f>"J3490"</f>
        <v>J3490</v>
      </c>
    </row>
    <row r="3925" spans="1:5" x14ac:dyDescent="0.25">
      <c r="A3925" t="str">
        <f>"41746512  "</f>
        <v xml:space="preserve">41746512  </v>
      </c>
      <c r="B3925" t="s">
        <v>3772</v>
      </c>
      <c r="C3925">
        <v>6.6</v>
      </c>
      <c r="D3925" t="str">
        <f>"250"</f>
        <v>250</v>
      </c>
      <c r="E3925" t="str">
        <f>"J8499"</f>
        <v>J8499</v>
      </c>
    </row>
    <row r="3926" spans="1:5" x14ac:dyDescent="0.25">
      <c r="A3926" t="str">
        <f>"41746520  "</f>
        <v xml:space="preserve">41746520  </v>
      </c>
      <c r="B3926" t="s">
        <v>3773</v>
      </c>
      <c r="C3926">
        <v>887.15</v>
      </c>
      <c r="D3926" t="str">
        <f>"250"</f>
        <v>250</v>
      </c>
      <c r="E3926" t="str">
        <f>"J1442"</f>
        <v>J1442</v>
      </c>
    </row>
    <row r="3927" spans="1:5" x14ac:dyDescent="0.25">
      <c r="A3927" t="str">
        <f>"41746587  "</f>
        <v xml:space="preserve">41746587  </v>
      </c>
      <c r="B3927" t="s">
        <v>3774</v>
      </c>
      <c r="C3927">
        <v>7.7</v>
      </c>
      <c r="D3927" t="str">
        <f>"250"</f>
        <v>250</v>
      </c>
      <c r="E3927" t="str">
        <f>"J8499"</f>
        <v>J8499</v>
      </c>
    </row>
    <row r="3928" spans="1:5" x14ac:dyDescent="0.25">
      <c r="A3928" t="str">
        <f>"41746603  "</f>
        <v xml:space="preserve">41746603  </v>
      </c>
      <c r="B3928" t="s">
        <v>3775</v>
      </c>
      <c r="C3928">
        <v>49.5</v>
      </c>
      <c r="D3928" t="str">
        <f>"250"</f>
        <v>250</v>
      </c>
      <c r="E3928" t="str">
        <f>"J2370"</f>
        <v>J2370</v>
      </c>
    </row>
    <row r="3929" spans="1:5" x14ac:dyDescent="0.25">
      <c r="A3929" t="str">
        <f>"41746629  "</f>
        <v xml:space="preserve">41746629  </v>
      </c>
      <c r="B3929" t="s">
        <v>3776</v>
      </c>
      <c r="C3929">
        <v>16.5</v>
      </c>
      <c r="D3929" t="str">
        <f>"257"</f>
        <v>257</v>
      </c>
      <c r="E3929" t="str">
        <f>"J3490"</f>
        <v>J3490</v>
      </c>
    </row>
    <row r="3930" spans="1:5" x14ac:dyDescent="0.25">
      <c r="A3930" t="str">
        <f>"41746686  "</f>
        <v xml:space="preserve">41746686  </v>
      </c>
      <c r="B3930" t="s">
        <v>3777</v>
      </c>
      <c r="C3930">
        <v>6.6</v>
      </c>
      <c r="D3930" t="str">
        <f>"257"</f>
        <v>257</v>
      </c>
      <c r="E3930" t="str">
        <f>"J3490"</f>
        <v>J3490</v>
      </c>
    </row>
    <row r="3931" spans="1:5" x14ac:dyDescent="0.25">
      <c r="A3931" t="str">
        <f>"41746702  "</f>
        <v xml:space="preserve">41746702  </v>
      </c>
      <c r="B3931" t="s">
        <v>3778</v>
      </c>
      <c r="C3931">
        <v>6.6</v>
      </c>
      <c r="D3931" t="str">
        <f>"257"</f>
        <v>257</v>
      </c>
      <c r="E3931" t="str">
        <f>"J3490"</f>
        <v>J3490</v>
      </c>
    </row>
    <row r="3932" spans="1:5" x14ac:dyDescent="0.25">
      <c r="A3932" t="str">
        <f>"41746710  "</f>
        <v xml:space="preserve">41746710  </v>
      </c>
      <c r="B3932" t="s">
        <v>3779</v>
      </c>
      <c r="C3932">
        <v>7.7</v>
      </c>
      <c r="D3932" t="str">
        <f>"257"</f>
        <v>257</v>
      </c>
      <c r="E3932" t="str">
        <f>"J3490"</f>
        <v>J3490</v>
      </c>
    </row>
    <row r="3933" spans="1:5" x14ac:dyDescent="0.25">
      <c r="A3933" t="str">
        <f>"41746785  "</f>
        <v xml:space="preserve">41746785  </v>
      </c>
      <c r="B3933" t="s">
        <v>3780</v>
      </c>
      <c r="C3933" s="1">
        <v>1333.75</v>
      </c>
      <c r="D3933" t="str">
        <f>"250"</f>
        <v>250</v>
      </c>
    </row>
    <row r="3934" spans="1:5" x14ac:dyDescent="0.25">
      <c r="A3934" t="str">
        <f>"41746819  "</f>
        <v xml:space="preserve">41746819  </v>
      </c>
      <c r="B3934" t="s">
        <v>3781</v>
      </c>
      <c r="C3934">
        <v>6.6</v>
      </c>
      <c r="D3934" t="str">
        <f>"250"</f>
        <v>250</v>
      </c>
      <c r="E3934" t="str">
        <f>"J3490"</f>
        <v>J3490</v>
      </c>
    </row>
    <row r="3935" spans="1:5" x14ac:dyDescent="0.25">
      <c r="A3935" t="str">
        <f>"41746827  "</f>
        <v xml:space="preserve">41746827  </v>
      </c>
      <c r="B3935" t="s">
        <v>3782</v>
      </c>
      <c r="C3935">
        <v>39.6</v>
      </c>
      <c r="D3935" t="str">
        <f>"250"</f>
        <v>250</v>
      </c>
      <c r="E3935" t="str">
        <f>"J3490"</f>
        <v>J3490</v>
      </c>
    </row>
    <row r="3936" spans="1:5" x14ac:dyDescent="0.25">
      <c r="A3936" t="str">
        <f>"41746850  "</f>
        <v xml:space="preserve">41746850  </v>
      </c>
      <c r="B3936" t="s">
        <v>3783</v>
      </c>
      <c r="C3936">
        <v>16.5</v>
      </c>
      <c r="D3936" t="str">
        <f>"257"</f>
        <v>257</v>
      </c>
      <c r="E3936" t="str">
        <f>"J3490"</f>
        <v>J3490</v>
      </c>
    </row>
    <row r="3937" spans="1:5" x14ac:dyDescent="0.25">
      <c r="A3937" t="str">
        <f>"41747007  "</f>
        <v xml:space="preserve">41747007  </v>
      </c>
      <c r="B3937" t="s">
        <v>3784</v>
      </c>
      <c r="C3937">
        <v>91.3</v>
      </c>
      <c r="D3937" t="str">
        <f t="shared" ref="D3937:D3963" si="177">"250"</f>
        <v>250</v>
      </c>
      <c r="E3937" t="str">
        <f>"X6636"</f>
        <v>X6636</v>
      </c>
    </row>
    <row r="3938" spans="1:5" x14ac:dyDescent="0.25">
      <c r="A3938" t="str">
        <f>"41747007  "</f>
        <v xml:space="preserve">41747007  </v>
      </c>
      <c r="B3938" t="s">
        <v>3784</v>
      </c>
      <c r="C3938">
        <v>91.3</v>
      </c>
      <c r="D3938" t="str">
        <f t="shared" si="177"/>
        <v>250</v>
      </c>
      <c r="E3938" t="str">
        <f>"J3490"</f>
        <v>J3490</v>
      </c>
    </row>
    <row r="3939" spans="1:5" x14ac:dyDescent="0.25">
      <c r="A3939" t="str">
        <f>"41747123"</f>
        <v>41747123</v>
      </c>
      <c r="B3939" t="s">
        <v>3785</v>
      </c>
      <c r="C3939">
        <v>45.1</v>
      </c>
      <c r="D3939" t="str">
        <f t="shared" si="177"/>
        <v>250</v>
      </c>
      <c r="E3939" t="str">
        <f>"J1885"</f>
        <v>J1885</v>
      </c>
    </row>
    <row r="3940" spans="1:5" x14ac:dyDescent="0.25">
      <c r="A3940" t="str">
        <f>"41747155  "</f>
        <v xml:space="preserve">41747155  </v>
      </c>
      <c r="B3940" t="s">
        <v>3786</v>
      </c>
      <c r="C3940">
        <v>6.6</v>
      </c>
      <c r="D3940" t="str">
        <f t="shared" si="177"/>
        <v>250</v>
      </c>
      <c r="E3940" t="str">
        <f>"J8499"</f>
        <v>J8499</v>
      </c>
    </row>
    <row r="3941" spans="1:5" x14ac:dyDescent="0.25">
      <c r="A3941" t="str">
        <f>"41747254  "</f>
        <v xml:space="preserve">41747254  </v>
      </c>
      <c r="B3941" t="s">
        <v>3787</v>
      </c>
      <c r="C3941">
        <v>9.9</v>
      </c>
      <c r="D3941" t="str">
        <f t="shared" si="177"/>
        <v>250</v>
      </c>
      <c r="E3941" t="str">
        <f>"J3490"</f>
        <v>J3490</v>
      </c>
    </row>
    <row r="3942" spans="1:5" x14ac:dyDescent="0.25">
      <c r="A3942" t="str">
        <f>"41747262  "</f>
        <v xml:space="preserve">41747262  </v>
      </c>
      <c r="B3942" t="s">
        <v>3788</v>
      </c>
      <c r="C3942">
        <v>25.3</v>
      </c>
      <c r="D3942" t="str">
        <f t="shared" si="177"/>
        <v>250</v>
      </c>
      <c r="E3942" t="str">
        <f>"J8499"</f>
        <v>J8499</v>
      </c>
    </row>
    <row r="3943" spans="1:5" x14ac:dyDescent="0.25">
      <c r="A3943" t="str">
        <f>"41747296  "</f>
        <v xml:space="preserve">41747296  </v>
      </c>
      <c r="B3943" t="s">
        <v>3789</v>
      </c>
      <c r="C3943">
        <v>24.2</v>
      </c>
      <c r="D3943" t="str">
        <f t="shared" si="177"/>
        <v>250</v>
      </c>
      <c r="E3943" t="str">
        <f>"J8499"</f>
        <v>J8499</v>
      </c>
    </row>
    <row r="3944" spans="1:5" x14ac:dyDescent="0.25">
      <c r="A3944" t="str">
        <f>"41747304  "</f>
        <v xml:space="preserve">41747304  </v>
      </c>
      <c r="B3944" t="s">
        <v>3790</v>
      </c>
      <c r="C3944">
        <v>19.8</v>
      </c>
      <c r="D3944" t="str">
        <f t="shared" si="177"/>
        <v>250</v>
      </c>
      <c r="E3944" t="str">
        <f>"J8499"</f>
        <v>J8499</v>
      </c>
    </row>
    <row r="3945" spans="1:5" x14ac:dyDescent="0.25">
      <c r="A3945" t="str">
        <f>"41747312  "</f>
        <v xml:space="preserve">41747312  </v>
      </c>
      <c r="B3945" t="s">
        <v>3791</v>
      </c>
      <c r="C3945">
        <v>18.7</v>
      </c>
      <c r="D3945" t="str">
        <f t="shared" si="177"/>
        <v>250</v>
      </c>
      <c r="E3945" t="str">
        <f>"J8499"</f>
        <v>J8499</v>
      </c>
    </row>
    <row r="3946" spans="1:5" x14ac:dyDescent="0.25">
      <c r="A3946" t="str">
        <f>"41747320  "</f>
        <v xml:space="preserve">41747320  </v>
      </c>
      <c r="B3946" t="s">
        <v>3792</v>
      </c>
      <c r="C3946">
        <v>16.5</v>
      </c>
      <c r="D3946" t="str">
        <f t="shared" si="177"/>
        <v>250</v>
      </c>
    </row>
    <row r="3947" spans="1:5" x14ac:dyDescent="0.25">
      <c r="A3947" t="str">
        <f>"41747338  "</f>
        <v xml:space="preserve">41747338  </v>
      </c>
      <c r="B3947" t="s">
        <v>3793</v>
      </c>
      <c r="C3947">
        <v>17.600000000000001</v>
      </c>
      <c r="D3947" t="str">
        <f t="shared" si="177"/>
        <v>250</v>
      </c>
      <c r="E3947" t="str">
        <f>"J8499"</f>
        <v>J8499</v>
      </c>
    </row>
    <row r="3948" spans="1:5" x14ac:dyDescent="0.25">
      <c r="A3948" t="str">
        <f>"41747452  "</f>
        <v xml:space="preserve">41747452  </v>
      </c>
      <c r="B3948" t="s">
        <v>3794</v>
      </c>
      <c r="C3948">
        <v>27.5</v>
      </c>
      <c r="D3948" t="str">
        <f t="shared" si="177"/>
        <v>250</v>
      </c>
      <c r="E3948" t="str">
        <f>"J8499"</f>
        <v>J8499</v>
      </c>
    </row>
    <row r="3949" spans="1:5" x14ac:dyDescent="0.25">
      <c r="A3949" t="str">
        <f>"41747502  "</f>
        <v xml:space="preserve">41747502  </v>
      </c>
      <c r="B3949" t="s">
        <v>3795</v>
      </c>
      <c r="C3949">
        <v>97.9</v>
      </c>
      <c r="D3949" t="str">
        <f t="shared" si="177"/>
        <v>250</v>
      </c>
      <c r="E3949" t="str">
        <f>"J3490"</f>
        <v>J3490</v>
      </c>
    </row>
    <row r="3950" spans="1:5" x14ac:dyDescent="0.25">
      <c r="A3950" t="str">
        <f>"41747601  "</f>
        <v xml:space="preserve">41747601  </v>
      </c>
      <c r="B3950" t="s">
        <v>3796</v>
      </c>
      <c r="C3950">
        <v>213.13</v>
      </c>
      <c r="D3950" t="str">
        <f t="shared" si="177"/>
        <v>250</v>
      </c>
      <c r="E3950" t="str">
        <f>"J3490"</f>
        <v>J3490</v>
      </c>
    </row>
    <row r="3951" spans="1:5" x14ac:dyDescent="0.25">
      <c r="A3951" t="str">
        <f>"41747650  "</f>
        <v xml:space="preserve">41747650  </v>
      </c>
      <c r="B3951" t="s">
        <v>3797</v>
      </c>
      <c r="C3951">
        <v>42.9</v>
      </c>
      <c r="D3951" t="str">
        <f t="shared" si="177"/>
        <v>250</v>
      </c>
      <c r="E3951" t="str">
        <f>"J3490"</f>
        <v>J3490</v>
      </c>
    </row>
    <row r="3952" spans="1:5" x14ac:dyDescent="0.25">
      <c r="A3952" t="str">
        <f>"41747700  "</f>
        <v xml:space="preserve">41747700  </v>
      </c>
      <c r="B3952" t="s">
        <v>3798</v>
      </c>
      <c r="C3952">
        <v>14.85</v>
      </c>
      <c r="D3952" t="str">
        <f t="shared" si="177"/>
        <v>250</v>
      </c>
      <c r="E3952" t="str">
        <f>"J8499"</f>
        <v>J8499</v>
      </c>
    </row>
    <row r="3953" spans="1:5" x14ac:dyDescent="0.25">
      <c r="A3953" t="str">
        <f>"41747841  "</f>
        <v xml:space="preserve">41747841  </v>
      </c>
      <c r="B3953" t="s">
        <v>3799</v>
      </c>
      <c r="C3953">
        <v>232.38</v>
      </c>
      <c r="D3953" t="str">
        <f t="shared" si="177"/>
        <v>250</v>
      </c>
    </row>
    <row r="3954" spans="1:5" x14ac:dyDescent="0.25">
      <c r="A3954" t="str">
        <f>"41747845"</f>
        <v>41747845</v>
      </c>
      <c r="B3954" t="s">
        <v>3800</v>
      </c>
      <c r="C3954">
        <v>8.8000000000000007</v>
      </c>
      <c r="D3954" t="str">
        <f t="shared" si="177"/>
        <v>250</v>
      </c>
    </row>
    <row r="3955" spans="1:5" x14ac:dyDescent="0.25">
      <c r="A3955" t="str">
        <f>"41747858  "</f>
        <v xml:space="preserve">41747858  </v>
      </c>
      <c r="B3955" t="s">
        <v>3801</v>
      </c>
      <c r="C3955">
        <v>8.8000000000000007</v>
      </c>
      <c r="D3955" t="str">
        <f t="shared" si="177"/>
        <v>250</v>
      </c>
      <c r="E3955" t="str">
        <f>"J8499"</f>
        <v>J8499</v>
      </c>
    </row>
    <row r="3956" spans="1:5" x14ac:dyDescent="0.25">
      <c r="A3956" t="str">
        <f>"41747916  "</f>
        <v xml:space="preserve">41747916  </v>
      </c>
      <c r="B3956" t="s">
        <v>3802</v>
      </c>
      <c r="C3956">
        <v>13.2</v>
      </c>
      <c r="D3956" t="str">
        <f t="shared" si="177"/>
        <v>250</v>
      </c>
      <c r="E3956" t="str">
        <f>"J8499"</f>
        <v>J8499</v>
      </c>
    </row>
    <row r="3957" spans="1:5" x14ac:dyDescent="0.25">
      <c r="A3957" t="str">
        <f>"41747965  "</f>
        <v xml:space="preserve">41747965  </v>
      </c>
      <c r="B3957" t="s">
        <v>3803</v>
      </c>
      <c r="C3957">
        <v>16.5</v>
      </c>
      <c r="D3957" t="str">
        <f t="shared" si="177"/>
        <v>250</v>
      </c>
      <c r="E3957" t="str">
        <f>"J8499"</f>
        <v>J8499</v>
      </c>
    </row>
    <row r="3958" spans="1:5" x14ac:dyDescent="0.25">
      <c r="A3958" t="str">
        <f>"41748153  "</f>
        <v xml:space="preserve">41748153  </v>
      </c>
      <c r="B3958" t="s">
        <v>3804</v>
      </c>
      <c r="C3958">
        <v>303.60000000000002</v>
      </c>
      <c r="D3958" t="str">
        <f t="shared" si="177"/>
        <v>250</v>
      </c>
      <c r="E3958" t="str">
        <f>"J3490"</f>
        <v>J3490</v>
      </c>
    </row>
    <row r="3959" spans="1:5" x14ac:dyDescent="0.25">
      <c r="A3959" t="str">
        <f>"41748237  "</f>
        <v xml:space="preserve">41748237  </v>
      </c>
      <c r="B3959" t="s">
        <v>3805</v>
      </c>
      <c r="C3959">
        <v>6.6</v>
      </c>
      <c r="D3959" t="str">
        <f t="shared" si="177"/>
        <v>250</v>
      </c>
      <c r="E3959" t="str">
        <f>"J8499"</f>
        <v>J8499</v>
      </c>
    </row>
    <row r="3960" spans="1:5" x14ac:dyDescent="0.25">
      <c r="A3960" t="str">
        <f>"41748245  "</f>
        <v xml:space="preserve">41748245  </v>
      </c>
      <c r="B3960" t="s">
        <v>3806</v>
      </c>
      <c r="C3960">
        <v>7.7</v>
      </c>
      <c r="D3960" t="str">
        <f t="shared" si="177"/>
        <v>250</v>
      </c>
      <c r="E3960" t="str">
        <f>"J8499"</f>
        <v>J8499</v>
      </c>
    </row>
    <row r="3961" spans="1:5" x14ac:dyDescent="0.25">
      <c r="A3961" t="str">
        <f>"41748369  "</f>
        <v xml:space="preserve">41748369  </v>
      </c>
      <c r="B3961" t="s">
        <v>3807</v>
      </c>
      <c r="C3961">
        <v>8.8000000000000007</v>
      </c>
      <c r="D3961" t="str">
        <f t="shared" si="177"/>
        <v>250</v>
      </c>
      <c r="E3961" t="str">
        <f>"J8499"</f>
        <v>J8499</v>
      </c>
    </row>
    <row r="3962" spans="1:5" x14ac:dyDescent="0.25">
      <c r="A3962" t="str">
        <f>"41748450  "</f>
        <v xml:space="preserve">41748450  </v>
      </c>
      <c r="B3962" t="s">
        <v>3808</v>
      </c>
      <c r="C3962">
        <v>50.6</v>
      </c>
      <c r="D3962" t="str">
        <f t="shared" si="177"/>
        <v>250</v>
      </c>
      <c r="E3962" t="str">
        <f>"X6612"</f>
        <v>X6612</v>
      </c>
    </row>
    <row r="3963" spans="1:5" x14ac:dyDescent="0.25">
      <c r="A3963" t="str">
        <f>"41748450  "</f>
        <v xml:space="preserve">41748450  </v>
      </c>
      <c r="B3963" t="s">
        <v>3808</v>
      </c>
      <c r="C3963">
        <v>50.6</v>
      </c>
      <c r="D3963" t="str">
        <f t="shared" si="177"/>
        <v>250</v>
      </c>
      <c r="E3963" t="str">
        <f>"J2300"</f>
        <v>J2300</v>
      </c>
    </row>
    <row r="3964" spans="1:5" x14ac:dyDescent="0.25">
      <c r="A3964" t="str">
        <f>"41748724  "</f>
        <v xml:space="preserve">41748724  </v>
      </c>
      <c r="B3964" t="s">
        <v>3809</v>
      </c>
      <c r="C3964">
        <v>22</v>
      </c>
      <c r="D3964" t="str">
        <f>"257"</f>
        <v>257</v>
      </c>
      <c r="E3964" t="str">
        <f t="shared" ref="E3964:E3969" si="178">"J3490"</f>
        <v>J3490</v>
      </c>
    </row>
    <row r="3965" spans="1:5" x14ac:dyDescent="0.25">
      <c r="A3965" t="str">
        <f>"41748765  "</f>
        <v xml:space="preserve">41748765  </v>
      </c>
      <c r="B3965" t="s">
        <v>3810</v>
      </c>
      <c r="C3965">
        <v>16.5</v>
      </c>
      <c r="D3965" t="str">
        <f>"250"</f>
        <v>250</v>
      </c>
      <c r="E3965" t="str">
        <f t="shared" si="178"/>
        <v>J3490</v>
      </c>
    </row>
    <row r="3966" spans="1:5" x14ac:dyDescent="0.25">
      <c r="A3966" t="str">
        <f>"41748773  "</f>
        <v xml:space="preserve">41748773  </v>
      </c>
      <c r="B3966" t="s">
        <v>3811</v>
      </c>
      <c r="C3966">
        <v>16.5</v>
      </c>
      <c r="D3966" t="str">
        <f>"257"</f>
        <v>257</v>
      </c>
      <c r="E3966" t="str">
        <f t="shared" si="178"/>
        <v>J3490</v>
      </c>
    </row>
    <row r="3967" spans="1:5" x14ac:dyDescent="0.25">
      <c r="A3967" t="str">
        <f>"41748781  "</f>
        <v xml:space="preserve">41748781  </v>
      </c>
      <c r="B3967" t="s">
        <v>3812</v>
      </c>
      <c r="C3967">
        <v>99</v>
      </c>
      <c r="D3967" t="str">
        <f>"257"</f>
        <v>257</v>
      </c>
      <c r="E3967" t="str">
        <f t="shared" si="178"/>
        <v>J3490</v>
      </c>
    </row>
    <row r="3968" spans="1:5" x14ac:dyDescent="0.25">
      <c r="A3968" t="str">
        <f>"41748989  "</f>
        <v xml:space="preserve">41748989  </v>
      </c>
      <c r="B3968" t="s">
        <v>3813</v>
      </c>
      <c r="C3968">
        <v>33.770000000000003</v>
      </c>
      <c r="D3968" t="str">
        <f>"250"</f>
        <v>250</v>
      </c>
      <c r="E3968" t="str">
        <f t="shared" si="178"/>
        <v>J3490</v>
      </c>
    </row>
    <row r="3969" spans="1:5" x14ac:dyDescent="0.25">
      <c r="A3969" t="str">
        <f>"41749300  "</f>
        <v xml:space="preserve">41749300  </v>
      </c>
      <c r="B3969" t="s">
        <v>3814</v>
      </c>
      <c r="C3969">
        <v>6.6</v>
      </c>
      <c r="D3969" t="str">
        <f>"257"</f>
        <v>257</v>
      </c>
      <c r="E3969" t="str">
        <f t="shared" si="178"/>
        <v>J3490</v>
      </c>
    </row>
    <row r="3970" spans="1:5" x14ac:dyDescent="0.25">
      <c r="A3970" t="str">
        <f>"41749318  "</f>
        <v xml:space="preserve">41749318  </v>
      </c>
      <c r="B3970" t="s">
        <v>3815</v>
      </c>
      <c r="C3970">
        <v>986.7</v>
      </c>
      <c r="D3970" t="str">
        <f>"250"</f>
        <v>250</v>
      </c>
    </row>
    <row r="3971" spans="1:5" x14ac:dyDescent="0.25">
      <c r="A3971" t="str">
        <f>"41749367  "</f>
        <v xml:space="preserve">41749367  </v>
      </c>
      <c r="B3971" t="s">
        <v>3816</v>
      </c>
      <c r="C3971">
        <v>45.1</v>
      </c>
      <c r="D3971" t="str">
        <f>"250"</f>
        <v>250</v>
      </c>
      <c r="E3971" t="str">
        <f>"J8499"</f>
        <v>J8499</v>
      </c>
    </row>
    <row r="3972" spans="1:5" x14ac:dyDescent="0.25">
      <c r="A3972" t="str">
        <f>"41749375  "</f>
        <v xml:space="preserve">41749375  </v>
      </c>
      <c r="B3972" t="s">
        <v>3817</v>
      </c>
      <c r="C3972">
        <v>82.5</v>
      </c>
      <c r="D3972" t="str">
        <f>"250"</f>
        <v>250</v>
      </c>
      <c r="E3972" t="str">
        <f>"J3490"</f>
        <v>J3490</v>
      </c>
    </row>
    <row r="3973" spans="1:5" x14ac:dyDescent="0.25">
      <c r="A3973" t="str">
        <f>"41749383  "</f>
        <v xml:space="preserve">41749383  </v>
      </c>
      <c r="B3973" t="s">
        <v>3818</v>
      </c>
      <c r="C3973">
        <v>82.5</v>
      </c>
      <c r="D3973" t="str">
        <f>"250"</f>
        <v>250</v>
      </c>
      <c r="E3973" t="str">
        <f>"J3490"</f>
        <v>J3490</v>
      </c>
    </row>
    <row r="3974" spans="1:5" x14ac:dyDescent="0.25">
      <c r="A3974" t="str">
        <f>"41749680  "</f>
        <v xml:space="preserve">41749680  </v>
      </c>
      <c r="B3974" t="s">
        <v>3819</v>
      </c>
      <c r="C3974">
        <v>6.6</v>
      </c>
      <c r="D3974" t="str">
        <f>"257"</f>
        <v>257</v>
      </c>
      <c r="E3974" t="str">
        <f>"J8499"</f>
        <v>J8499</v>
      </c>
    </row>
    <row r="3975" spans="1:5" x14ac:dyDescent="0.25">
      <c r="A3975" t="str">
        <f>"41749730  "</f>
        <v xml:space="preserve">41749730  </v>
      </c>
      <c r="B3975" t="s">
        <v>3820</v>
      </c>
      <c r="C3975">
        <v>8.8000000000000007</v>
      </c>
      <c r="D3975" t="str">
        <f>"250"</f>
        <v>250</v>
      </c>
      <c r="E3975" t="str">
        <f>"J8499"</f>
        <v>J8499</v>
      </c>
    </row>
    <row r="3976" spans="1:5" x14ac:dyDescent="0.25">
      <c r="A3976" t="str">
        <f>"41749771  "</f>
        <v xml:space="preserve">41749771  </v>
      </c>
      <c r="B3976" t="s">
        <v>3821</v>
      </c>
      <c r="C3976">
        <v>82.5</v>
      </c>
      <c r="D3976" t="str">
        <f>"257"</f>
        <v>257</v>
      </c>
      <c r="E3976" t="str">
        <f>"J3490"</f>
        <v>J3490</v>
      </c>
    </row>
    <row r="3977" spans="1:5" x14ac:dyDescent="0.25">
      <c r="A3977" t="str">
        <f>"41749953  "</f>
        <v xml:space="preserve">41749953  </v>
      </c>
      <c r="B3977" t="s">
        <v>3822</v>
      </c>
      <c r="C3977">
        <v>6.6</v>
      </c>
      <c r="D3977" t="str">
        <f>"250"</f>
        <v>250</v>
      </c>
      <c r="E3977" t="str">
        <f>"J8499"</f>
        <v>J8499</v>
      </c>
    </row>
    <row r="3978" spans="1:5" x14ac:dyDescent="0.25">
      <c r="A3978" t="str">
        <f>"41750001  "</f>
        <v xml:space="preserve">41750001  </v>
      </c>
      <c r="B3978" t="s">
        <v>3823</v>
      </c>
      <c r="C3978">
        <v>33.28</v>
      </c>
      <c r="D3978" t="str">
        <f>"257"</f>
        <v>257</v>
      </c>
      <c r="E3978" t="str">
        <f>"J3490"</f>
        <v>J3490</v>
      </c>
    </row>
    <row r="3979" spans="1:5" x14ac:dyDescent="0.25">
      <c r="A3979" t="str">
        <f>"41750019  "</f>
        <v xml:space="preserve">41750019  </v>
      </c>
      <c r="B3979" t="s">
        <v>3824</v>
      </c>
      <c r="C3979">
        <v>6.6</v>
      </c>
      <c r="D3979" t="str">
        <f t="shared" ref="D3979:D3989" si="179">"250"</f>
        <v>250</v>
      </c>
      <c r="E3979" t="str">
        <f>"J8499"</f>
        <v>J8499</v>
      </c>
    </row>
    <row r="3980" spans="1:5" x14ac:dyDescent="0.25">
      <c r="A3980" t="str">
        <f>"41750027  "</f>
        <v xml:space="preserve">41750027  </v>
      </c>
      <c r="B3980" t="s">
        <v>3825</v>
      </c>
      <c r="C3980">
        <v>990</v>
      </c>
      <c r="D3980" t="str">
        <f t="shared" si="179"/>
        <v>250</v>
      </c>
    </row>
    <row r="3981" spans="1:5" x14ac:dyDescent="0.25">
      <c r="A3981" t="str">
        <f>"41750035  "</f>
        <v xml:space="preserve">41750035  </v>
      </c>
      <c r="B3981" t="s">
        <v>3826</v>
      </c>
      <c r="C3981">
        <v>20.9</v>
      </c>
      <c r="D3981" t="str">
        <f t="shared" si="179"/>
        <v>250</v>
      </c>
    </row>
    <row r="3982" spans="1:5" x14ac:dyDescent="0.25">
      <c r="A3982" t="str">
        <f>"41750050  "</f>
        <v xml:space="preserve">41750050  </v>
      </c>
      <c r="B3982" t="s">
        <v>3827</v>
      </c>
      <c r="C3982">
        <v>173.8</v>
      </c>
      <c r="D3982" t="str">
        <f t="shared" si="179"/>
        <v>250</v>
      </c>
    </row>
    <row r="3983" spans="1:5" x14ac:dyDescent="0.25">
      <c r="A3983" t="str">
        <f>"41750068  "</f>
        <v xml:space="preserve">41750068  </v>
      </c>
      <c r="B3983" t="s">
        <v>3828</v>
      </c>
      <c r="C3983">
        <v>66</v>
      </c>
      <c r="D3983" t="str">
        <f t="shared" si="179"/>
        <v>250</v>
      </c>
    </row>
    <row r="3984" spans="1:5" x14ac:dyDescent="0.25">
      <c r="A3984" t="str">
        <f>"41750076  "</f>
        <v xml:space="preserve">41750076  </v>
      </c>
      <c r="B3984" t="s">
        <v>3829</v>
      </c>
      <c r="C3984">
        <v>27.5</v>
      </c>
      <c r="D3984" t="str">
        <f t="shared" si="179"/>
        <v>250</v>
      </c>
    </row>
    <row r="3985" spans="1:5" x14ac:dyDescent="0.25">
      <c r="A3985" t="str">
        <f>"41750092  "</f>
        <v xml:space="preserve">41750092  </v>
      </c>
      <c r="B3985" t="s">
        <v>3830</v>
      </c>
      <c r="C3985">
        <v>7.48</v>
      </c>
      <c r="D3985" t="str">
        <f t="shared" si="179"/>
        <v>250</v>
      </c>
    </row>
    <row r="3986" spans="1:5" x14ac:dyDescent="0.25">
      <c r="A3986" t="str">
        <f>"41750118  "</f>
        <v xml:space="preserve">41750118  </v>
      </c>
      <c r="B3986" t="s">
        <v>3831</v>
      </c>
      <c r="C3986">
        <v>16.5</v>
      </c>
      <c r="D3986" t="str">
        <f t="shared" si="179"/>
        <v>250</v>
      </c>
      <c r="E3986" t="str">
        <f>"J8499"</f>
        <v>J8499</v>
      </c>
    </row>
    <row r="3987" spans="1:5" x14ac:dyDescent="0.25">
      <c r="A3987" t="str">
        <f>"41750126  "</f>
        <v xml:space="preserve">41750126  </v>
      </c>
      <c r="B3987" t="s">
        <v>3832</v>
      </c>
      <c r="C3987">
        <v>134.19999999999999</v>
      </c>
      <c r="D3987" t="str">
        <f t="shared" si="179"/>
        <v>250</v>
      </c>
    </row>
    <row r="3988" spans="1:5" x14ac:dyDescent="0.25">
      <c r="A3988" t="str">
        <f>"41750134  "</f>
        <v xml:space="preserve">41750134  </v>
      </c>
      <c r="B3988" t="s">
        <v>3833</v>
      </c>
      <c r="C3988">
        <v>110</v>
      </c>
      <c r="D3988" t="str">
        <f t="shared" si="179"/>
        <v>250</v>
      </c>
    </row>
    <row r="3989" spans="1:5" x14ac:dyDescent="0.25">
      <c r="A3989" t="str">
        <f>"41750142  "</f>
        <v xml:space="preserve">41750142  </v>
      </c>
      <c r="B3989" t="s">
        <v>3834</v>
      </c>
      <c r="C3989">
        <v>44</v>
      </c>
      <c r="D3989" t="str">
        <f t="shared" si="179"/>
        <v>250</v>
      </c>
    </row>
    <row r="3990" spans="1:5" x14ac:dyDescent="0.25">
      <c r="A3990" t="str">
        <f>"41750241  "</f>
        <v xml:space="preserve">41750241  </v>
      </c>
      <c r="B3990" t="s">
        <v>3835</v>
      </c>
      <c r="C3990">
        <v>13.2</v>
      </c>
      <c r="D3990" t="str">
        <f>"257"</f>
        <v>257</v>
      </c>
    </row>
    <row r="3991" spans="1:5" x14ac:dyDescent="0.25">
      <c r="A3991" t="str">
        <f>"41750321"</f>
        <v>41750321</v>
      </c>
      <c r="B3991" t="s">
        <v>3836</v>
      </c>
      <c r="C3991">
        <v>33.770000000000003</v>
      </c>
      <c r="D3991" t="str">
        <f t="shared" ref="D3991:D4022" si="180">"250"</f>
        <v>250</v>
      </c>
    </row>
    <row r="3992" spans="1:5" x14ac:dyDescent="0.25">
      <c r="A3992" t="str">
        <f>"41750322"</f>
        <v>41750322</v>
      </c>
      <c r="B3992" t="s">
        <v>3837</v>
      </c>
      <c r="C3992">
        <v>34.21</v>
      </c>
      <c r="D3992" t="str">
        <f t="shared" si="180"/>
        <v>250</v>
      </c>
    </row>
    <row r="3993" spans="1:5" x14ac:dyDescent="0.25">
      <c r="A3993" t="str">
        <f>"41750332  "</f>
        <v xml:space="preserve">41750332  </v>
      </c>
      <c r="B3993" t="s">
        <v>3838</v>
      </c>
      <c r="C3993">
        <v>11</v>
      </c>
      <c r="D3993" t="str">
        <f t="shared" si="180"/>
        <v>250</v>
      </c>
      <c r="E3993" t="str">
        <f>"J8499"</f>
        <v>J8499</v>
      </c>
    </row>
    <row r="3994" spans="1:5" x14ac:dyDescent="0.25">
      <c r="A3994" t="str">
        <f>"41750449  "</f>
        <v xml:space="preserve">41750449  </v>
      </c>
      <c r="B3994" t="s">
        <v>3839</v>
      </c>
      <c r="C3994">
        <v>6.6</v>
      </c>
      <c r="D3994" t="str">
        <f t="shared" si="180"/>
        <v>250</v>
      </c>
      <c r="E3994" t="str">
        <f>"J8499"</f>
        <v>J8499</v>
      </c>
    </row>
    <row r="3995" spans="1:5" x14ac:dyDescent="0.25">
      <c r="A3995" t="str">
        <f>"41750550"</f>
        <v>41750550</v>
      </c>
      <c r="B3995" t="s">
        <v>3840</v>
      </c>
      <c r="C3995">
        <v>407.77</v>
      </c>
      <c r="D3995" t="str">
        <f t="shared" si="180"/>
        <v>250</v>
      </c>
    </row>
    <row r="3996" spans="1:5" x14ac:dyDescent="0.25">
      <c r="A3996" t="str">
        <f>"41750662  "</f>
        <v xml:space="preserve">41750662  </v>
      </c>
      <c r="B3996" t="s">
        <v>3841</v>
      </c>
      <c r="C3996">
        <v>11</v>
      </c>
      <c r="D3996" t="str">
        <f t="shared" si="180"/>
        <v>250</v>
      </c>
      <c r="E3996" t="str">
        <f>"J8499"</f>
        <v>J8499</v>
      </c>
    </row>
    <row r="3997" spans="1:5" x14ac:dyDescent="0.25">
      <c r="A3997" t="str">
        <f>"41750704  "</f>
        <v xml:space="preserve">41750704  </v>
      </c>
      <c r="B3997" t="s">
        <v>3842</v>
      </c>
      <c r="C3997">
        <v>9.9</v>
      </c>
      <c r="D3997" t="str">
        <f t="shared" si="180"/>
        <v>250</v>
      </c>
      <c r="E3997" t="str">
        <f>"J8499"</f>
        <v>J8499</v>
      </c>
    </row>
    <row r="3998" spans="1:5" x14ac:dyDescent="0.25">
      <c r="A3998" t="str">
        <f>"41750852  "</f>
        <v xml:space="preserve">41750852  </v>
      </c>
      <c r="B3998" t="s">
        <v>3843</v>
      </c>
      <c r="C3998">
        <v>35.200000000000003</v>
      </c>
      <c r="D3998" t="str">
        <f t="shared" si="180"/>
        <v>250</v>
      </c>
    </row>
    <row r="3999" spans="1:5" x14ac:dyDescent="0.25">
      <c r="A3999" t="str">
        <f>"41750860  "</f>
        <v xml:space="preserve">41750860  </v>
      </c>
      <c r="B3999" t="s">
        <v>3844</v>
      </c>
      <c r="C3999">
        <v>51.7</v>
      </c>
      <c r="D3999" t="str">
        <f t="shared" si="180"/>
        <v>250</v>
      </c>
    </row>
    <row r="4000" spans="1:5" x14ac:dyDescent="0.25">
      <c r="A4000" t="str">
        <f>"41750902  "</f>
        <v xml:space="preserve">41750902  </v>
      </c>
      <c r="B4000" t="s">
        <v>3845</v>
      </c>
      <c r="C4000">
        <v>18.7</v>
      </c>
      <c r="D4000" t="str">
        <f t="shared" si="180"/>
        <v>250</v>
      </c>
      <c r="E4000" t="str">
        <f>"X5770"</f>
        <v>X5770</v>
      </c>
    </row>
    <row r="4001" spans="1:5" x14ac:dyDescent="0.25">
      <c r="A4001" t="str">
        <f>"41750902  "</f>
        <v xml:space="preserve">41750902  </v>
      </c>
      <c r="B4001" t="s">
        <v>3845</v>
      </c>
      <c r="C4001">
        <v>18.7</v>
      </c>
      <c r="D4001" t="str">
        <f t="shared" si="180"/>
        <v>250</v>
      </c>
      <c r="E4001" t="str">
        <f>"J2510"</f>
        <v>J2510</v>
      </c>
    </row>
    <row r="4002" spans="1:5" x14ac:dyDescent="0.25">
      <c r="A4002" t="str">
        <f>"41750910  "</f>
        <v xml:space="preserve">41750910  </v>
      </c>
      <c r="B4002" t="s">
        <v>3846</v>
      </c>
      <c r="C4002">
        <v>165</v>
      </c>
      <c r="D4002" t="str">
        <f t="shared" si="180"/>
        <v>250</v>
      </c>
      <c r="E4002" t="str">
        <f>"J3490"</f>
        <v>J3490</v>
      </c>
    </row>
    <row r="4003" spans="1:5" x14ac:dyDescent="0.25">
      <c r="A4003" t="str">
        <f>"41751009  "</f>
        <v xml:space="preserve">41751009  </v>
      </c>
      <c r="B4003" t="s">
        <v>3847</v>
      </c>
      <c r="C4003">
        <v>42.9</v>
      </c>
      <c r="D4003" t="str">
        <f t="shared" si="180"/>
        <v>250</v>
      </c>
    </row>
    <row r="4004" spans="1:5" x14ac:dyDescent="0.25">
      <c r="A4004" t="str">
        <f>"41751256  "</f>
        <v xml:space="preserve">41751256  </v>
      </c>
      <c r="B4004" t="s">
        <v>3848</v>
      </c>
      <c r="C4004">
        <v>13.2</v>
      </c>
      <c r="D4004" t="str">
        <f t="shared" si="180"/>
        <v>250</v>
      </c>
      <c r="E4004" t="str">
        <f>"J8499"</f>
        <v>J8499</v>
      </c>
    </row>
    <row r="4005" spans="1:5" x14ac:dyDescent="0.25">
      <c r="A4005" t="str">
        <f>"41751272  "</f>
        <v xml:space="preserve">41751272  </v>
      </c>
      <c r="B4005" t="s">
        <v>3849</v>
      </c>
      <c r="C4005">
        <v>66</v>
      </c>
      <c r="D4005" t="str">
        <f t="shared" si="180"/>
        <v>250</v>
      </c>
      <c r="E4005" t="str">
        <f>"J3490"</f>
        <v>J3490</v>
      </c>
    </row>
    <row r="4006" spans="1:5" x14ac:dyDescent="0.25">
      <c r="A4006" t="str">
        <f>"41751306  "</f>
        <v xml:space="preserve">41751306  </v>
      </c>
      <c r="B4006" t="s">
        <v>3850</v>
      </c>
      <c r="C4006">
        <v>11</v>
      </c>
      <c r="D4006" t="str">
        <f t="shared" si="180"/>
        <v>250</v>
      </c>
      <c r="E4006" t="str">
        <f>"J8499"</f>
        <v>J8499</v>
      </c>
    </row>
    <row r="4007" spans="1:5" x14ac:dyDescent="0.25">
      <c r="A4007" t="str">
        <f>"41751355  "</f>
        <v xml:space="preserve">41751355  </v>
      </c>
      <c r="B4007" t="s">
        <v>3851</v>
      </c>
      <c r="C4007">
        <v>6.6</v>
      </c>
      <c r="D4007" t="str">
        <f t="shared" si="180"/>
        <v>250</v>
      </c>
      <c r="E4007" t="str">
        <f>"J8499"</f>
        <v>J8499</v>
      </c>
    </row>
    <row r="4008" spans="1:5" x14ac:dyDescent="0.25">
      <c r="A4008" t="str">
        <f>"41751454  "</f>
        <v xml:space="preserve">41751454  </v>
      </c>
      <c r="B4008" t="s">
        <v>3852</v>
      </c>
      <c r="C4008">
        <v>6.6</v>
      </c>
      <c r="D4008" t="str">
        <f t="shared" si="180"/>
        <v>250</v>
      </c>
      <c r="E4008" t="str">
        <f>"J3490"</f>
        <v>J3490</v>
      </c>
    </row>
    <row r="4009" spans="1:5" x14ac:dyDescent="0.25">
      <c r="A4009" t="str">
        <f>"41751504  "</f>
        <v xml:space="preserve">41751504  </v>
      </c>
      <c r="B4009" t="s">
        <v>3853</v>
      </c>
      <c r="C4009">
        <v>6.6</v>
      </c>
      <c r="D4009" t="str">
        <f t="shared" si="180"/>
        <v>250</v>
      </c>
      <c r="E4009" t="str">
        <f>"J3470"</f>
        <v>J3470</v>
      </c>
    </row>
    <row r="4010" spans="1:5" x14ac:dyDescent="0.25">
      <c r="A4010" t="str">
        <f>"41751603  "</f>
        <v xml:space="preserve">41751603  </v>
      </c>
      <c r="B4010" t="s">
        <v>3854</v>
      </c>
      <c r="C4010">
        <v>6.6</v>
      </c>
      <c r="D4010" t="str">
        <f t="shared" si="180"/>
        <v>250</v>
      </c>
      <c r="E4010" t="str">
        <f>"J3470"</f>
        <v>J3470</v>
      </c>
    </row>
    <row r="4011" spans="1:5" x14ac:dyDescent="0.25">
      <c r="A4011" t="str">
        <f>"41751801  "</f>
        <v xml:space="preserve">41751801  </v>
      </c>
      <c r="B4011" t="s">
        <v>3855</v>
      </c>
      <c r="C4011">
        <v>6.6</v>
      </c>
      <c r="D4011" t="str">
        <f t="shared" si="180"/>
        <v>250</v>
      </c>
      <c r="E4011" t="str">
        <f>"J8499"</f>
        <v>J8499</v>
      </c>
    </row>
    <row r="4012" spans="1:5" x14ac:dyDescent="0.25">
      <c r="A4012" t="str">
        <f>"41751819  "</f>
        <v xml:space="preserve">41751819  </v>
      </c>
      <c r="B4012" t="s">
        <v>3856</v>
      </c>
      <c r="C4012">
        <v>7.7</v>
      </c>
      <c r="D4012" t="str">
        <f t="shared" si="180"/>
        <v>250</v>
      </c>
      <c r="E4012" t="str">
        <f>"J8499"</f>
        <v>J8499</v>
      </c>
    </row>
    <row r="4013" spans="1:5" x14ac:dyDescent="0.25">
      <c r="A4013" t="str">
        <f>"41752007  "</f>
        <v xml:space="preserve">41752007  </v>
      </c>
      <c r="B4013" t="s">
        <v>3857</v>
      </c>
      <c r="C4013">
        <v>14.3</v>
      </c>
      <c r="D4013" t="str">
        <f t="shared" si="180"/>
        <v>250</v>
      </c>
    </row>
    <row r="4014" spans="1:5" x14ac:dyDescent="0.25">
      <c r="A4014" t="str">
        <f>"41752312  "</f>
        <v xml:space="preserve">41752312  </v>
      </c>
      <c r="B4014" t="s">
        <v>3858</v>
      </c>
      <c r="C4014">
        <v>144.1</v>
      </c>
      <c r="D4014" t="str">
        <f t="shared" si="180"/>
        <v>250</v>
      </c>
      <c r="E4014" t="str">
        <f>"J3490"</f>
        <v>J3490</v>
      </c>
    </row>
    <row r="4015" spans="1:5" x14ac:dyDescent="0.25">
      <c r="A4015" t="str">
        <f>"41752346  "</f>
        <v xml:space="preserve">41752346  </v>
      </c>
      <c r="B4015" t="s">
        <v>3859</v>
      </c>
      <c r="C4015">
        <v>9.9</v>
      </c>
      <c r="D4015" t="str">
        <f t="shared" si="180"/>
        <v>250</v>
      </c>
    </row>
    <row r="4016" spans="1:5" x14ac:dyDescent="0.25">
      <c r="A4016" t="str">
        <f>"41752361  "</f>
        <v xml:space="preserve">41752361  </v>
      </c>
      <c r="B4016" t="s">
        <v>3860</v>
      </c>
      <c r="C4016">
        <v>41.8</v>
      </c>
      <c r="D4016" t="str">
        <f t="shared" si="180"/>
        <v>250</v>
      </c>
    </row>
    <row r="4017" spans="1:5" x14ac:dyDescent="0.25">
      <c r="A4017" t="str">
        <f>"41752601  "</f>
        <v xml:space="preserve">41752601  </v>
      </c>
      <c r="B4017" t="s">
        <v>3861</v>
      </c>
      <c r="C4017">
        <v>7.7</v>
      </c>
      <c r="D4017" t="str">
        <f t="shared" si="180"/>
        <v>250</v>
      </c>
    </row>
    <row r="4018" spans="1:5" x14ac:dyDescent="0.25">
      <c r="A4018" t="str">
        <f>"41752619  "</f>
        <v xml:space="preserve">41752619  </v>
      </c>
      <c r="B4018" t="s">
        <v>3862</v>
      </c>
      <c r="C4018">
        <v>209</v>
      </c>
      <c r="D4018" t="str">
        <f t="shared" si="180"/>
        <v>250</v>
      </c>
    </row>
    <row r="4019" spans="1:5" x14ac:dyDescent="0.25">
      <c r="A4019" t="str">
        <f>"41752759  "</f>
        <v xml:space="preserve">41752759  </v>
      </c>
      <c r="B4019" t="s">
        <v>3863</v>
      </c>
      <c r="C4019">
        <v>11</v>
      </c>
      <c r="D4019" t="str">
        <f t="shared" si="180"/>
        <v>250</v>
      </c>
      <c r="E4019" t="str">
        <f>"J8499"</f>
        <v>J8499</v>
      </c>
    </row>
    <row r="4020" spans="1:5" x14ac:dyDescent="0.25">
      <c r="A4020" t="str">
        <f>"41752767  "</f>
        <v xml:space="preserve">41752767  </v>
      </c>
      <c r="B4020" t="s">
        <v>3864</v>
      </c>
      <c r="C4020">
        <v>6.6</v>
      </c>
      <c r="D4020" t="str">
        <f t="shared" si="180"/>
        <v>250</v>
      </c>
      <c r="E4020" t="str">
        <f>"Q0169"</f>
        <v>Q0169</v>
      </c>
    </row>
    <row r="4021" spans="1:5" x14ac:dyDescent="0.25">
      <c r="A4021" t="str">
        <f>"41752809  "</f>
        <v xml:space="preserve">41752809  </v>
      </c>
      <c r="B4021" t="s">
        <v>3865</v>
      </c>
      <c r="C4021">
        <v>27.5</v>
      </c>
      <c r="D4021" t="str">
        <f t="shared" si="180"/>
        <v>250</v>
      </c>
      <c r="E4021" t="str">
        <f>"X6236"</f>
        <v>X6236</v>
      </c>
    </row>
    <row r="4022" spans="1:5" x14ac:dyDescent="0.25">
      <c r="A4022" t="str">
        <f>"41752809  "</f>
        <v xml:space="preserve">41752809  </v>
      </c>
      <c r="B4022" t="s">
        <v>3865</v>
      </c>
      <c r="C4022">
        <v>27.5</v>
      </c>
      <c r="D4022" t="str">
        <f t="shared" si="180"/>
        <v>250</v>
      </c>
      <c r="E4022" t="str">
        <f>"J2550"</f>
        <v>J2550</v>
      </c>
    </row>
    <row r="4023" spans="1:5" x14ac:dyDescent="0.25">
      <c r="A4023" t="str">
        <f>"41752817  "</f>
        <v xml:space="preserve">41752817  </v>
      </c>
      <c r="B4023" t="s">
        <v>3866</v>
      </c>
      <c r="C4023">
        <v>55</v>
      </c>
      <c r="D4023" t="str">
        <f t="shared" ref="D4023:D4052" si="181">"250"</f>
        <v>250</v>
      </c>
      <c r="E4023" t="str">
        <f>"J2550"</f>
        <v>J2550</v>
      </c>
    </row>
    <row r="4024" spans="1:5" x14ac:dyDescent="0.25">
      <c r="A4024" t="str">
        <f>"41752825  "</f>
        <v xml:space="preserve">41752825  </v>
      </c>
      <c r="B4024" t="s">
        <v>3867</v>
      </c>
      <c r="C4024">
        <v>6.6</v>
      </c>
      <c r="D4024" t="str">
        <f t="shared" si="181"/>
        <v>250</v>
      </c>
      <c r="E4024" t="str">
        <f>"J8499"</f>
        <v>J8499</v>
      </c>
    </row>
    <row r="4025" spans="1:5" x14ac:dyDescent="0.25">
      <c r="A4025" t="str">
        <f>"41752833  "</f>
        <v xml:space="preserve">41752833  </v>
      </c>
      <c r="B4025" t="s">
        <v>3868</v>
      </c>
      <c r="C4025">
        <v>33</v>
      </c>
      <c r="D4025" t="str">
        <f t="shared" si="181"/>
        <v>250</v>
      </c>
      <c r="E4025" t="str">
        <f>"X6236"</f>
        <v>X6236</v>
      </c>
    </row>
    <row r="4026" spans="1:5" x14ac:dyDescent="0.25">
      <c r="A4026" t="str">
        <f>"41752833  "</f>
        <v xml:space="preserve">41752833  </v>
      </c>
      <c r="B4026" t="s">
        <v>3868</v>
      </c>
      <c r="C4026">
        <v>33</v>
      </c>
      <c r="D4026" t="str">
        <f t="shared" si="181"/>
        <v>250</v>
      </c>
      <c r="E4026" t="str">
        <f>"J2550"</f>
        <v>J2550</v>
      </c>
    </row>
    <row r="4027" spans="1:5" x14ac:dyDescent="0.25">
      <c r="A4027" t="str">
        <f>"41752908  "</f>
        <v xml:space="preserve">41752908  </v>
      </c>
      <c r="B4027" t="s">
        <v>3869</v>
      </c>
      <c r="C4027">
        <v>176</v>
      </c>
      <c r="D4027" t="str">
        <f t="shared" si="181"/>
        <v>250</v>
      </c>
      <c r="E4027" t="str">
        <f>"X6506"</f>
        <v>X6506</v>
      </c>
    </row>
    <row r="4028" spans="1:5" x14ac:dyDescent="0.25">
      <c r="A4028" t="str">
        <f>"41752908  "</f>
        <v xml:space="preserve">41752908  </v>
      </c>
      <c r="B4028" t="s">
        <v>3869</v>
      </c>
      <c r="C4028">
        <v>176</v>
      </c>
      <c r="D4028" t="str">
        <f t="shared" si="181"/>
        <v>250</v>
      </c>
      <c r="E4028" t="str">
        <f>"J2560"</f>
        <v>J2560</v>
      </c>
    </row>
    <row r="4029" spans="1:5" x14ac:dyDescent="0.25">
      <c r="A4029" t="str">
        <f>"41752957  "</f>
        <v xml:space="preserve">41752957  </v>
      </c>
      <c r="B4029" t="s">
        <v>3870</v>
      </c>
      <c r="C4029">
        <v>6.6</v>
      </c>
      <c r="D4029" t="str">
        <f t="shared" si="181"/>
        <v>250</v>
      </c>
      <c r="E4029" t="str">
        <f>"J8499"</f>
        <v>J8499</v>
      </c>
    </row>
    <row r="4030" spans="1:5" x14ac:dyDescent="0.25">
      <c r="A4030" t="str">
        <f>"41753005  "</f>
        <v xml:space="preserve">41753005  </v>
      </c>
      <c r="B4030" t="s">
        <v>3871</v>
      </c>
      <c r="C4030">
        <v>6.6</v>
      </c>
      <c r="D4030" t="str">
        <f t="shared" si="181"/>
        <v>250</v>
      </c>
      <c r="E4030" t="str">
        <f>"J8499"</f>
        <v>J8499</v>
      </c>
    </row>
    <row r="4031" spans="1:5" x14ac:dyDescent="0.25">
      <c r="A4031" t="str">
        <f>"41753088  "</f>
        <v xml:space="preserve">41753088  </v>
      </c>
      <c r="B4031" t="s">
        <v>3872</v>
      </c>
      <c r="C4031">
        <v>50.16</v>
      </c>
      <c r="D4031" t="str">
        <f t="shared" si="181"/>
        <v>250</v>
      </c>
      <c r="E4031" t="str">
        <f>"J3490"</f>
        <v>J3490</v>
      </c>
    </row>
    <row r="4032" spans="1:5" x14ac:dyDescent="0.25">
      <c r="A4032" t="str">
        <f>"41753302  "</f>
        <v xml:space="preserve">41753302  </v>
      </c>
      <c r="B4032" t="s">
        <v>3873</v>
      </c>
      <c r="C4032">
        <v>660</v>
      </c>
      <c r="D4032" t="str">
        <f t="shared" si="181"/>
        <v>250</v>
      </c>
      <c r="E4032" t="str">
        <f>"J3490"</f>
        <v>J3490</v>
      </c>
    </row>
    <row r="4033" spans="1:5" x14ac:dyDescent="0.25">
      <c r="A4033" t="str">
        <f>"41753310  "</f>
        <v xml:space="preserve">41753310  </v>
      </c>
      <c r="B4033" t="s">
        <v>3874</v>
      </c>
      <c r="C4033">
        <v>646.79999999999995</v>
      </c>
      <c r="D4033" t="str">
        <f t="shared" si="181"/>
        <v>250</v>
      </c>
    </row>
    <row r="4034" spans="1:5" x14ac:dyDescent="0.25">
      <c r="A4034" t="str">
        <f>"41753419  "</f>
        <v xml:space="preserve">41753419  </v>
      </c>
      <c r="B4034" t="s">
        <v>3875</v>
      </c>
      <c r="C4034">
        <v>671</v>
      </c>
      <c r="D4034" t="str">
        <f t="shared" si="181"/>
        <v>250</v>
      </c>
      <c r="E4034" t="str">
        <f>"J3490"</f>
        <v>J3490</v>
      </c>
    </row>
    <row r="4035" spans="1:5" x14ac:dyDescent="0.25">
      <c r="A4035" t="str">
        <f>"41753609  "</f>
        <v xml:space="preserve">41753609  </v>
      </c>
      <c r="B4035" t="s">
        <v>3876</v>
      </c>
      <c r="C4035">
        <v>49.5</v>
      </c>
      <c r="D4035" t="str">
        <f t="shared" si="181"/>
        <v>250</v>
      </c>
      <c r="E4035" t="str">
        <f>"X6666"</f>
        <v>X6666</v>
      </c>
    </row>
    <row r="4036" spans="1:5" x14ac:dyDescent="0.25">
      <c r="A4036" t="str">
        <f>"41753609  "</f>
        <v xml:space="preserve">41753609  </v>
      </c>
      <c r="B4036" t="s">
        <v>3876</v>
      </c>
      <c r="C4036">
        <v>49.5</v>
      </c>
      <c r="D4036" t="str">
        <f t="shared" si="181"/>
        <v>250</v>
      </c>
      <c r="E4036" t="str">
        <f>"J2590"</f>
        <v>J2590</v>
      </c>
    </row>
    <row r="4037" spans="1:5" x14ac:dyDescent="0.25">
      <c r="A4037" t="str">
        <f>"41753625  "</f>
        <v xml:space="preserve">41753625  </v>
      </c>
      <c r="B4037" t="s">
        <v>3877</v>
      </c>
      <c r="C4037">
        <v>8.8000000000000007</v>
      </c>
      <c r="D4037" t="str">
        <f t="shared" si="181"/>
        <v>250</v>
      </c>
      <c r="E4037" t="str">
        <f>"J8499"</f>
        <v>J8499</v>
      </c>
    </row>
    <row r="4038" spans="1:5" x14ac:dyDescent="0.25">
      <c r="A4038" t="str">
        <f>"41753708  "</f>
        <v xml:space="preserve">41753708  </v>
      </c>
      <c r="B4038" t="s">
        <v>3878</v>
      </c>
      <c r="C4038">
        <v>22</v>
      </c>
      <c r="D4038" t="str">
        <f t="shared" si="181"/>
        <v>250</v>
      </c>
      <c r="E4038" t="str">
        <f>"J3490"</f>
        <v>J3490</v>
      </c>
    </row>
    <row r="4039" spans="1:5" x14ac:dyDescent="0.25">
      <c r="A4039" t="str">
        <f>"41753856  "</f>
        <v xml:space="preserve">41753856  </v>
      </c>
      <c r="B4039" t="s">
        <v>3879</v>
      </c>
      <c r="C4039">
        <v>28.6</v>
      </c>
      <c r="D4039" t="str">
        <f t="shared" si="181"/>
        <v>250</v>
      </c>
      <c r="E4039" t="str">
        <f>"J3490"</f>
        <v>J3490</v>
      </c>
    </row>
    <row r="4040" spans="1:5" x14ac:dyDescent="0.25">
      <c r="A4040" t="str">
        <f>"41753864  "</f>
        <v xml:space="preserve">41753864  </v>
      </c>
      <c r="B4040" t="s">
        <v>3880</v>
      </c>
      <c r="C4040">
        <v>602.79999999999995</v>
      </c>
      <c r="D4040" t="str">
        <f t="shared" si="181"/>
        <v>250</v>
      </c>
      <c r="E4040" t="str">
        <f>"J3490"</f>
        <v>J3490</v>
      </c>
    </row>
    <row r="4041" spans="1:5" x14ac:dyDescent="0.25">
      <c r="A4041" t="str">
        <f>"41753872  "</f>
        <v xml:space="preserve">41753872  </v>
      </c>
      <c r="B4041" t="s">
        <v>3881</v>
      </c>
      <c r="C4041">
        <v>642.4</v>
      </c>
      <c r="D4041" t="str">
        <f t="shared" si="181"/>
        <v>250</v>
      </c>
      <c r="E4041" t="str">
        <f>"J3490"</f>
        <v>J3490</v>
      </c>
    </row>
    <row r="4042" spans="1:5" x14ac:dyDescent="0.25">
      <c r="A4042" t="str">
        <f>"41753955  "</f>
        <v xml:space="preserve">41753955  </v>
      </c>
      <c r="B4042" t="s">
        <v>3882</v>
      </c>
      <c r="C4042">
        <v>9.9</v>
      </c>
      <c r="D4042" t="str">
        <f t="shared" si="181"/>
        <v>250</v>
      </c>
      <c r="E4042" t="str">
        <f>"J8499"</f>
        <v>J8499</v>
      </c>
    </row>
    <row r="4043" spans="1:5" x14ac:dyDescent="0.25">
      <c r="A4043" t="str">
        <f>"41754508  "</f>
        <v xml:space="preserve">41754508  </v>
      </c>
      <c r="B4043" t="s">
        <v>3883</v>
      </c>
      <c r="C4043">
        <v>39.6</v>
      </c>
      <c r="D4043" t="str">
        <f t="shared" si="181"/>
        <v>250</v>
      </c>
      <c r="E4043" t="str">
        <f>"J3490"</f>
        <v>J3490</v>
      </c>
    </row>
    <row r="4044" spans="1:5" x14ac:dyDescent="0.25">
      <c r="A4044" t="str">
        <f>"41754524  "</f>
        <v xml:space="preserve">41754524  </v>
      </c>
      <c r="B4044" t="s">
        <v>3884</v>
      </c>
      <c r="C4044">
        <v>28.29</v>
      </c>
      <c r="D4044" t="str">
        <f t="shared" si="181"/>
        <v>250</v>
      </c>
      <c r="E4044" t="str">
        <f>"J3490"</f>
        <v>J3490</v>
      </c>
    </row>
    <row r="4045" spans="1:5" x14ac:dyDescent="0.25">
      <c r="A4045" t="str">
        <f>"41754557  "</f>
        <v xml:space="preserve">41754557  </v>
      </c>
      <c r="B4045" t="s">
        <v>3885</v>
      </c>
      <c r="C4045">
        <v>57.2</v>
      </c>
      <c r="D4045" t="str">
        <f t="shared" si="181"/>
        <v>250</v>
      </c>
      <c r="E4045" t="str">
        <f>"J3490"</f>
        <v>J3490</v>
      </c>
    </row>
    <row r="4046" spans="1:5" x14ac:dyDescent="0.25">
      <c r="A4046" t="str">
        <f>"41754565  "</f>
        <v xml:space="preserve">41754565  </v>
      </c>
      <c r="B4046" t="s">
        <v>3886</v>
      </c>
      <c r="C4046">
        <v>49.5</v>
      </c>
      <c r="D4046" t="str">
        <f t="shared" si="181"/>
        <v>250</v>
      </c>
      <c r="E4046" t="str">
        <f>"J3490"</f>
        <v>J3490</v>
      </c>
    </row>
    <row r="4047" spans="1:5" x14ac:dyDescent="0.25">
      <c r="A4047" t="str">
        <f>"41754607  "</f>
        <v xml:space="preserve">41754607  </v>
      </c>
      <c r="B4047" t="s">
        <v>3887</v>
      </c>
      <c r="C4047">
        <v>24.2</v>
      </c>
      <c r="D4047" t="str">
        <f t="shared" si="181"/>
        <v>250</v>
      </c>
      <c r="E4047" t="str">
        <f>"J8499"</f>
        <v>J8499</v>
      </c>
    </row>
    <row r="4048" spans="1:5" x14ac:dyDescent="0.25">
      <c r="A4048" t="str">
        <f>"41754623  "</f>
        <v xml:space="preserve">41754623  </v>
      </c>
      <c r="B4048" t="s">
        <v>3888</v>
      </c>
      <c r="C4048">
        <v>12.1</v>
      </c>
      <c r="D4048" t="str">
        <f t="shared" si="181"/>
        <v>250</v>
      </c>
      <c r="E4048" t="str">
        <f>"J8499"</f>
        <v>J8499</v>
      </c>
    </row>
    <row r="4049" spans="1:5" x14ac:dyDescent="0.25">
      <c r="A4049" t="str">
        <f>"41754706  "</f>
        <v xml:space="preserve">41754706  </v>
      </c>
      <c r="B4049" t="s">
        <v>3564</v>
      </c>
      <c r="C4049">
        <v>176</v>
      </c>
      <c r="D4049" t="str">
        <f t="shared" si="181"/>
        <v>250</v>
      </c>
      <c r="E4049" t="str">
        <f>"J3490"</f>
        <v>J3490</v>
      </c>
    </row>
    <row r="4050" spans="1:5" x14ac:dyDescent="0.25">
      <c r="A4050" t="str">
        <f>"41754805  "</f>
        <v xml:space="preserve">41754805  </v>
      </c>
      <c r="B4050" t="s">
        <v>3889</v>
      </c>
      <c r="C4050">
        <v>53.9</v>
      </c>
      <c r="D4050" t="str">
        <f t="shared" si="181"/>
        <v>250</v>
      </c>
      <c r="E4050" t="str">
        <f>"J3490"</f>
        <v>J3490</v>
      </c>
    </row>
    <row r="4051" spans="1:5" x14ac:dyDescent="0.25">
      <c r="A4051" t="str">
        <f>"41754813  "</f>
        <v xml:space="preserve">41754813  </v>
      </c>
      <c r="B4051" t="s">
        <v>3890</v>
      </c>
      <c r="C4051">
        <v>39.6</v>
      </c>
      <c r="D4051" t="str">
        <f t="shared" si="181"/>
        <v>250</v>
      </c>
      <c r="E4051" t="str">
        <f>"J8499"</f>
        <v>J8499</v>
      </c>
    </row>
    <row r="4052" spans="1:5" x14ac:dyDescent="0.25">
      <c r="A4052" t="str">
        <f>"41754953  "</f>
        <v xml:space="preserve">41754953  </v>
      </c>
      <c r="B4052" t="s">
        <v>3891</v>
      </c>
      <c r="C4052">
        <v>6.6</v>
      </c>
      <c r="D4052" t="str">
        <f t="shared" si="181"/>
        <v>250</v>
      </c>
      <c r="E4052" t="str">
        <f>"J7512"</f>
        <v>J7512</v>
      </c>
    </row>
    <row r="4053" spans="1:5" x14ac:dyDescent="0.25">
      <c r="A4053" t="str">
        <f>"41755007"</f>
        <v>41755007</v>
      </c>
      <c r="B4053" t="s">
        <v>3892</v>
      </c>
      <c r="C4053">
        <v>927.08</v>
      </c>
      <c r="D4053" t="str">
        <f>"257"</f>
        <v>257</v>
      </c>
    </row>
    <row r="4054" spans="1:5" x14ac:dyDescent="0.25">
      <c r="A4054" t="str">
        <f>"41755024"</f>
        <v>41755024</v>
      </c>
      <c r="B4054" t="s">
        <v>3893</v>
      </c>
      <c r="C4054">
        <v>11</v>
      </c>
      <c r="D4054" t="str">
        <f>"250"</f>
        <v>250</v>
      </c>
      <c r="E4054" t="str">
        <f>"J1815"</f>
        <v>J1815</v>
      </c>
    </row>
    <row r="4055" spans="1:5" x14ac:dyDescent="0.25">
      <c r="A4055" t="str">
        <f>"41755059  "</f>
        <v xml:space="preserve">41755059  </v>
      </c>
      <c r="B4055" t="s">
        <v>3894</v>
      </c>
      <c r="C4055">
        <v>45.1</v>
      </c>
      <c r="D4055" t="str">
        <f>"250"</f>
        <v>250</v>
      </c>
      <c r="E4055" t="str">
        <f>"J8499"</f>
        <v>J8499</v>
      </c>
    </row>
    <row r="4056" spans="1:5" x14ac:dyDescent="0.25">
      <c r="A4056" t="str">
        <f>"41755109  "</f>
        <v xml:space="preserve">41755109  </v>
      </c>
      <c r="B4056" t="s">
        <v>3895</v>
      </c>
      <c r="C4056">
        <v>7.7</v>
      </c>
      <c r="D4056" t="str">
        <f>"250"</f>
        <v>250</v>
      </c>
      <c r="E4056" t="str">
        <f>"J7512"</f>
        <v>J7512</v>
      </c>
    </row>
    <row r="4057" spans="1:5" x14ac:dyDescent="0.25">
      <c r="A4057" t="str">
        <f>"41755133  "</f>
        <v xml:space="preserve">41755133  </v>
      </c>
      <c r="B4057" t="s">
        <v>3896</v>
      </c>
      <c r="C4057">
        <v>34.1</v>
      </c>
      <c r="D4057" t="str">
        <f>"250"</f>
        <v>250</v>
      </c>
      <c r="E4057" t="str">
        <f>"J0743"</f>
        <v>J0743</v>
      </c>
    </row>
    <row r="4058" spans="1:5" x14ac:dyDescent="0.25">
      <c r="A4058" t="str">
        <f>"41755158  "</f>
        <v xml:space="preserve">41755158  </v>
      </c>
      <c r="B4058" t="s">
        <v>3897</v>
      </c>
      <c r="C4058" s="1">
        <v>1739.1</v>
      </c>
      <c r="D4058" t="str">
        <f>"250"</f>
        <v>250</v>
      </c>
      <c r="E4058" t="str">
        <f>"J3490"</f>
        <v>J3490</v>
      </c>
    </row>
    <row r="4059" spans="1:5" x14ac:dyDescent="0.25">
      <c r="A4059" t="str">
        <f>"41755174  "</f>
        <v xml:space="preserve">41755174  </v>
      </c>
      <c r="B4059" t="s">
        <v>3898</v>
      </c>
      <c r="C4059">
        <v>53.9</v>
      </c>
      <c r="D4059" t="str">
        <f>"257"</f>
        <v>257</v>
      </c>
      <c r="E4059" t="str">
        <f>"J3490"</f>
        <v>J3490</v>
      </c>
    </row>
    <row r="4060" spans="1:5" x14ac:dyDescent="0.25">
      <c r="A4060" t="str">
        <f>"41755182  "</f>
        <v xml:space="preserve">41755182  </v>
      </c>
      <c r="B4060" t="s">
        <v>3899</v>
      </c>
      <c r="C4060">
        <v>114.4</v>
      </c>
      <c r="D4060" t="str">
        <f t="shared" ref="D4060:D4091" si="182">"250"</f>
        <v>250</v>
      </c>
      <c r="E4060" t="str">
        <f>"J0743"</f>
        <v>J0743</v>
      </c>
    </row>
    <row r="4061" spans="1:5" x14ac:dyDescent="0.25">
      <c r="A4061" t="str">
        <f>"41755257  "</f>
        <v xml:space="preserve">41755257  </v>
      </c>
      <c r="B4061" t="s">
        <v>3900</v>
      </c>
      <c r="C4061">
        <v>4.4000000000000004</v>
      </c>
      <c r="D4061" t="str">
        <f t="shared" si="182"/>
        <v>250</v>
      </c>
      <c r="E4061" t="str">
        <f>"X5972"</f>
        <v>X5972</v>
      </c>
    </row>
    <row r="4062" spans="1:5" x14ac:dyDescent="0.25">
      <c r="A4062" t="str">
        <f>"41755257  "</f>
        <v xml:space="preserve">41755257  </v>
      </c>
      <c r="B4062" t="s">
        <v>3900</v>
      </c>
      <c r="C4062">
        <v>4.4000000000000004</v>
      </c>
      <c r="D4062" t="str">
        <f t="shared" si="182"/>
        <v>250</v>
      </c>
      <c r="E4062" t="str">
        <f t="shared" ref="E4062:E4067" si="183">"J8499"</f>
        <v>J8499</v>
      </c>
    </row>
    <row r="4063" spans="1:5" x14ac:dyDescent="0.25">
      <c r="A4063" t="str">
        <f>"41755307  "</f>
        <v xml:space="preserve">41755307  </v>
      </c>
      <c r="B4063" t="s">
        <v>3901</v>
      </c>
      <c r="C4063">
        <v>45.1</v>
      </c>
      <c r="D4063" t="str">
        <f t="shared" si="182"/>
        <v>250</v>
      </c>
      <c r="E4063" t="str">
        <f t="shared" si="183"/>
        <v>J8499</v>
      </c>
    </row>
    <row r="4064" spans="1:5" x14ac:dyDescent="0.25">
      <c r="A4064" t="str">
        <f>"41755604  "</f>
        <v xml:space="preserve">41755604  </v>
      </c>
      <c r="B4064" t="s">
        <v>3902</v>
      </c>
      <c r="C4064">
        <v>6.6</v>
      </c>
      <c r="D4064" t="str">
        <f t="shared" si="182"/>
        <v>250</v>
      </c>
      <c r="E4064" t="str">
        <f t="shared" si="183"/>
        <v>J8499</v>
      </c>
    </row>
    <row r="4065" spans="1:5" x14ac:dyDescent="0.25">
      <c r="A4065" t="str">
        <f>"41755752  "</f>
        <v xml:space="preserve">41755752  </v>
      </c>
      <c r="B4065" t="s">
        <v>3903</v>
      </c>
      <c r="C4065">
        <v>6.6</v>
      </c>
      <c r="D4065" t="str">
        <f t="shared" si="182"/>
        <v>250</v>
      </c>
      <c r="E4065" t="str">
        <f t="shared" si="183"/>
        <v>J8499</v>
      </c>
    </row>
    <row r="4066" spans="1:5" x14ac:dyDescent="0.25">
      <c r="A4066" t="str">
        <f>"41755760  "</f>
        <v xml:space="preserve">41755760  </v>
      </c>
      <c r="B4066" t="s">
        <v>3904</v>
      </c>
      <c r="C4066">
        <v>8.8000000000000007</v>
      </c>
      <c r="D4066" t="str">
        <f t="shared" si="182"/>
        <v>250</v>
      </c>
      <c r="E4066" t="str">
        <f t="shared" si="183"/>
        <v>J8499</v>
      </c>
    </row>
    <row r="4067" spans="1:5" x14ac:dyDescent="0.25">
      <c r="A4067" t="str">
        <f>"41755802  "</f>
        <v xml:space="preserve">41755802  </v>
      </c>
      <c r="B4067" t="s">
        <v>3905</v>
      </c>
      <c r="C4067">
        <v>6.6</v>
      </c>
      <c r="D4067" t="str">
        <f t="shared" si="182"/>
        <v>250</v>
      </c>
      <c r="E4067" t="str">
        <f t="shared" si="183"/>
        <v>J8499</v>
      </c>
    </row>
    <row r="4068" spans="1:5" x14ac:dyDescent="0.25">
      <c r="A4068" t="str">
        <f>"41755805"</f>
        <v>41755805</v>
      </c>
      <c r="B4068" t="s">
        <v>3906</v>
      </c>
      <c r="C4068">
        <v>143</v>
      </c>
      <c r="D4068" t="str">
        <f t="shared" si="182"/>
        <v>250</v>
      </c>
      <c r="E4068" t="str">
        <f>"J2543"</f>
        <v>J2543</v>
      </c>
    </row>
    <row r="4069" spans="1:5" x14ac:dyDescent="0.25">
      <c r="A4069" t="str">
        <f>"41755844  "</f>
        <v xml:space="preserve">41755844  </v>
      </c>
      <c r="B4069" t="s">
        <v>3907</v>
      </c>
      <c r="C4069">
        <v>27.5</v>
      </c>
      <c r="D4069" t="str">
        <f t="shared" si="182"/>
        <v>250</v>
      </c>
      <c r="E4069" t="str">
        <f>"J8499"</f>
        <v>J8499</v>
      </c>
    </row>
    <row r="4070" spans="1:5" x14ac:dyDescent="0.25">
      <c r="A4070" t="str">
        <f>"41755851  "</f>
        <v xml:space="preserve">41755851  </v>
      </c>
      <c r="B4070" t="s">
        <v>3908</v>
      </c>
      <c r="C4070">
        <v>6.6</v>
      </c>
      <c r="D4070" t="str">
        <f t="shared" si="182"/>
        <v>250</v>
      </c>
      <c r="E4070" t="str">
        <f>"J3490"</f>
        <v>J3490</v>
      </c>
    </row>
    <row r="4071" spans="1:5" x14ac:dyDescent="0.25">
      <c r="A4071" t="str">
        <f>"41755968  "</f>
        <v xml:space="preserve">41755968  </v>
      </c>
      <c r="B4071" t="s">
        <v>3909</v>
      </c>
      <c r="C4071">
        <v>11</v>
      </c>
      <c r="D4071" t="str">
        <f t="shared" si="182"/>
        <v>250</v>
      </c>
      <c r="E4071" t="str">
        <f>"J7512"</f>
        <v>J7512</v>
      </c>
    </row>
    <row r="4072" spans="1:5" x14ac:dyDescent="0.25">
      <c r="A4072" t="str">
        <f>"41756024  "</f>
        <v xml:space="preserve">41756024  </v>
      </c>
      <c r="B4072" t="s">
        <v>3910</v>
      </c>
      <c r="C4072">
        <v>548.9</v>
      </c>
      <c r="D4072" t="str">
        <f t="shared" si="182"/>
        <v>250</v>
      </c>
      <c r="E4072" t="str">
        <f>"J3535"</f>
        <v>J3535</v>
      </c>
    </row>
    <row r="4073" spans="1:5" x14ac:dyDescent="0.25">
      <c r="A4073" t="str">
        <f>"41756206  "</f>
        <v xml:space="preserve">41756206  </v>
      </c>
      <c r="B4073" t="s">
        <v>3911</v>
      </c>
      <c r="C4073">
        <v>29.7</v>
      </c>
      <c r="D4073" t="str">
        <f t="shared" si="182"/>
        <v>250</v>
      </c>
      <c r="E4073" t="str">
        <f>"J8499"</f>
        <v>J8499</v>
      </c>
    </row>
    <row r="4074" spans="1:5" x14ac:dyDescent="0.25">
      <c r="A4074" t="str">
        <f>"41756214  "</f>
        <v xml:space="preserve">41756214  </v>
      </c>
      <c r="B4074" t="s">
        <v>3912</v>
      </c>
      <c r="C4074">
        <v>20.329999999999998</v>
      </c>
      <c r="D4074" t="str">
        <f t="shared" si="182"/>
        <v>250</v>
      </c>
      <c r="E4074" t="str">
        <f>"J8499"</f>
        <v>J8499</v>
      </c>
    </row>
    <row r="4075" spans="1:5" x14ac:dyDescent="0.25">
      <c r="A4075" t="str">
        <f>"41756222  "</f>
        <v xml:space="preserve">41756222  </v>
      </c>
      <c r="B4075" t="s">
        <v>3913</v>
      </c>
      <c r="C4075">
        <v>77</v>
      </c>
      <c r="D4075" t="str">
        <f t="shared" si="182"/>
        <v>250</v>
      </c>
    </row>
    <row r="4076" spans="1:5" x14ac:dyDescent="0.25">
      <c r="A4076" t="str">
        <f>"41756230  "</f>
        <v xml:space="preserve">41756230  </v>
      </c>
      <c r="B4076" t="s">
        <v>3914</v>
      </c>
      <c r="C4076">
        <v>35.200000000000003</v>
      </c>
      <c r="D4076" t="str">
        <f t="shared" si="182"/>
        <v>250</v>
      </c>
      <c r="E4076" t="str">
        <f>"J8499"</f>
        <v>J8499</v>
      </c>
    </row>
    <row r="4077" spans="1:5" x14ac:dyDescent="0.25">
      <c r="A4077" t="str">
        <f>"41756297  "</f>
        <v xml:space="preserve">41756297  </v>
      </c>
      <c r="B4077" t="s">
        <v>3915</v>
      </c>
      <c r="C4077" s="1">
        <v>2105.4</v>
      </c>
      <c r="D4077" t="str">
        <f t="shared" si="182"/>
        <v>250</v>
      </c>
      <c r="E4077" t="str">
        <f>"J3490"</f>
        <v>J3490</v>
      </c>
    </row>
    <row r="4078" spans="1:5" x14ac:dyDescent="0.25">
      <c r="A4078" t="str">
        <f>"41756313  "</f>
        <v xml:space="preserve">41756313  </v>
      </c>
      <c r="B4078" t="s">
        <v>3916</v>
      </c>
      <c r="C4078">
        <v>26.4</v>
      </c>
      <c r="D4078" t="str">
        <f t="shared" si="182"/>
        <v>250</v>
      </c>
    </row>
    <row r="4079" spans="1:5" x14ac:dyDescent="0.25">
      <c r="A4079" t="str">
        <f>"41756321  "</f>
        <v xml:space="preserve">41756321  </v>
      </c>
      <c r="B4079" t="s">
        <v>3917</v>
      </c>
      <c r="C4079">
        <v>106.7</v>
      </c>
      <c r="D4079" t="str">
        <f t="shared" si="182"/>
        <v>250</v>
      </c>
      <c r="E4079" t="str">
        <f>"J3490"</f>
        <v>J3490</v>
      </c>
    </row>
    <row r="4080" spans="1:5" x14ac:dyDescent="0.25">
      <c r="A4080" t="str">
        <f>"41756354  "</f>
        <v xml:space="preserve">41756354  </v>
      </c>
      <c r="B4080" t="s">
        <v>3918</v>
      </c>
      <c r="C4080">
        <v>6.6</v>
      </c>
      <c r="D4080" t="str">
        <f t="shared" si="182"/>
        <v>250</v>
      </c>
      <c r="E4080" t="str">
        <f>"J8499"</f>
        <v>J8499</v>
      </c>
    </row>
    <row r="4081" spans="1:5" x14ac:dyDescent="0.25">
      <c r="A4081" t="str">
        <f>"41756537  "</f>
        <v xml:space="preserve">41756537  </v>
      </c>
      <c r="B4081" t="s">
        <v>3919</v>
      </c>
      <c r="C4081">
        <v>15.73</v>
      </c>
      <c r="D4081" t="str">
        <f t="shared" si="182"/>
        <v>250</v>
      </c>
      <c r="E4081" t="str">
        <f>"J8499"</f>
        <v>J8499</v>
      </c>
    </row>
    <row r="4082" spans="1:5" x14ac:dyDescent="0.25">
      <c r="A4082" t="str">
        <f>"41756545  "</f>
        <v xml:space="preserve">41756545  </v>
      </c>
      <c r="B4082" t="s">
        <v>3920</v>
      </c>
      <c r="C4082">
        <v>24.2</v>
      </c>
      <c r="D4082" t="str">
        <f t="shared" si="182"/>
        <v>250</v>
      </c>
      <c r="E4082" t="str">
        <f>"J8499"</f>
        <v>J8499</v>
      </c>
    </row>
    <row r="4083" spans="1:5" x14ac:dyDescent="0.25">
      <c r="A4083" t="str">
        <f>"41756552  "</f>
        <v xml:space="preserve">41756552  </v>
      </c>
      <c r="B4083" t="s">
        <v>3921</v>
      </c>
      <c r="C4083">
        <v>6.6</v>
      </c>
      <c r="D4083" t="str">
        <f t="shared" si="182"/>
        <v>250</v>
      </c>
      <c r="E4083" t="str">
        <f>"J8499"</f>
        <v>J8499</v>
      </c>
    </row>
    <row r="4084" spans="1:5" x14ac:dyDescent="0.25">
      <c r="A4084" t="str">
        <f>"41756560  "</f>
        <v xml:space="preserve">41756560  </v>
      </c>
      <c r="B4084" t="s">
        <v>3922</v>
      </c>
      <c r="C4084">
        <v>165</v>
      </c>
      <c r="D4084" t="str">
        <f t="shared" si="182"/>
        <v>250</v>
      </c>
    </row>
    <row r="4085" spans="1:5" x14ac:dyDescent="0.25">
      <c r="A4085" t="str">
        <f>"41756834  "</f>
        <v xml:space="preserve">41756834  </v>
      </c>
      <c r="B4085" t="s">
        <v>3923</v>
      </c>
      <c r="C4085">
        <v>8.8000000000000007</v>
      </c>
      <c r="D4085" t="str">
        <f t="shared" si="182"/>
        <v>250</v>
      </c>
      <c r="E4085" t="str">
        <f>"J8499"</f>
        <v>J8499</v>
      </c>
    </row>
    <row r="4086" spans="1:5" x14ac:dyDescent="0.25">
      <c r="A4086" t="str">
        <f>"41756909  "</f>
        <v xml:space="preserve">41756909  </v>
      </c>
      <c r="B4086" t="s">
        <v>3924</v>
      </c>
      <c r="C4086">
        <v>158.4</v>
      </c>
      <c r="D4086" t="str">
        <f t="shared" si="182"/>
        <v>250</v>
      </c>
      <c r="E4086" t="str">
        <f>"X6634"</f>
        <v>X6634</v>
      </c>
    </row>
    <row r="4087" spans="1:5" x14ac:dyDescent="0.25">
      <c r="A4087" t="str">
        <f>"41756909  "</f>
        <v xml:space="preserve">41756909  </v>
      </c>
      <c r="B4087" t="s">
        <v>3924</v>
      </c>
      <c r="C4087">
        <v>158.4</v>
      </c>
      <c r="D4087" t="str">
        <f t="shared" si="182"/>
        <v>250</v>
      </c>
      <c r="E4087" t="str">
        <f>"J2710"</f>
        <v>J2710</v>
      </c>
    </row>
    <row r="4088" spans="1:5" x14ac:dyDescent="0.25">
      <c r="A4088" t="str">
        <f>"41756958  "</f>
        <v xml:space="preserve">41756958  </v>
      </c>
      <c r="B4088" t="s">
        <v>3925</v>
      </c>
      <c r="C4088">
        <v>49.5</v>
      </c>
      <c r="D4088" t="str">
        <f t="shared" si="182"/>
        <v>250</v>
      </c>
      <c r="E4088" t="str">
        <f>"J2720"</f>
        <v>J2720</v>
      </c>
    </row>
    <row r="4089" spans="1:5" x14ac:dyDescent="0.25">
      <c r="A4089" t="str">
        <f>"41757105  "</f>
        <v xml:space="preserve">41757105  </v>
      </c>
      <c r="B4089" t="s">
        <v>3926</v>
      </c>
      <c r="C4089">
        <v>185.9</v>
      </c>
      <c r="D4089" t="str">
        <f t="shared" si="182"/>
        <v>250</v>
      </c>
      <c r="E4089" t="str">
        <f>"J3535"</f>
        <v>J3535</v>
      </c>
    </row>
    <row r="4090" spans="1:5" x14ac:dyDescent="0.25">
      <c r="A4090" t="str">
        <f>"41757121  "</f>
        <v xml:space="preserve">41757121  </v>
      </c>
      <c r="B4090" t="s">
        <v>3927</v>
      </c>
      <c r="C4090">
        <v>11</v>
      </c>
      <c r="D4090" t="str">
        <f t="shared" si="182"/>
        <v>250</v>
      </c>
      <c r="E4090" t="str">
        <f>"J8499"</f>
        <v>J8499</v>
      </c>
    </row>
    <row r="4091" spans="1:5" x14ac:dyDescent="0.25">
      <c r="A4091" t="str">
        <f>"41757154  "</f>
        <v xml:space="preserve">41757154  </v>
      </c>
      <c r="B4091" t="s">
        <v>3928</v>
      </c>
      <c r="C4091">
        <v>39.6</v>
      </c>
      <c r="D4091" t="str">
        <f t="shared" si="182"/>
        <v>250</v>
      </c>
      <c r="E4091" t="str">
        <f>"J8499"</f>
        <v>J8499</v>
      </c>
    </row>
    <row r="4092" spans="1:5" x14ac:dyDescent="0.25">
      <c r="A4092" t="str">
        <f>"41757170  "</f>
        <v xml:space="preserve">41757170  </v>
      </c>
      <c r="B4092" t="s">
        <v>3929</v>
      </c>
      <c r="C4092">
        <v>7.7</v>
      </c>
      <c r="D4092" t="str">
        <f t="shared" ref="D4092:D4123" si="184">"250"</f>
        <v>250</v>
      </c>
      <c r="E4092" t="str">
        <f>"J8499"</f>
        <v>J8499</v>
      </c>
    </row>
    <row r="4093" spans="1:5" x14ac:dyDescent="0.25">
      <c r="A4093" t="str">
        <f>"41757188  "</f>
        <v xml:space="preserve">41757188  </v>
      </c>
      <c r="B4093" t="s">
        <v>3930</v>
      </c>
      <c r="C4093">
        <v>8.8000000000000007</v>
      </c>
      <c r="D4093" t="str">
        <f t="shared" si="184"/>
        <v>250</v>
      </c>
      <c r="E4093" t="str">
        <f>"J8499"</f>
        <v>J8499</v>
      </c>
    </row>
    <row r="4094" spans="1:5" x14ac:dyDescent="0.25">
      <c r="A4094" t="str">
        <f>"41757204  "</f>
        <v xml:space="preserve">41757204  </v>
      </c>
      <c r="B4094" t="s">
        <v>3931</v>
      </c>
      <c r="C4094">
        <v>18.7</v>
      </c>
      <c r="D4094" t="str">
        <f t="shared" si="184"/>
        <v>250</v>
      </c>
      <c r="E4094" t="str">
        <f>"X5752"</f>
        <v>X5752</v>
      </c>
    </row>
    <row r="4095" spans="1:5" x14ac:dyDescent="0.25">
      <c r="A4095" t="str">
        <f>"41757204  "</f>
        <v xml:space="preserve">41757204  </v>
      </c>
      <c r="B4095" t="s">
        <v>3931</v>
      </c>
      <c r="C4095">
        <v>18.7</v>
      </c>
      <c r="D4095" t="str">
        <f t="shared" si="184"/>
        <v>250</v>
      </c>
      <c r="E4095" t="str">
        <f>"J3420"</f>
        <v>J3420</v>
      </c>
    </row>
    <row r="4096" spans="1:5" x14ac:dyDescent="0.25">
      <c r="A4096" t="str">
        <f>"41757253  "</f>
        <v xml:space="preserve">41757253  </v>
      </c>
      <c r="B4096" t="s">
        <v>3932</v>
      </c>
      <c r="C4096">
        <v>6.6</v>
      </c>
      <c r="D4096" t="str">
        <f t="shared" si="184"/>
        <v>250</v>
      </c>
      <c r="E4096" t="str">
        <f>"J8499"</f>
        <v>J8499</v>
      </c>
    </row>
    <row r="4097" spans="1:5" x14ac:dyDescent="0.25">
      <c r="A4097" t="str">
        <f>"41757295  "</f>
        <v xml:space="preserve">41757295  </v>
      </c>
      <c r="B4097" t="s">
        <v>3933</v>
      </c>
      <c r="C4097">
        <v>18.7</v>
      </c>
      <c r="D4097" t="str">
        <f t="shared" si="184"/>
        <v>250</v>
      </c>
      <c r="E4097" t="str">
        <f>"J8499"</f>
        <v>J8499</v>
      </c>
    </row>
    <row r="4098" spans="1:5" x14ac:dyDescent="0.25">
      <c r="A4098" t="str">
        <f>"41757303  "</f>
        <v xml:space="preserve">41757303  </v>
      </c>
      <c r="B4098" t="s">
        <v>3934</v>
      </c>
      <c r="C4098">
        <v>267.3</v>
      </c>
      <c r="D4098" t="str">
        <f t="shared" si="184"/>
        <v>250</v>
      </c>
      <c r="E4098" t="str">
        <f>"J3490"</f>
        <v>J3490</v>
      </c>
    </row>
    <row r="4099" spans="1:5" x14ac:dyDescent="0.25">
      <c r="A4099" t="str">
        <f>"41757329  "</f>
        <v xml:space="preserve">41757329  </v>
      </c>
      <c r="B4099" t="s">
        <v>3935</v>
      </c>
      <c r="C4099">
        <v>209</v>
      </c>
      <c r="D4099" t="str">
        <f t="shared" si="184"/>
        <v>250</v>
      </c>
    </row>
    <row r="4100" spans="1:5" x14ac:dyDescent="0.25">
      <c r="A4100" t="str">
        <f>"41757501  "</f>
        <v xml:space="preserve">41757501  </v>
      </c>
      <c r="B4100" t="s">
        <v>3936</v>
      </c>
      <c r="C4100">
        <v>6.6</v>
      </c>
      <c r="D4100" t="str">
        <f t="shared" si="184"/>
        <v>250</v>
      </c>
      <c r="E4100" t="str">
        <f t="shared" ref="E4100:E4105" si="185">"J8499"</f>
        <v>J8499</v>
      </c>
    </row>
    <row r="4101" spans="1:5" x14ac:dyDescent="0.25">
      <c r="A4101" t="str">
        <f>"41757519  "</f>
        <v xml:space="preserve">41757519  </v>
      </c>
      <c r="B4101" t="s">
        <v>3937</v>
      </c>
      <c r="C4101">
        <v>8.8000000000000007</v>
      </c>
      <c r="D4101" t="str">
        <f t="shared" si="184"/>
        <v>250</v>
      </c>
      <c r="E4101" t="str">
        <f t="shared" si="185"/>
        <v>J8499</v>
      </c>
    </row>
    <row r="4102" spans="1:5" x14ac:dyDescent="0.25">
      <c r="A4102" t="str">
        <f>"41757543  "</f>
        <v xml:space="preserve">41757543  </v>
      </c>
      <c r="B4102" t="s">
        <v>3938</v>
      </c>
      <c r="C4102">
        <v>11</v>
      </c>
      <c r="D4102" t="str">
        <f t="shared" si="184"/>
        <v>250</v>
      </c>
      <c r="E4102" t="str">
        <f t="shared" si="185"/>
        <v>J8499</v>
      </c>
    </row>
    <row r="4103" spans="1:5" x14ac:dyDescent="0.25">
      <c r="A4103" t="str">
        <f>"41757550  "</f>
        <v xml:space="preserve">41757550  </v>
      </c>
      <c r="B4103" t="s">
        <v>3939</v>
      </c>
      <c r="C4103">
        <v>6.6</v>
      </c>
      <c r="D4103" t="str">
        <f t="shared" si="184"/>
        <v>250</v>
      </c>
      <c r="E4103" t="str">
        <f t="shared" si="185"/>
        <v>J8499</v>
      </c>
    </row>
    <row r="4104" spans="1:5" x14ac:dyDescent="0.25">
      <c r="A4104" t="str">
        <f>"41757907  "</f>
        <v xml:space="preserve">41757907  </v>
      </c>
      <c r="B4104" t="s">
        <v>3940</v>
      </c>
      <c r="C4104">
        <v>60.5</v>
      </c>
      <c r="D4104" t="str">
        <f t="shared" si="184"/>
        <v>250</v>
      </c>
      <c r="E4104" t="str">
        <f t="shared" si="185"/>
        <v>J8499</v>
      </c>
    </row>
    <row r="4105" spans="1:5" x14ac:dyDescent="0.25">
      <c r="A4105" t="str">
        <f>"41757915  "</f>
        <v xml:space="preserve">41757915  </v>
      </c>
      <c r="B4105" t="s">
        <v>3941</v>
      </c>
      <c r="C4105">
        <v>3.3</v>
      </c>
      <c r="D4105" t="str">
        <f t="shared" si="184"/>
        <v>250</v>
      </c>
      <c r="E4105" t="str">
        <f t="shared" si="185"/>
        <v>J8499</v>
      </c>
    </row>
    <row r="4106" spans="1:5" x14ac:dyDescent="0.25">
      <c r="A4106" t="str">
        <f>"41757956  "</f>
        <v xml:space="preserve">41757956  </v>
      </c>
      <c r="B4106" t="s">
        <v>3942</v>
      </c>
      <c r="C4106">
        <v>18.7</v>
      </c>
      <c r="D4106" t="str">
        <f t="shared" si="184"/>
        <v>250</v>
      </c>
      <c r="E4106" t="str">
        <f>"X6834"</f>
        <v>X6834</v>
      </c>
    </row>
    <row r="4107" spans="1:5" x14ac:dyDescent="0.25">
      <c r="A4107" t="str">
        <f>"41757956  "</f>
        <v xml:space="preserve">41757956  </v>
      </c>
      <c r="B4107" t="s">
        <v>3942</v>
      </c>
      <c r="C4107">
        <v>18.7</v>
      </c>
      <c r="D4107" t="str">
        <f t="shared" si="184"/>
        <v>250</v>
      </c>
      <c r="E4107" t="str">
        <f>"J3490"</f>
        <v>J3490</v>
      </c>
    </row>
    <row r="4108" spans="1:5" x14ac:dyDescent="0.25">
      <c r="A4108" t="str">
        <f>"41758053  "</f>
        <v xml:space="preserve">41758053  </v>
      </c>
      <c r="B4108" t="s">
        <v>3943</v>
      </c>
      <c r="C4108">
        <v>6.6</v>
      </c>
      <c r="D4108" t="str">
        <f t="shared" si="184"/>
        <v>250</v>
      </c>
      <c r="E4108" t="str">
        <f>"J8499"</f>
        <v>J8499</v>
      </c>
    </row>
    <row r="4109" spans="1:5" x14ac:dyDescent="0.25">
      <c r="A4109" t="str">
        <f>"41758152  "</f>
        <v xml:space="preserve">41758152  </v>
      </c>
      <c r="B4109" t="s">
        <v>3944</v>
      </c>
      <c r="C4109">
        <v>6.6</v>
      </c>
      <c r="D4109" t="str">
        <f t="shared" si="184"/>
        <v>250</v>
      </c>
      <c r="E4109" t="str">
        <f>"J8499"</f>
        <v>J8499</v>
      </c>
    </row>
    <row r="4110" spans="1:5" x14ac:dyDescent="0.25">
      <c r="A4110" t="str">
        <f>"41758202  "</f>
        <v xml:space="preserve">41758202  </v>
      </c>
      <c r="B4110" t="s">
        <v>3945</v>
      </c>
      <c r="C4110">
        <v>99</v>
      </c>
      <c r="D4110" t="str">
        <f t="shared" si="184"/>
        <v>250</v>
      </c>
      <c r="E4110" t="str">
        <f>"90779"</f>
        <v>90779</v>
      </c>
    </row>
    <row r="4111" spans="1:5" x14ac:dyDescent="0.25">
      <c r="A4111" t="str">
        <f>"41758202  "</f>
        <v xml:space="preserve">41758202  </v>
      </c>
      <c r="B4111" t="s">
        <v>3945</v>
      </c>
      <c r="C4111">
        <v>99</v>
      </c>
      <c r="D4111" t="str">
        <f t="shared" si="184"/>
        <v>250</v>
      </c>
      <c r="E4111" t="str">
        <f>"J2780"</f>
        <v>J2780</v>
      </c>
    </row>
    <row r="4112" spans="1:5" x14ac:dyDescent="0.25">
      <c r="A4112" t="str">
        <f>"41758210  "</f>
        <v xml:space="preserve">41758210  </v>
      </c>
      <c r="B4112" t="s">
        <v>3946</v>
      </c>
      <c r="C4112">
        <v>15.4</v>
      </c>
      <c r="D4112" t="str">
        <f t="shared" si="184"/>
        <v>250</v>
      </c>
      <c r="E4112" t="str">
        <f>"J8499"</f>
        <v>J8499</v>
      </c>
    </row>
    <row r="4113" spans="1:5" x14ac:dyDescent="0.25">
      <c r="A4113" t="str">
        <f>"41758350  "</f>
        <v xml:space="preserve">41758350  </v>
      </c>
      <c r="B4113" t="s">
        <v>3947</v>
      </c>
      <c r="C4113">
        <v>52.8</v>
      </c>
      <c r="D4113" t="str">
        <f t="shared" si="184"/>
        <v>250</v>
      </c>
      <c r="E4113" t="str">
        <f>"J2765"</f>
        <v>J2765</v>
      </c>
    </row>
    <row r="4114" spans="1:5" x14ac:dyDescent="0.25">
      <c r="A4114" t="str">
        <f>"41758368  "</f>
        <v xml:space="preserve">41758368  </v>
      </c>
      <c r="B4114" t="s">
        <v>3948</v>
      </c>
      <c r="C4114">
        <v>6.6</v>
      </c>
      <c r="D4114" t="str">
        <f t="shared" si="184"/>
        <v>250</v>
      </c>
      <c r="E4114" t="str">
        <f>"90779"</f>
        <v>90779</v>
      </c>
    </row>
    <row r="4115" spans="1:5" x14ac:dyDescent="0.25">
      <c r="A4115" t="str">
        <f>"41758368  "</f>
        <v xml:space="preserve">41758368  </v>
      </c>
      <c r="B4115" t="s">
        <v>3948</v>
      </c>
      <c r="C4115">
        <v>6.6</v>
      </c>
      <c r="D4115" t="str">
        <f t="shared" si="184"/>
        <v>250</v>
      </c>
      <c r="E4115" t="str">
        <f>"J8499"</f>
        <v>J8499</v>
      </c>
    </row>
    <row r="4116" spans="1:5" x14ac:dyDescent="0.25">
      <c r="A4116" t="str">
        <f>"41758400  "</f>
        <v xml:space="preserve">41758400  </v>
      </c>
      <c r="B4116" t="s">
        <v>3949</v>
      </c>
      <c r="C4116">
        <v>8.8000000000000007</v>
      </c>
      <c r="D4116" t="str">
        <f t="shared" si="184"/>
        <v>250</v>
      </c>
      <c r="E4116" t="str">
        <f>"J8499"</f>
        <v>J8499</v>
      </c>
    </row>
    <row r="4117" spans="1:5" x14ac:dyDescent="0.25">
      <c r="A4117" t="str">
        <f>"41758459  "</f>
        <v xml:space="preserve">41758459  </v>
      </c>
      <c r="B4117" t="s">
        <v>3950</v>
      </c>
      <c r="C4117">
        <v>6.6</v>
      </c>
      <c r="D4117" t="str">
        <f t="shared" si="184"/>
        <v>250</v>
      </c>
      <c r="E4117" t="str">
        <f>"90779"</f>
        <v>90779</v>
      </c>
    </row>
    <row r="4118" spans="1:5" x14ac:dyDescent="0.25">
      <c r="A4118" t="str">
        <f>"41758459  "</f>
        <v xml:space="preserve">41758459  </v>
      </c>
      <c r="B4118" t="s">
        <v>3950</v>
      </c>
      <c r="C4118">
        <v>6.6</v>
      </c>
      <c r="D4118" t="str">
        <f t="shared" si="184"/>
        <v>250</v>
      </c>
      <c r="E4118" t="str">
        <f>"J8499"</f>
        <v>J8499</v>
      </c>
    </row>
    <row r="4119" spans="1:5" x14ac:dyDescent="0.25">
      <c r="A4119" t="str">
        <f>"41758509  "</f>
        <v xml:space="preserve">41758509  </v>
      </c>
      <c r="B4119" t="s">
        <v>3951</v>
      </c>
      <c r="C4119">
        <v>6.6</v>
      </c>
      <c r="D4119" t="str">
        <f t="shared" si="184"/>
        <v>250</v>
      </c>
      <c r="E4119" t="str">
        <f>"J8499"</f>
        <v>J8499</v>
      </c>
    </row>
    <row r="4120" spans="1:5" x14ac:dyDescent="0.25">
      <c r="A4120" t="str">
        <f>"41758541  "</f>
        <v xml:space="preserve">41758541  </v>
      </c>
      <c r="B4120" t="s">
        <v>3952</v>
      </c>
      <c r="C4120">
        <v>154</v>
      </c>
      <c r="D4120" t="str">
        <f t="shared" si="184"/>
        <v>250</v>
      </c>
      <c r="E4120" t="str">
        <f>"90779"</f>
        <v>90779</v>
      </c>
    </row>
    <row r="4121" spans="1:5" x14ac:dyDescent="0.25">
      <c r="A4121" t="str">
        <f>"41758541  "</f>
        <v xml:space="preserve">41758541  </v>
      </c>
      <c r="B4121" t="s">
        <v>3952</v>
      </c>
      <c r="C4121">
        <v>154</v>
      </c>
      <c r="D4121" t="str">
        <f t="shared" si="184"/>
        <v>250</v>
      </c>
      <c r="E4121" t="str">
        <f>"J2765"</f>
        <v>J2765</v>
      </c>
    </row>
    <row r="4122" spans="1:5" x14ac:dyDescent="0.25">
      <c r="A4122" t="str">
        <f>"41758558  "</f>
        <v xml:space="preserve">41758558  </v>
      </c>
      <c r="B4122" t="s">
        <v>3953</v>
      </c>
      <c r="C4122">
        <v>11</v>
      </c>
      <c r="D4122" t="str">
        <f t="shared" si="184"/>
        <v>250</v>
      </c>
      <c r="E4122" t="str">
        <f>"90779"</f>
        <v>90779</v>
      </c>
    </row>
    <row r="4123" spans="1:5" x14ac:dyDescent="0.25">
      <c r="A4123" t="str">
        <f>"41758558  "</f>
        <v xml:space="preserve">41758558  </v>
      </c>
      <c r="B4123" t="s">
        <v>3953</v>
      </c>
      <c r="C4123">
        <v>11</v>
      </c>
      <c r="D4123" t="str">
        <f t="shared" si="184"/>
        <v>250</v>
      </c>
      <c r="E4123" t="str">
        <f>"J8499"</f>
        <v>J8499</v>
      </c>
    </row>
    <row r="4124" spans="1:5" x14ac:dyDescent="0.25">
      <c r="A4124" t="str">
        <f>"41758566  "</f>
        <v xml:space="preserve">41758566  </v>
      </c>
      <c r="B4124" t="s">
        <v>3954</v>
      </c>
      <c r="C4124">
        <v>225.34</v>
      </c>
      <c r="D4124" t="str">
        <f t="shared" ref="D4124:D4133" si="186">"250"</f>
        <v>250</v>
      </c>
      <c r="E4124" t="str">
        <f>"J2760"</f>
        <v>J2760</v>
      </c>
    </row>
    <row r="4125" spans="1:5" x14ac:dyDescent="0.25">
      <c r="A4125" t="str">
        <f>"41758624  "</f>
        <v xml:space="preserve">41758624  </v>
      </c>
      <c r="B4125" t="s">
        <v>3955</v>
      </c>
      <c r="C4125">
        <v>11</v>
      </c>
      <c r="D4125" t="str">
        <f t="shared" si="186"/>
        <v>250</v>
      </c>
      <c r="E4125" t="str">
        <f t="shared" ref="E4125:E4130" si="187">"J8499"</f>
        <v>J8499</v>
      </c>
    </row>
    <row r="4126" spans="1:5" x14ac:dyDescent="0.25">
      <c r="A4126" t="str">
        <f>"41758863  "</f>
        <v xml:space="preserve">41758863  </v>
      </c>
      <c r="B4126" t="s">
        <v>3956</v>
      </c>
      <c r="C4126" s="1">
        <v>1412.4</v>
      </c>
      <c r="D4126" t="str">
        <f t="shared" si="186"/>
        <v>250</v>
      </c>
      <c r="E4126" t="str">
        <f t="shared" si="187"/>
        <v>J8499</v>
      </c>
    </row>
    <row r="4127" spans="1:5" x14ac:dyDescent="0.25">
      <c r="A4127" t="str">
        <f>"41758905  "</f>
        <v xml:space="preserve">41758905  </v>
      </c>
      <c r="B4127" t="s">
        <v>3957</v>
      </c>
      <c r="C4127">
        <v>8.8000000000000007</v>
      </c>
      <c r="D4127" t="str">
        <f t="shared" si="186"/>
        <v>250</v>
      </c>
      <c r="E4127" t="str">
        <f t="shared" si="187"/>
        <v>J8499</v>
      </c>
    </row>
    <row r="4128" spans="1:5" x14ac:dyDescent="0.25">
      <c r="A4128" t="str">
        <f>"41758954  "</f>
        <v xml:space="preserve">41758954  </v>
      </c>
      <c r="B4128" t="s">
        <v>3958</v>
      </c>
      <c r="C4128">
        <v>30.8</v>
      </c>
      <c r="D4128" t="str">
        <f t="shared" si="186"/>
        <v>250</v>
      </c>
      <c r="E4128" t="str">
        <f t="shared" si="187"/>
        <v>J8499</v>
      </c>
    </row>
    <row r="4129" spans="1:5" x14ac:dyDescent="0.25">
      <c r="A4129" t="str">
        <f>"41758962  "</f>
        <v xml:space="preserve">41758962  </v>
      </c>
      <c r="B4129" t="s">
        <v>3959</v>
      </c>
      <c r="C4129">
        <v>22</v>
      </c>
      <c r="D4129" t="str">
        <f t="shared" si="186"/>
        <v>250</v>
      </c>
      <c r="E4129" t="str">
        <f t="shared" si="187"/>
        <v>J8499</v>
      </c>
    </row>
    <row r="4130" spans="1:5" x14ac:dyDescent="0.25">
      <c r="A4130" t="str">
        <f>"41759200  "</f>
        <v xml:space="preserve">41759200  </v>
      </c>
      <c r="B4130" t="s">
        <v>3960</v>
      </c>
      <c r="C4130">
        <v>11</v>
      </c>
      <c r="D4130" t="str">
        <f t="shared" si="186"/>
        <v>250</v>
      </c>
      <c r="E4130" t="str">
        <f t="shared" si="187"/>
        <v>J8499</v>
      </c>
    </row>
    <row r="4131" spans="1:5" x14ac:dyDescent="0.25">
      <c r="A4131" t="str">
        <f>"41759226  "</f>
        <v xml:space="preserve">41759226  </v>
      </c>
      <c r="B4131" t="s">
        <v>3961</v>
      </c>
      <c r="C4131">
        <v>15.71</v>
      </c>
      <c r="D4131" t="str">
        <f t="shared" si="186"/>
        <v>250</v>
      </c>
    </row>
    <row r="4132" spans="1:5" x14ac:dyDescent="0.25">
      <c r="A4132" t="str">
        <f>"41759259  "</f>
        <v xml:space="preserve">41759259  </v>
      </c>
      <c r="B4132" t="s">
        <v>3962</v>
      </c>
      <c r="C4132">
        <v>6.6</v>
      </c>
      <c r="D4132" t="str">
        <f t="shared" si="186"/>
        <v>250</v>
      </c>
      <c r="E4132" t="str">
        <f>"J8499"</f>
        <v>J8499</v>
      </c>
    </row>
    <row r="4133" spans="1:5" x14ac:dyDescent="0.25">
      <c r="A4133" t="str">
        <f>"41759408  "</f>
        <v xml:space="preserve">41759408  </v>
      </c>
      <c r="B4133" t="s">
        <v>3963</v>
      </c>
      <c r="C4133">
        <v>11</v>
      </c>
      <c r="D4133" t="str">
        <f t="shared" si="186"/>
        <v>250</v>
      </c>
      <c r="E4133" t="str">
        <f>"J8499"</f>
        <v>J8499</v>
      </c>
    </row>
    <row r="4134" spans="1:5" x14ac:dyDescent="0.25">
      <c r="A4134" t="str">
        <f>"41759457  "</f>
        <v xml:space="preserve">41759457  </v>
      </c>
      <c r="B4134" t="s">
        <v>3964</v>
      </c>
      <c r="C4134">
        <v>8.8000000000000007</v>
      </c>
      <c r="D4134" t="str">
        <f>"257"</f>
        <v>257</v>
      </c>
      <c r="E4134" t="str">
        <f>"J3490"</f>
        <v>J3490</v>
      </c>
    </row>
    <row r="4135" spans="1:5" x14ac:dyDescent="0.25">
      <c r="A4135" t="str">
        <f>"41759507  "</f>
        <v xml:space="preserve">41759507  </v>
      </c>
      <c r="B4135" t="s">
        <v>3965</v>
      </c>
      <c r="C4135">
        <v>6.6</v>
      </c>
      <c r="D4135" t="str">
        <f>"257"</f>
        <v>257</v>
      </c>
      <c r="E4135" t="str">
        <f>"J3490"</f>
        <v>J3490</v>
      </c>
    </row>
    <row r="4136" spans="1:5" x14ac:dyDescent="0.25">
      <c r="A4136" t="str">
        <f>"41759515  "</f>
        <v xml:space="preserve">41759515  </v>
      </c>
      <c r="B4136" t="s">
        <v>3966</v>
      </c>
      <c r="C4136">
        <v>146.30000000000001</v>
      </c>
      <c r="D4136" t="str">
        <f>"250"</f>
        <v>250</v>
      </c>
      <c r="E4136" t="str">
        <f>"X5322"</f>
        <v>X5322</v>
      </c>
    </row>
    <row r="4137" spans="1:5" x14ac:dyDescent="0.25">
      <c r="A4137" t="str">
        <f>"41759515  "</f>
        <v xml:space="preserve">41759515  </v>
      </c>
      <c r="B4137" t="s">
        <v>3966</v>
      </c>
      <c r="C4137">
        <v>146.30000000000001</v>
      </c>
      <c r="D4137" t="str">
        <f>"250"</f>
        <v>250</v>
      </c>
      <c r="E4137" t="str">
        <f>"J3490"</f>
        <v>J3490</v>
      </c>
    </row>
    <row r="4138" spans="1:5" x14ac:dyDescent="0.25">
      <c r="A4138" t="str">
        <f>"41759556  "</f>
        <v xml:space="preserve">41759556  </v>
      </c>
      <c r="B4138" t="s">
        <v>3967</v>
      </c>
      <c r="C4138">
        <v>8.8000000000000007</v>
      </c>
      <c r="D4138" t="str">
        <f>"257"</f>
        <v>257</v>
      </c>
      <c r="E4138" t="str">
        <f>"J3490"</f>
        <v>J3490</v>
      </c>
    </row>
    <row r="4139" spans="1:5" x14ac:dyDescent="0.25">
      <c r="A4139" t="str">
        <f>"41759606  "</f>
        <v xml:space="preserve">41759606  </v>
      </c>
      <c r="B4139" t="s">
        <v>3968</v>
      </c>
      <c r="C4139">
        <v>114.4</v>
      </c>
      <c r="D4139" t="str">
        <f t="shared" ref="D4139:D4160" si="188">"250"</f>
        <v>250</v>
      </c>
      <c r="E4139" t="str">
        <f>"X6258"</f>
        <v>X6258</v>
      </c>
    </row>
    <row r="4140" spans="1:5" x14ac:dyDescent="0.25">
      <c r="A4140" t="str">
        <f>"41759606  "</f>
        <v xml:space="preserve">41759606  </v>
      </c>
      <c r="B4140" t="s">
        <v>3968</v>
      </c>
      <c r="C4140">
        <v>114.4</v>
      </c>
      <c r="D4140" t="str">
        <f t="shared" si="188"/>
        <v>250</v>
      </c>
      <c r="E4140" t="str">
        <f>"J3490"</f>
        <v>J3490</v>
      </c>
    </row>
    <row r="4141" spans="1:5" x14ac:dyDescent="0.25">
      <c r="A4141" t="str">
        <f>"41759622  "</f>
        <v xml:space="preserve">41759622  </v>
      </c>
      <c r="B4141" t="s">
        <v>3969</v>
      </c>
      <c r="C4141">
        <v>12.1</v>
      </c>
      <c r="D4141" t="str">
        <f t="shared" si="188"/>
        <v>250</v>
      </c>
      <c r="E4141" t="str">
        <f>"J8499"</f>
        <v>J8499</v>
      </c>
    </row>
    <row r="4142" spans="1:5" x14ac:dyDescent="0.25">
      <c r="A4142" t="str">
        <f>"41759648  "</f>
        <v xml:space="preserve">41759648  </v>
      </c>
      <c r="B4142" t="s">
        <v>3970</v>
      </c>
      <c r="C4142">
        <v>6.6</v>
      </c>
      <c r="D4142" t="str">
        <f t="shared" si="188"/>
        <v>250</v>
      </c>
      <c r="E4142" t="str">
        <f>"J8499"</f>
        <v>J8499</v>
      </c>
    </row>
    <row r="4143" spans="1:5" x14ac:dyDescent="0.25">
      <c r="A4143" t="str">
        <f>"41759655  "</f>
        <v xml:space="preserve">41759655  </v>
      </c>
      <c r="B4143" t="s">
        <v>3971</v>
      </c>
      <c r="C4143">
        <v>8.8000000000000007</v>
      </c>
      <c r="D4143" t="str">
        <f t="shared" si="188"/>
        <v>250</v>
      </c>
      <c r="E4143" t="str">
        <f>"J8499"</f>
        <v>J8499</v>
      </c>
    </row>
    <row r="4144" spans="1:5" x14ac:dyDescent="0.25">
      <c r="A4144" t="str">
        <f>"41759663  "</f>
        <v xml:space="preserve">41759663  </v>
      </c>
      <c r="B4144" t="s">
        <v>3972</v>
      </c>
      <c r="C4144">
        <v>12.1</v>
      </c>
      <c r="D4144" t="str">
        <f t="shared" si="188"/>
        <v>250</v>
      </c>
      <c r="E4144" t="str">
        <f>"J8499"</f>
        <v>J8499</v>
      </c>
    </row>
    <row r="4145" spans="1:5" x14ac:dyDescent="0.25">
      <c r="A4145" t="str">
        <f>"41759705  "</f>
        <v xml:space="preserve">41759705  </v>
      </c>
      <c r="B4145" t="s">
        <v>3973</v>
      </c>
      <c r="C4145">
        <v>8.8000000000000007</v>
      </c>
      <c r="D4145" t="str">
        <f t="shared" si="188"/>
        <v>250</v>
      </c>
      <c r="E4145" t="str">
        <f>"J8499"</f>
        <v>J8499</v>
      </c>
    </row>
    <row r="4146" spans="1:5" x14ac:dyDescent="0.25">
      <c r="A4146" t="str">
        <f>"41759861  "</f>
        <v xml:space="preserve">41759861  </v>
      </c>
      <c r="B4146" t="s">
        <v>3974</v>
      </c>
      <c r="C4146">
        <v>246.4</v>
      </c>
      <c r="D4146" t="str">
        <f t="shared" si="188"/>
        <v>250</v>
      </c>
    </row>
    <row r="4147" spans="1:5" x14ac:dyDescent="0.25">
      <c r="A4147" t="str">
        <f>"41760000  "</f>
        <v xml:space="preserve">41760000  </v>
      </c>
      <c r="B4147" t="s">
        <v>3975</v>
      </c>
      <c r="C4147">
        <v>108.9</v>
      </c>
      <c r="D4147" t="str">
        <f t="shared" si="188"/>
        <v>250</v>
      </c>
      <c r="E4147" t="str">
        <f>"J3490"</f>
        <v>J3490</v>
      </c>
    </row>
    <row r="4148" spans="1:5" x14ac:dyDescent="0.25">
      <c r="A4148" t="str">
        <f>"41760018  "</f>
        <v xml:space="preserve">41760018  </v>
      </c>
      <c r="B4148" t="s">
        <v>3976</v>
      </c>
      <c r="C4148">
        <v>19.8</v>
      </c>
      <c r="D4148" t="str">
        <f t="shared" si="188"/>
        <v>250</v>
      </c>
    </row>
    <row r="4149" spans="1:5" x14ac:dyDescent="0.25">
      <c r="A4149" t="str">
        <f>"41760034  "</f>
        <v xml:space="preserve">41760034  </v>
      </c>
      <c r="B4149" t="s">
        <v>3977</v>
      </c>
      <c r="C4149">
        <v>6.6</v>
      </c>
      <c r="D4149" t="str">
        <f t="shared" si="188"/>
        <v>250</v>
      </c>
    </row>
    <row r="4150" spans="1:5" x14ac:dyDescent="0.25">
      <c r="A4150" t="str">
        <f>"41760067  "</f>
        <v xml:space="preserve">41760067  </v>
      </c>
      <c r="B4150" t="s">
        <v>3978</v>
      </c>
      <c r="C4150">
        <v>36.21</v>
      </c>
      <c r="D4150" t="str">
        <f t="shared" si="188"/>
        <v>250</v>
      </c>
    </row>
    <row r="4151" spans="1:5" x14ac:dyDescent="0.25">
      <c r="A4151" t="str">
        <f>"41760075  "</f>
        <v xml:space="preserve">41760075  </v>
      </c>
      <c r="B4151" t="s">
        <v>3979</v>
      </c>
      <c r="C4151">
        <v>22</v>
      </c>
      <c r="D4151" t="str">
        <f t="shared" si="188"/>
        <v>250</v>
      </c>
    </row>
    <row r="4152" spans="1:5" x14ac:dyDescent="0.25">
      <c r="A4152" t="str">
        <f>"41760083  "</f>
        <v xml:space="preserve">41760083  </v>
      </c>
      <c r="B4152" t="s">
        <v>3980</v>
      </c>
      <c r="C4152">
        <v>233.2</v>
      </c>
      <c r="D4152" t="str">
        <f t="shared" si="188"/>
        <v>250</v>
      </c>
    </row>
    <row r="4153" spans="1:5" x14ac:dyDescent="0.25">
      <c r="A4153" t="str">
        <f>"41760091  "</f>
        <v xml:space="preserve">41760091  </v>
      </c>
      <c r="B4153" t="s">
        <v>3981</v>
      </c>
      <c r="C4153">
        <v>101.2</v>
      </c>
      <c r="D4153" t="str">
        <f t="shared" si="188"/>
        <v>250</v>
      </c>
    </row>
    <row r="4154" spans="1:5" x14ac:dyDescent="0.25">
      <c r="A4154" t="str">
        <f>"41760117  "</f>
        <v xml:space="preserve">41760117  </v>
      </c>
      <c r="B4154" t="s">
        <v>3982</v>
      </c>
      <c r="C4154">
        <v>126.28</v>
      </c>
      <c r="D4154" t="str">
        <f t="shared" si="188"/>
        <v>250</v>
      </c>
    </row>
    <row r="4155" spans="1:5" x14ac:dyDescent="0.25">
      <c r="A4155" t="str">
        <f>"41760125  "</f>
        <v xml:space="preserve">41760125  </v>
      </c>
      <c r="B4155" t="s">
        <v>3983</v>
      </c>
      <c r="C4155">
        <v>61.6</v>
      </c>
      <c r="D4155" t="str">
        <f t="shared" si="188"/>
        <v>250</v>
      </c>
    </row>
    <row r="4156" spans="1:5" x14ac:dyDescent="0.25">
      <c r="A4156" t="str">
        <f>"41760133  "</f>
        <v xml:space="preserve">41760133  </v>
      </c>
      <c r="B4156" t="s">
        <v>3984</v>
      </c>
      <c r="C4156">
        <v>17.600000000000001</v>
      </c>
      <c r="D4156" t="str">
        <f t="shared" si="188"/>
        <v>250</v>
      </c>
    </row>
    <row r="4157" spans="1:5" x14ac:dyDescent="0.25">
      <c r="A4157" t="str">
        <f>"41760141  "</f>
        <v xml:space="preserve">41760141  </v>
      </c>
      <c r="B4157" t="s">
        <v>3985</v>
      </c>
      <c r="C4157">
        <v>70.400000000000006</v>
      </c>
      <c r="D4157" t="str">
        <f t="shared" si="188"/>
        <v>250</v>
      </c>
    </row>
    <row r="4158" spans="1:5" x14ac:dyDescent="0.25">
      <c r="A4158" t="str">
        <f>"41760158  "</f>
        <v xml:space="preserve">41760158  </v>
      </c>
      <c r="B4158" t="s">
        <v>3986</v>
      </c>
      <c r="C4158">
        <v>199.1</v>
      </c>
      <c r="D4158" t="str">
        <f t="shared" si="188"/>
        <v>250</v>
      </c>
    </row>
    <row r="4159" spans="1:5" x14ac:dyDescent="0.25">
      <c r="A4159" t="str">
        <f>"41760166  "</f>
        <v xml:space="preserve">41760166  </v>
      </c>
      <c r="B4159" t="s">
        <v>3987</v>
      </c>
      <c r="C4159">
        <v>28.05</v>
      </c>
      <c r="D4159" t="str">
        <f t="shared" si="188"/>
        <v>250</v>
      </c>
    </row>
    <row r="4160" spans="1:5" x14ac:dyDescent="0.25">
      <c r="A4160" t="str">
        <f>"41760174  "</f>
        <v xml:space="preserve">41760174  </v>
      </c>
      <c r="B4160" t="s">
        <v>3988</v>
      </c>
      <c r="C4160" s="1">
        <v>1089</v>
      </c>
      <c r="D4160" t="str">
        <f t="shared" si="188"/>
        <v>250</v>
      </c>
    </row>
    <row r="4161" spans="1:5" x14ac:dyDescent="0.25">
      <c r="A4161" t="str">
        <f>"41760182  "</f>
        <v xml:space="preserve">41760182  </v>
      </c>
      <c r="B4161" t="s">
        <v>3989</v>
      </c>
      <c r="C4161">
        <v>707.63</v>
      </c>
      <c r="D4161" t="str">
        <f>"257"</f>
        <v>257</v>
      </c>
    </row>
    <row r="4162" spans="1:5" x14ac:dyDescent="0.25">
      <c r="A4162" t="str">
        <f>"41760190  "</f>
        <v xml:space="preserve">41760190  </v>
      </c>
      <c r="B4162" t="s">
        <v>3990</v>
      </c>
      <c r="C4162">
        <v>217.58</v>
      </c>
      <c r="D4162" t="str">
        <f>"250"</f>
        <v>250</v>
      </c>
    </row>
    <row r="4163" spans="1:5" x14ac:dyDescent="0.25">
      <c r="A4163" t="str">
        <f>"41760224  "</f>
        <v xml:space="preserve">41760224  </v>
      </c>
      <c r="B4163" t="s">
        <v>3991</v>
      </c>
      <c r="C4163">
        <v>29.76</v>
      </c>
      <c r="D4163" t="str">
        <f>"257"</f>
        <v>257</v>
      </c>
    </row>
    <row r="4164" spans="1:5" x14ac:dyDescent="0.25">
      <c r="A4164" t="str">
        <f>"41760240  "</f>
        <v xml:space="preserve">41760240  </v>
      </c>
      <c r="B4164" t="s">
        <v>3992</v>
      </c>
      <c r="C4164">
        <v>46.2</v>
      </c>
      <c r="D4164" t="str">
        <f>"257"</f>
        <v>257</v>
      </c>
    </row>
    <row r="4165" spans="1:5" x14ac:dyDescent="0.25">
      <c r="A4165" t="str">
        <f>"41760455  "</f>
        <v xml:space="preserve">41760455  </v>
      </c>
      <c r="B4165" t="s">
        <v>3993</v>
      </c>
      <c r="C4165">
        <v>6.6</v>
      </c>
      <c r="D4165" t="str">
        <f>"257"</f>
        <v>257</v>
      </c>
      <c r="E4165" t="str">
        <f>"J3490"</f>
        <v>J3490</v>
      </c>
    </row>
    <row r="4166" spans="1:5" x14ac:dyDescent="0.25">
      <c r="A4166" t="str">
        <f>"41760505  "</f>
        <v xml:space="preserve">41760505  </v>
      </c>
      <c r="B4166" t="s">
        <v>3994</v>
      </c>
      <c r="C4166">
        <v>6.6</v>
      </c>
      <c r="D4166" t="str">
        <f t="shared" ref="D4166:D4191" si="189">"250"</f>
        <v>250</v>
      </c>
      <c r="E4166" t="str">
        <f>"J8499"</f>
        <v>J8499</v>
      </c>
    </row>
    <row r="4167" spans="1:5" x14ac:dyDescent="0.25">
      <c r="A4167" t="str">
        <f>"41760554  "</f>
        <v xml:space="preserve">41760554  </v>
      </c>
      <c r="B4167" t="s">
        <v>3995</v>
      </c>
      <c r="C4167">
        <v>8.8000000000000007</v>
      </c>
      <c r="D4167" t="str">
        <f t="shared" si="189"/>
        <v>250</v>
      </c>
      <c r="E4167" t="str">
        <f>"J8499"</f>
        <v>J8499</v>
      </c>
    </row>
    <row r="4168" spans="1:5" x14ac:dyDescent="0.25">
      <c r="A4168" t="str">
        <f>"41760604  "</f>
        <v xml:space="preserve">41760604  </v>
      </c>
      <c r="B4168" t="s">
        <v>3996</v>
      </c>
      <c r="C4168">
        <v>8.8000000000000007</v>
      </c>
      <c r="D4168" t="str">
        <f t="shared" si="189"/>
        <v>250</v>
      </c>
      <c r="E4168" t="str">
        <f>"J8499"</f>
        <v>J8499</v>
      </c>
    </row>
    <row r="4169" spans="1:5" x14ac:dyDescent="0.25">
      <c r="A4169" t="str">
        <f>"41760638  "</f>
        <v xml:space="preserve">41760638  </v>
      </c>
      <c r="B4169" t="s">
        <v>3997</v>
      </c>
      <c r="C4169">
        <v>30.8</v>
      </c>
      <c r="D4169" t="str">
        <f t="shared" si="189"/>
        <v>250</v>
      </c>
      <c r="E4169" t="str">
        <f>"J8499"</f>
        <v>J8499</v>
      </c>
    </row>
    <row r="4170" spans="1:5" x14ac:dyDescent="0.25">
      <c r="A4170" t="str">
        <f>"41760703  "</f>
        <v xml:space="preserve">41760703  </v>
      </c>
      <c r="B4170" t="s">
        <v>3998</v>
      </c>
      <c r="C4170">
        <v>422.4</v>
      </c>
      <c r="D4170" t="str">
        <f t="shared" si="189"/>
        <v>250</v>
      </c>
      <c r="E4170" t="str">
        <f>"J3490"</f>
        <v>J3490</v>
      </c>
    </row>
    <row r="4171" spans="1:5" x14ac:dyDescent="0.25">
      <c r="A4171" t="str">
        <f>"41761008  "</f>
        <v xml:space="preserve">41761008  </v>
      </c>
      <c r="B4171" t="s">
        <v>3999</v>
      </c>
      <c r="C4171">
        <v>11</v>
      </c>
      <c r="D4171" t="str">
        <f t="shared" si="189"/>
        <v>250</v>
      </c>
      <c r="E4171" t="str">
        <f>"J8499"</f>
        <v>J8499</v>
      </c>
    </row>
    <row r="4172" spans="1:5" x14ac:dyDescent="0.25">
      <c r="A4172" t="str">
        <f>"41761016  "</f>
        <v xml:space="preserve">41761016  </v>
      </c>
      <c r="B4172" t="s">
        <v>4000</v>
      </c>
      <c r="C4172">
        <v>6.6</v>
      </c>
      <c r="D4172" t="str">
        <f t="shared" si="189"/>
        <v>250</v>
      </c>
      <c r="E4172" t="str">
        <f>"J8499"</f>
        <v>J8499</v>
      </c>
    </row>
    <row r="4173" spans="1:5" x14ac:dyDescent="0.25">
      <c r="A4173" t="str">
        <f>"41761024  "</f>
        <v xml:space="preserve">41761024  </v>
      </c>
      <c r="B4173" t="s">
        <v>4001</v>
      </c>
      <c r="C4173">
        <v>4.4000000000000004</v>
      </c>
      <c r="D4173" t="str">
        <f t="shared" si="189"/>
        <v>250</v>
      </c>
      <c r="E4173" t="str">
        <f>"J8499"</f>
        <v>J8499</v>
      </c>
    </row>
    <row r="4174" spans="1:5" x14ac:dyDescent="0.25">
      <c r="A4174" t="str">
        <f>"41761206  "</f>
        <v xml:space="preserve">41761206  </v>
      </c>
      <c r="B4174" t="s">
        <v>4002</v>
      </c>
      <c r="C4174">
        <v>66</v>
      </c>
      <c r="D4174" t="str">
        <f t="shared" si="189"/>
        <v>250</v>
      </c>
      <c r="E4174" t="str">
        <f>"J3490"</f>
        <v>J3490</v>
      </c>
    </row>
    <row r="4175" spans="1:5" x14ac:dyDescent="0.25">
      <c r="A4175" t="str">
        <f>"41761214  "</f>
        <v xml:space="preserve">41761214  </v>
      </c>
      <c r="B4175" t="s">
        <v>4003</v>
      </c>
      <c r="C4175">
        <v>6.6</v>
      </c>
      <c r="D4175" t="str">
        <f t="shared" si="189"/>
        <v>250</v>
      </c>
      <c r="E4175" t="str">
        <f>"J8499"</f>
        <v>J8499</v>
      </c>
    </row>
    <row r="4176" spans="1:5" x14ac:dyDescent="0.25">
      <c r="A4176" t="str">
        <f>"41761347  "</f>
        <v xml:space="preserve">41761347  </v>
      </c>
      <c r="B4176" t="s">
        <v>4004</v>
      </c>
      <c r="C4176">
        <v>7.7</v>
      </c>
      <c r="D4176" t="str">
        <f t="shared" si="189"/>
        <v>250</v>
      </c>
      <c r="E4176" t="str">
        <f>"J8499"</f>
        <v>J8499</v>
      </c>
    </row>
    <row r="4177" spans="1:5" x14ac:dyDescent="0.25">
      <c r="A4177" t="str">
        <f>"41761453  "</f>
        <v xml:space="preserve">41761453  </v>
      </c>
      <c r="B4177" t="s">
        <v>4005</v>
      </c>
      <c r="C4177">
        <v>7.7</v>
      </c>
      <c r="D4177" t="str">
        <f t="shared" si="189"/>
        <v>250</v>
      </c>
      <c r="E4177" t="str">
        <f>"J8499"</f>
        <v>J8499</v>
      </c>
    </row>
    <row r="4178" spans="1:5" x14ac:dyDescent="0.25">
      <c r="A4178" t="str">
        <f>"41761461  "</f>
        <v xml:space="preserve">41761461  </v>
      </c>
      <c r="B4178" t="s">
        <v>4006</v>
      </c>
      <c r="C4178">
        <v>6.6</v>
      </c>
      <c r="D4178" t="str">
        <f t="shared" si="189"/>
        <v>250</v>
      </c>
      <c r="E4178" t="str">
        <f>"J8499"</f>
        <v>J8499</v>
      </c>
    </row>
    <row r="4179" spans="1:5" x14ac:dyDescent="0.25">
      <c r="A4179" t="str">
        <f>"41761602  "</f>
        <v xml:space="preserve">41761602  </v>
      </c>
      <c r="B4179" t="s">
        <v>4007</v>
      </c>
      <c r="C4179">
        <v>6.6</v>
      </c>
      <c r="D4179" t="str">
        <f t="shared" si="189"/>
        <v>250</v>
      </c>
      <c r="E4179" t="str">
        <f>"J8499"</f>
        <v>J8499</v>
      </c>
    </row>
    <row r="4180" spans="1:5" x14ac:dyDescent="0.25">
      <c r="A4180" t="str">
        <f>"41761651  "</f>
        <v xml:space="preserve">41761651  </v>
      </c>
      <c r="B4180" t="s">
        <v>4008</v>
      </c>
      <c r="C4180">
        <v>99</v>
      </c>
      <c r="D4180" t="str">
        <f t="shared" si="189"/>
        <v>250</v>
      </c>
      <c r="E4180" t="str">
        <f>"J3490"</f>
        <v>J3490</v>
      </c>
    </row>
    <row r="4181" spans="1:5" x14ac:dyDescent="0.25">
      <c r="A4181" t="str">
        <f>"41761701  "</f>
        <v xml:space="preserve">41761701  </v>
      </c>
      <c r="B4181" t="s">
        <v>4009</v>
      </c>
      <c r="C4181">
        <v>16.5</v>
      </c>
      <c r="D4181" t="str">
        <f t="shared" si="189"/>
        <v>250</v>
      </c>
      <c r="E4181" t="str">
        <f t="shared" ref="E4181:E4186" si="190">"J8499"</f>
        <v>J8499</v>
      </c>
    </row>
    <row r="4182" spans="1:5" x14ac:dyDescent="0.25">
      <c r="A4182" t="str">
        <f>"41761719  "</f>
        <v xml:space="preserve">41761719  </v>
      </c>
      <c r="B4182" t="s">
        <v>4010</v>
      </c>
      <c r="C4182">
        <v>12.1</v>
      </c>
      <c r="D4182" t="str">
        <f t="shared" si="189"/>
        <v>250</v>
      </c>
      <c r="E4182" t="str">
        <f t="shared" si="190"/>
        <v>J8499</v>
      </c>
    </row>
    <row r="4183" spans="1:5" x14ac:dyDescent="0.25">
      <c r="A4183" t="str">
        <f>"41761784  "</f>
        <v xml:space="preserve">41761784  </v>
      </c>
      <c r="B4183" t="s">
        <v>4011</v>
      </c>
      <c r="C4183">
        <v>16.5</v>
      </c>
      <c r="D4183" t="str">
        <f t="shared" si="189"/>
        <v>250</v>
      </c>
      <c r="E4183" t="str">
        <f t="shared" si="190"/>
        <v>J8499</v>
      </c>
    </row>
    <row r="4184" spans="1:5" x14ac:dyDescent="0.25">
      <c r="A4184" t="str">
        <f>"41761883  "</f>
        <v xml:space="preserve">41761883  </v>
      </c>
      <c r="B4184" t="s">
        <v>4012</v>
      </c>
      <c r="C4184">
        <v>17.600000000000001</v>
      </c>
      <c r="D4184" t="str">
        <f t="shared" si="189"/>
        <v>250</v>
      </c>
      <c r="E4184" t="str">
        <f t="shared" si="190"/>
        <v>J8499</v>
      </c>
    </row>
    <row r="4185" spans="1:5" x14ac:dyDescent="0.25">
      <c r="A4185" t="str">
        <f>"41761891  "</f>
        <v xml:space="preserve">41761891  </v>
      </c>
      <c r="B4185" t="s">
        <v>4013</v>
      </c>
      <c r="C4185">
        <v>26.4</v>
      </c>
      <c r="D4185" t="str">
        <f t="shared" si="189"/>
        <v>250</v>
      </c>
      <c r="E4185" t="str">
        <f t="shared" si="190"/>
        <v>J8499</v>
      </c>
    </row>
    <row r="4186" spans="1:5" x14ac:dyDescent="0.25">
      <c r="A4186" t="str">
        <f>"41761990  "</f>
        <v xml:space="preserve">41761990  </v>
      </c>
      <c r="B4186" t="s">
        <v>4014</v>
      </c>
      <c r="C4186">
        <v>31.9</v>
      </c>
      <c r="D4186" t="str">
        <f t="shared" si="189"/>
        <v>250</v>
      </c>
      <c r="E4186" t="str">
        <f t="shared" si="190"/>
        <v>J8499</v>
      </c>
    </row>
    <row r="4187" spans="1:5" x14ac:dyDescent="0.25">
      <c r="A4187" t="str">
        <f>"41762006  "</f>
        <v xml:space="preserve">41762006  </v>
      </c>
      <c r="B4187" t="s">
        <v>4015</v>
      </c>
      <c r="C4187">
        <v>36.299999999999997</v>
      </c>
      <c r="D4187" t="str">
        <f t="shared" si="189"/>
        <v>250</v>
      </c>
    </row>
    <row r="4188" spans="1:5" x14ac:dyDescent="0.25">
      <c r="A4188" t="str">
        <f>"41762105  "</f>
        <v xml:space="preserve">41762105  </v>
      </c>
      <c r="B4188" t="s">
        <v>4016</v>
      </c>
      <c r="C4188">
        <v>115.5</v>
      </c>
      <c r="D4188" t="str">
        <f t="shared" si="189"/>
        <v>250</v>
      </c>
      <c r="E4188" t="str">
        <f>"J3490"</f>
        <v>J3490</v>
      </c>
    </row>
    <row r="4189" spans="1:5" x14ac:dyDescent="0.25">
      <c r="A4189" t="str">
        <f>"41762253  "</f>
        <v xml:space="preserve">41762253  </v>
      </c>
      <c r="B4189" t="s">
        <v>4017</v>
      </c>
      <c r="C4189">
        <v>38.5</v>
      </c>
      <c r="D4189" t="str">
        <f t="shared" si="189"/>
        <v>250</v>
      </c>
      <c r="E4189" t="str">
        <f>"J3490"</f>
        <v>J3490</v>
      </c>
    </row>
    <row r="4190" spans="1:5" x14ac:dyDescent="0.25">
      <c r="A4190" t="str">
        <f>"41762311  "</f>
        <v xml:space="preserve">41762311  </v>
      </c>
      <c r="B4190" t="s">
        <v>4018</v>
      </c>
      <c r="C4190">
        <v>42.1</v>
      </c>
      <c r="D4190" t="str">
        <f t="shared" si="189"/>
        <v>250</v>
      </c>
    </row>
    <row r="4191" spans="1:5" x14ac:dyDescent="0.25">
      <c r="A4191" t="str">
        <f>"41762451  "</f>
        <v xml:space="preserve">41762451  </v>
      </c>
      <c r="B4191" t="s">
        <v>4019</v>
      </c>
      <c r="C4191" s="1">
        <v>1874.4</v>
      </c>
      <c r="D4191" t="str">
        <f t="shared" si="189"/>
        <v>250</v>
      </c>
      <c r="E4191" t="str">
        <f>"J3490"</f>
        <v>J3490</v>
      </c>
    </row>
    <row r="4192" spans="1:5" x14ac:dyDescent="0.25">
      <c r="A4192" t="str">
        <f>"41762469  "</f>
        <v xml:space="preserve">41762469  </v>
      </c>
      <c r="B4192" t="s">
        <v>4020</v>
      </c>
      <c r="C4192">
        <v>6.6</v>
      </c>
      <c r="D4192" t="str">
        <f>"257"</f>
        <v>257</v>
      </c>
      <c r="E4192" t="str">
        <f>"J3490"</f>
        <v>J3490</v>
      </c>
    </row>
    <row r="4193" spans="1:5" x14ac:dyDescent="0.25">
      <c r="A4193" t="str">
        <f>"41762477  "</f>
        <v xml:space="preserve">41762477  </v>
      </c>
      <c r="B4193" t="s">
        <v>4021</v>
      </c>
      <c r="C4193" s="1">
        <v>1663.2</v>
      </c>
      <c r="D4193" t="str">
        <f t="shared" ref="D4193:D4211" si="191">"250"</f>
        <v>250</v>
      </c>
      <c r="E4193" t="str">
        <f>"J3490"</f>
        <v>J3490</v>
      </c>
    </row>
    <row r="4194" spans="1:5" x14ac:dyDescent="0.25">
      <c r="A4194" t="str">
        <f>"41762550  "</f>
        <v xml:space="preserve">41762550  </v>
      </c>
      <c r="B4194" t="s">
        <v>4022</v>
      </c>
      <c r="C4194">
        <v>53.9</v>
      </c>
      <c r="D4194" t="str">
        <f t="shared" si="191"/>
        <v>250</v>
      </c>
      <c r="E4194" t="str">
        <f>"90779"</f>
        <v>90779</v>
      </c>
    </row>
    <row r="4195" spans="1:5" x14ac:dyDescent="0.25">
      <c r="A4195" t="str">
        <f>"41762550  "</f>
        <v xml:space="preserve">41762550  </v>
      </c>
      <c r="B4195" t="s">
        <v>4022</v>
      </c>
      <c r="C4195">
        <v>53.9</v>
      </c>
      <c r="D4195" t="str">
        <f t="shared" si="191"/>
        <v>250</v>
      </c>
      <c r="E4195" t="str">
        <f>"J7131"</f>
        <v>J7131</v>
      </c>
    </row>
    <row r="4196" spans="1:5" x14ac:dyDescent="0.25">
      <c r="A4196" t="str">
        <f>"41762568  "</f>
        <v xml:space="preserve">41762568  </v>
      </c>
      <c r="B4196" t="s">
        <v>4023</v>
      </c>
      <c r="C4196">
        <v>105.6</v>
      </c>
      <c r="D4196" t="str">
        <f t="shared" si="191"/>
        <v>250</v>
      </c>
      <c r="E4196" t="str">
        <f>"X6894"</f>
        <v>X6894</v>
      </c>
    </row>
    <row r="4197" spans="1:5" x14ac:dyDescent="0.25">
      <c r="A4197" t="str">
        <f>"41762568  "</f>
        <v xml:space="preserve">41762568  </v>
      </c>
      <c r="B4197" t="s">
        <v>4023</v>
      </c>
      <c r="C4197">
        <v>105.6</v>
      </c>
      <c r="D4197" t="str">
        <f t="shared" si="191"/>
        <v>250</v>
      </c>
      <c r="E4197" t="str">
        <f>"J1720"</f>
        <v>J1720</v>
      </c>
    </row>
    <row r="4198" spans="1:5" x14ac:dyDescent="0.25">
      <c r="A4198" t="str">
        <f>"41762600  "</f>
        <v xml:space="preserve">41762600  </v>
      </c>
      <c r="B4198" t="s">
        <v>4024</v>
      </c>
      <c r="C4198">
        <v>196.9</v>
      </c>
      <c r="D4198" t="str">
        <f t="shared" si="191"/>
        <v>250</v>
      </c>
      <c r="E4198" t="str">
        <f>"X6892"</f>
        <v>X6892</v>
      </c>
    </row>
    <row r="4199" spans="1:5" x14ac:dyDescent="0.25">
      <c r="A4199" t="str">
        <f>"41762600  "</f>
        <v xml:space="preserve">41762600  </v>
      </c>
      <c r="B4199" t="s">
        <v>4024</v>
      </c>
      <c r="C4199">
        <v>196.9</v>
      </c>
      <c r="D4199" t="str">
        <f t="shared" si="191"/>
        <v>250</v>
      </c>
      <c r="E4199" t="str">
        <f>"J1720"</f>
        <v>J1720</v>
      </c>
    </row>
    <row r="4200" spans="1:5" x14ac:dyDescent="0.25">
      <c r="A4200" t="str">
        <f>"41762659  "</f>
        <v xml:space="preserve">41762659  </v>
      </c>
      <c r="B4200" t="s">
        <v>4025</v>
      </c>
      <c r="C4200">
        <v>330</v>
      </c>
      <c r="D4200" t="str">
        <f t="shared" si="191"/>
        <v>250</v>
      </c>
      <c r="E4200" t="str">
        <f>"X6890"</f>
        <v>X6890</v>
      </c>
    </row>
    <row r="4201" spans="1:5" x14ac:dyDescent="0.25">
      <c r="A4201" t="str">
        <f>"41762659  "</f>
        <v xml:space="preserve">41762659  </v>
      </c>
      <c r="B4201" t="s">
        <v>4025</v>
      </c>
      <c r="C4201">
        <v>330</v>
      </c>
      <c r="D4201" t="str">
        <f t="shared" si="191"/>
        <v>250</v>
      </c>
      <c r="E4201" t="str">
        <f>"J1720"</f>
        <v>J1720</v>
      </c>
    </row>
    <row r="4202" spans="1:5" x14ac:dyDescent="0.25">
      <c r="A4202" t="str">
        <f>"41762667  "</f>
        <v xml:space="preserve">41762667  </v>
      </c>
      <c r="B4202" t="s">
        <v>4026</v>
      </c>
      <c r="C4202">
        <v>785.4</v>
      </c>
      <c r="D4202" t="str">
        <f t="shared" si="191"/>
        <v>250</v>
      </c>
      <c r="E4202" t="str">
        <f>"X6888"</f>
        <v>X6888</v>
      </c>
    </row>
    <row r="4203" spans="1:5" x14ac:dyDescent="0.25">
      <c r="A4203" t="str">
        <f>"41762667  "</f>
        <v xml:space="preserve">41762667  </v>
      </c>
      <c r="B4203" t="s">
        <v>4026</v>
      </c>
      <c r="C4203">
        <v>785.4</v>
      </c>
      <c r="D4203" t="str">
        <f t="shared" si="191"/>
        <v>250</v>
      </c>
      <c r="E4203" t="str">
        <f>"J1790"</f>
        <v>J1790</v>
      </c>
    </row>
    <row r="4204" spans="1:5" x14ac:dyDescent="0.25">
      <c r="A4204" t="str">
        <f>"41762675  "</f>
        <v xml:space="preserve">41762675  </v>
      </c>
      <c r="B4204" t="s">
        <v>4027</v>
      </c>
      <c r="C4204">
        <v>234.3</v>
      </c>
      <c r="D4204" t="str">
        <f t="shared" si="191"/>
        <v>250</v>
      </c>
      <c r="E4204" t="str">
        <f>"90779"</f>
        <v>90779</v>
      </c>
    </row>
    <row r="4205" spans="1:5" x14ac:dyDescent="0.25">
      <c r="A4205" t="str">
        <f>"41762675  "</f>
        <v xml:space="preserve">41762675  </v>
      </c>
      <c r="B4205" t="s">
        <v>4027</v>
      </c>
      <c r="C4205">
        <v>234.3</v>
      </c>
      <c r="D4205" t="str">
        <f t="shared" si="191"/>
        <v>250</v>
      </c>
      <c r="E4205" t="str">
        <f>"J1720"</f>
        <v>J1720</v>
      </c>
    </row>
    <row r="4206" spans="1:5" x14ac:dyDescent="0.25">
      <c r="A4206" t="str">
        <f>"41762709  "</f>
        <v xml:space="preserve">41762709  </v>
      </c>
      <c r="B4206" t="s">
        <v>4028</v>
      </c>
      <c r="C4206">
        <v>77</v>
      </c>
      <c r="D4206" t="str">
        <f t="shared" si="191"/>
        <v>250</v>
      </c>
      <c r="E4206" t="str">
        <f>"J2930"</f>
        <v>J2930</v>
      </c>
    </row>
    <row r="4207" spans="1:5" x14ac:dyDescent="0.25">
      <c r="A4207" t="str">
        <f>"41762758  "</f>
        <v xml:space="preserve">41762758  </v>
      </c>
      <c r="B4207" t="s">
        <v>4029</v>
      </c>
      <c r="C4207">
        <v>49.5</v>
      </c>
      <c r="D4207" t="str">
        <f t="shared" si="191"/>
        <v>250</v>
      </c>
      <c r="E4207" t="str">
        <f>"X5554"</f>
        <v>X5554</v>
      </c>
    </row>
    <row r="4208" spans="1:5" x14ac:dyDescent="0.25">
      <c r="A4208" t="str">
        <f>"41762758  "</f>
        <v xml:space="preserve">41762758  </v>
      </c>
      <c r="B4208" t="s">
        <v>4029</v>
      </c>
      <c r="C4208">
        <v>49.5</v>
      </c>
      <c r="D4208" t="str">
        <f t="shared" si="191"/>
        <v>250</v>
      </c>
      <c r="E4208" t="str">
        <f>"J2920"</f>
        <v>J2920</v>
      </c>
    </row>
    <row r="4209" spans="1:5" x14ac:dyDescent="0.25">
      <c r="A4209" t="str">
        <f>"41762808  "</f>
        <v xml:space="preserve">41762808  </v>
      </c>
      <c r="B4209" t="s">
        <v>4030</v>
      </c>
      <c r="C4209">
        <v>309.10000000000002</v>
      </c>
      <c r="D4209" t="str">
        <f t="shared" si="191"/>
        <v>250</v>
      </c>
      <c r="E4209" t="str">
        <f>"J2920"</f>
        <v>J2920</v>
      </c>
    </row>
    <row r="4210" spans="1:5" x14ac:dyDescent="0.25">
      <c r="A4210" t="str">
        <f>"41762816  "</f>
        <v xml:space="preserve">41762816  </v>
      </c>
      <c r="B4210" t="s">
        <v>4031</v>
      </c>
      <c r="C4210">
        <v>242</v>
      </c>
      <c r="D4210" t="str">
        <f t="shared" si="191"/>
        <v>250</v>
      </c>
      <c r="E4210" t="str">
        <f>"J2930"</f>
        <v>J2930</v>
      </c>
    </row>
    <row r="4211" spans="1:5" x14ac:dyDescent="0.25">
      <c r="A4211" t="str">
        <f>"41762857  "</f>
        <v xml:space="preserve">41762857  </v>
      </c>
      <c r="B4211" t="s">
        <v>4032</v>
      </c>
      <c r="C4211">
        <v>35.590000000000003</v>
      </c>
      <c r="D4211" t="str">
        <f t="shared" si="191"/>
        <v>250</v>
      </c>
      <c r="E4211" t="str">
        <f>"J3490"</f>
        <v>J3490</v>
      </c>
    </row>
    <row r="4212" spans="1:5" x14ac:dyDescent="0.25">
      <c r="A4212" t="str">
        <f>"41762865  "</f>
        <v xml:space="preserve">41762865  </v>
      </c>
      <c r="B4212" t="s">
        <v>4033</v>
      </c>
      <c r="C4212">
        <v>6.6</v>
      </c>
      <c r="D4212" t="str">
        <f>"257"</f>
        <v>257</v>
      </c>
    </row>
    <row r="4213" spans="1:5" x14ac:dyDescent="0.25">
      <c r="A4213" t="str">
        <f>"41762907  "</f>
        <v xml:space="preserve">41762907  </v>
      </c>
      <c r="B4213" t="s">
        <v>4034</v>
      </c>
      <c r="C4213">
        <v>29.4</v>
      </c>
      <c r="D4213" t="str">
        <f t="shared" ref="D4213:D4222" si="192">"250"</f>
        <v>250</v>
      </c>
      <c r="E4213" t="str">
        <f>"J3490"</f>
        <v>J3490</v>
      </c>
    </row>
    <row r="4214" spans="1:5" x14ac:dyDescent="0.25">
      <c r="A4214" t="str">
        <f>"41762956  "</f>
        <v xml:space="preserve">41762956  </v>
      </c>
      <c r="B4214" t="s">
        <v>4035</v>
      </c>
      <c r="C4214">
        <v>6.6</v>
      </c>
      <c r="D4214" t="str">
        <f t="shared" si="192"/>
        <v>250</v>
      </c>
      <c r="E4214" t="str">
        <f>"J8499"</f>
        <v>J8499</v>
      </c>
    </row>
    <row r="4215" spans="1:5" x14ac:dyDescent="0.25">
      <c r="A4215" t="str">
        <f>"41763095  "</f>
        <v xml:space="preserve">41763095  </v>
      </c>
      <c r="B4215" t="s">
        <v>4036</v>
      </c>
      <c r="C4215">
        <v>6.6</v>
      </c>
      <c r="D4215" t="str">
        <f t="shared" si="192"/>
        <v>250</v>
      </c>
      <c r="E4215" t="str">
        <f>"J8499"</f>
        <v>J8499</v>
      </c>
    </row>
    <row r="4216" spans="1:5" x14ac:dyDescent="0.25">
      <c r="A4216" t="str">
        <f>"41763323"</f>
        <v>41763323</v>
      </c>
      <c r="B4216" t="s">
        <v>4037</v>
      </c>
      <c r="C4216" s="1">
        <v>1098.9000000000001</v>
      </c>
      <c r="D4216" t="str">
        <f t="shared" si="192"/>
        <v>250</v>
      </c>
    </row>
    <row r="4217" spans="1:5" x14ac:dyDescent="0.25">
      <c r="A4217" t="str">
        <f>"41763509  "</f>
        <v xml:space="preserve">41763509  </v>
      </c>
      <c r="B4217" t="s">
        <v>4038</v>
      </c>
      <c r="C4217" s="1">
        <v>1098.9000000000001</v>
      </c>
      <c r="D4217" t="str">
        <f t="shared" si="192"/>
        <v>250</v>
      </c>
      <c r="E4217" t="str">
        <f>"J8499"</f>
        <v>J8499</v>
      </c>
    </row>
    <row r="4218" spans="1:5" x14ac:dyDescent="0.25">
      <c r="A4218" t="str">
        <f>"41763905  "</f>
        <v xml:space="preserve">41763905  </v>
      </c>
      <c r="B4218" t="s">
        <v>4039</v>
      </c>
      <c r="C4218">
        <v>129.80000000000001</v>
      </c>
      <c r="D4218" t="str">
        <f t="shared" si="192"/>
        <v>250</v>
      </c>
      <c r="E4218" t="str">
        <f>"J8499"</f>
        <v>J8499</v>
      </c>
    </row>
    <row r="4219" spans="1:5" x14ac:dyDescent="0.25">
      <c r="A4219" t="str">
        <f>"41763954  "</f>
        <v xml:space="preserve">41763954  </v>
      </c>
      <c r="B4219" t="s">
        <v>4040</v>
      </c>
      <c r="C4219">
        <v>11</v>
      </c>
      <c r="D4219" t="str">
        <f t="shared" si="192"/>
        <v>250</v>
      </c>
      <c r="E4219" t="str">
        <f>"J8499"</f>
        <v>J8499</v>
      </c>
    </row>
    <row r="4220" spans="1:5" x14ac:dyDescent="0.25">
      <c r="A4220" t="str">
        <f>"41764218  "</f>
        <v xml:space="preserve">41764218  </v>
      </c>
      <c r="B4220" t="s">
        <v>4041</v>
      </c>
      <c r="C4220">
        <v>15.4</v>
      </c>
      <c r="D4220" t="str">
        <f t="shared" si="192"/>
        <v>250</v>
      </c>
      <c r="E4220" t="str">
        <f>"J8499"</f>
        <v>J8499</v>
      </c>
    </row>
    <row r="4221" spans="1:5" x14ac:dyDescent="0.25">
      <c r="A4221" t="str">
        <f>"41764408  "</f>
        <v xml:space="preserve">41764408  </v>
      </c>
      <c r="B4221" t="s">
        <v>4042</v>
      </c>
      <c r="C4221">
        <v>31.9</v>
      </c>
      <c r="D4221" t="str">
        <f t="shared" si="192"/>
        <v>250</v>
      </c>
      <c r="E4221" t="str">
        <f>"J3010"</f>
        <v>J3010</v>
      </c>
    </row>
    <row r="4222" spans="1:5" x14ac:dyDescent="0.25">
      <c r="A4222" t="str">
        <f>"41764408  "</f>
        <v xml:space="preserve">41764408  </v>
      </c>
      <c r="B4222" t="s">
        <v>4042</v>
      </c>
      <c r="C4222">
        <v>31.9</v>
      </c>
      <c r="D4222" t="str">
        <f t="shared" si="192"/>
        <v>250</v>
      </c>
    </row>
    <row r="4223" spans="1:5" x14ac:dyDescent="0.25">
      <c r="A4223" t="str">
        <f>"41764457  "</f>
        <v xml:space="preserve">41764457  </v>
      </c>
      <c r="B4223" t="s">
        <v>4043</v>
      </c>
      <c r="C4223">
        <v>6.6</v>
      </c>
      <c r="D4223" t="str">
        <f>"257"</f>
        <v>257</v>
      </c>
      <c r="E4223" t="str">
        <f>"J3490"</f>
        <v>J3490</v>
      </c>
    </row>
    <row r="4224" spans="1:5" x14ac:dyDescent="0.25">
      <c r="A4224" t="str">
        <f>"41764507  "</f>
        <v xml:space="preserve">41764507  </v>
      </c>
      <c r="B4224" t="s">
        <v>4044</v>
      </c>
      <c r="C4224">
        <v>6.6</v>
      </c>
      <c r="D4224" t="str">
        <f>"257"</f>
        <v>257</v>
      </c>
      <c r="E4224" t="str">
        <f>"J3490"</f>
        <v>J3490</v>
      </c>
    </row>
    <row r="4225" spans="1:5" x14ac:dyDescent="0.25">
      <c r="A4225" t="str">
        <f>"41764515  "</f>
        <v xml:space="preserve">41764515  </v>
      </c>
      <c r="B4225" t="s">
        <v>4045</v>
      </c>
      <c r="C4225">
        <v>7.7</v>
      </c>
      <c r="D4225" t="str">
        <f t="shared" ref="D4225:D4232" si="193">"250"</f>
        <v>250</v>
      </c>
      <c r="E4225" t="str">
        <f>"J3490"</f>
        <v>J3490</v>
      </c>
    </row>
    <row r="4226" spans="1:5" x14ac:dyDescent="0.25">
      <c r="A4226" t="str">
        <f>"41764523  "</f>
        <v xml:space="preserve">41764523  </v>
      </c>
      <c r="B4226" t="s">
        <v>4046</v>
      </c>
      <c r="C4226">
        <v>6.6</v>
      </c>
      <c r="D4226" t="str">
        <f t="shared" si="193"/>
        <v>250</v>
      </c>
      <c r="E4226" t="str">
        <f>"J8499"</f>
        <v>J8499</v>
      </c>
    </row>
    <row r="4227" spans="1:5" x14ac:dyDescent="0.25">
      <c r="A4227" t="str">
        <f>"41764531  "</f>
        <v xml:space="preserve">41764531  </v>
      </c>
      <c r="B4227" t="s">
        <v>4047</v>
      </c>
      <c r="C4227">
        <v>7.7</v>
      </c>
      <c r="D4227" t="str">
        <f t="shared" si="193"/>
        <v>250</v>
      </c>
      <c r="E4227" t="str">
        <f>"J8499"</f>
        <v>J8499</v>
      </c>
    </row>
    <row r="4228" spans="1:5" x14ac:dyDescent="0.25">
      <c r="A4228" t="str">
        <f>"41764556  "</f>
        <v xml:space="preserve">41764556  </v>
      </c>
      <c r="B4228" t="s">
        <v>4048</v>
      </c>
      <c r="C4228">
        <v>8.8000000000000007</v>
      </c>
      <c r="D4228" t="str">
        <f t="shared" si="193"/>
        <v>250</v>
      </c>
      <c r="E4228" t="str">
        <f>"J3490"</f>
        <v>J3490</v>
      </c>
    </row>
    <row r="4229" spans="1:5" x14ac:dyDescent="0.25">
      <c r="A4229" t="str">
        <f>"41764606  "</f>
        <v xml:space="preserve">41764606  </v>
      </c>
      <c r="B4229" t="s">
        <v>4049</v>
      </c>
      <c r="C4229">
        <v>9.9</v>
      </c>
      <c r="D4229" t="str">
        <f t="shared" si="193"/>
        <v>250</v>
      </c>
      <c r="E4229" t="str">
        <f>"J8499"</f>
        <v>J8499</v>
      </c>
    </row>
    <row r="4230" spans="1:5" x14ac:dyDescent="0.25">
      <c r="A4230" t="str">
        <f>"41764655  "</f>
        <v xml:space="preserve">41764655  </v>
      </c>
      <c r="B4230" t="s">
        <v>4050</v>
      </c>
      <c r="C4230">
        <v>45.89</v>
      </c>
      <c r="D4230" t="str">
        <f t="shared" si="193"/>
        <v>250</v>
      </c>
      <c r="E4230" t="str">
        <f>"J3490"</f>
        <v>J3490</v>
      </c>
    </row>
    <row r="4231" spans="1:5" x14ac:dyDescent="0.25">
      <c r="A4231" t="str">
        <f>"41764754  "</f>
        <v xml:space="preserve">41764754  </v>
      </c>
      <c r="B4231" t="s">
        <v>4051</v>
      </c>
      <c r="C4231">
        <v>367.4</v>
      </c>
      <c r="D4231" t="str">
        <f t="shared" si="193"/>
        <v>250</v>
      </c>
      <c r="E4231" t="str">
        <f>"J3490"</f>
        <v>J3490</v>
      </c>
    </row>
    <row r="4232" spans="1:5" x14ac:dyDescent="0.25">
      <c r="A4232" t="str">
        <f>"41764804  "</f>
        <v xml:space="preserve">41764804  </v>
      </c>
      <c r="B4232" t="s">
        <v>4052</v>
      </c>
      <c r="C4232">
        <v>116.6</v>
      </c>
      <c r="D4232" t="str">
        <f t="shared" si="193"/>
        <v>250</v>
      </c>
      <c r="E4232" t="str">
        <f>"J3490"</f>
        <v>J3490</v>
      </c>
    </row>
    <row r="4233" spans="1:5" x14ac:dyDescent="0.25">
      <c r="A4233" t="str">
        <f>"41764812  "</f>
        <v xml:space="preserve">41764812  </v>
      </c>
      <c r="B4233" t="s">
        <v>4053</v>
      </c>
      <c r="C4233">
        <v>11</v>
      </c>
      <c r="D4233" t="str">
        <f>"257"</f>
        <v>257</v>
      </c>
      <c r="E4233" t="str">
        <f>"J3490"</f>
        <v>J3490</v>
      </c>
    </row>
    <row r="4234" spans="1:5" x14ac:dyDescent="0.25">
      <c r="A4234" t="str">
        <f>"41764853  "</f>
        <v xml:space="preserve">41764853  </v>
      </c>
      <c r="B4234" t="s">
        <v>4054</v>
      </c>
      <c r="C4234">
        <v>6.6</v>
      </c>
      <c r="D4234" t="str">
        <f>"250"</f>
        <v>250</v>
      </c>
      <c r="E4234" t="str">
        <f>"J3490"</f>
        <v>J3490</v>
      </c>
    </row>
    <row r="4235" spans="1:5" x14ac:dyDescent="0.25">
      <c r="A4235" t="str">
        <f>"41765116  "</f>
        <v xml:space="preserve">41765116  </v>
      </c>
      <c r="B4235" t="s">
        <v>4055</v>
      </c>
      <c r="C4235">
        <v>49.5</v>
      </c>
      <c r="D4235" t="str">
        <f>"250"</f>
        <v>250</v>
      </c>
      <c r="E4235" t="str">
        <f>"J8499"</f>
        <v>J8499</v>
      </c>
    </row>
    <row r="4236" spans="1:5" x14ac:dyDescent="0.25">
      <c r="A4236" t="str">
        <f>"41765173  "</f>
        <v xml:space="preserve">41765173  </v>
      </c>
      <c r="B4236" t="s">
        <v>4056</v>
      </c>
      <c r="C4236">
        <v>16.5</v>
      </c>
      <c r="D4236" t="str">
        <f>"257"</f>
        <v>257</v>
      </c>
      <c r="E4236" t="str">
        <f>"J3490"</f>
        <v>J3490</v>
      </c>
    </row>
    <row r="4237" spans="1:5" x14ac:dyDescent="0.25">
      <c r="A4237" t="str">
        <f>"41765181  "</f>
        <v xml:space="preserve">41765181  </v>
      </c>
      <c r="B4237" t="s">
        <v>4057</v>
      </c>
      <c r="C4237">
        <v>16.5</v>
      </c>
      <c r="D4237" t="str">
        <f t="shared" ref="D4237:D4267" si="194">"250"</f>
        <v>250</v>
      </c>
      <c r="E4237" t="str">
        <f>"J8499"</f>
        <v>J8499</v>
      </c>
    </row>
    <row r="4238" spans="1:5" x14ac:dyDescent="0.25">
      <c r="A4238" t="str">
        <f>"41765207  "</f>
        <v xml:space="preserve">41765207  </v>
      </c>
      <c r="B4238" t="s">
        <v>4058</v>
      </c>
      <c r="C4238">
        <v>6.6</v>
      </c>
      <c r="D4238" t="str">
        <f t="shared" si="194"/>
        <v>250</v>
      </c>
      <c r="E4238" t="str">
        <f>"J8499"</f>
        <v>J8499</v>
      </c>
    </row>
    <row r="4239" spans="1:5" x14ac:dyDescent="0.25">
      <c r="A4239" t="str">
        <f>"41765256  "</f>
        <v xml:space="preserve">41765256  </v>
      </c>
      <c r="B4239" t="s">
        <v>4059</v>
      </c>
      <c r="C4239">
        <v>297</v>
      </c>
      <c r="D4239" t="str">
        <f t="shared" si="194"/>
        <v>250</v>
      </c>
      <c r="E4239" t="str">
        <f>"J3490"</f>
        <v>J3490</v>
      </c>
    </row>
    <row r="4240" spans="1:5" x14ac:dyDescent="0.25">
      <c r="A4240" t="str">
        <f>"41765306  "</f>
        <v xml:space="preserve">41765306  </v>
      </c>
      <c r="B4240" t="s">
        <v>4060</v>
      </c>
      <c r="C4240">
        <v>231</v>
      </c>
      <c r="D4240" t="str">
        <f t="shared" si="194"/>
        <v>250</v>
      </c>
      <c r="E4240" t="str">
        <f>"J3490"</f>
        <v>J3490</v>
      </c>
    </row>
    <row r="4241" spans="1:5" x14ac:dyDescent="0.25">
      <c r="A4241" t="str">
        <f>"41765355  "</f>
        <v xml:space="preserve">41765355  </v>
      </c>
      <c r="B4241" t="s">
        <v>4061</v>
      </c>
      <c r="C4241">
        <v>7.15</v>
      </c>
      <c r="D4241" t="str">
        <f t="shared" si="194"/>
        <v>250</v>
      </c>
      <c r="E4241" t="str">
        <f>"J8499"</f>
        <v>J8499</v>
      </c>
    </row>
    <row r="4242" spans="1:5" x14ac:dyDescent="0.25">
      <c r="A4242" t="str">
        <f>"41765363  "</f>
        <v xml:space="preserve">41765363  </v>
      </c>
      <c r="B4242" t="s">
        <v>4062</v>
      </c>
      <c r="C4242">
        <v>70.400000000000006</v>
      </c>
      <c r="D4242" t="str">
        <f t="shared" si="194"/>
        <v>250</v>
      </c>
      <c r="E4242" t="str">
        <f>"J3490"</f>
        <v>J3490</v>
      </c>
    </row>
    <row r="4243" spans="1:5" x14ac:dyDescent="0.25">
      <c r="A4243" t="str">
        <f>"41765405  "</f>
        <v xml:space="preserve">41765405  </v>
      </c>
      <c r="B4243" t="s">
        <v>4063</v>
      </c>
      <c r="C4243">
        <v>11.55</v>
      </c>
      <c r="D4243" t="str">
        <f t="shared" si="194"/>
        <v>250</v>
      </c>
      <c r="E4243" t="str">
        <f>"J8499"</f>
        <v>J8499</v>
      </c>
    </row>
    <row r="4244" spans="1:5" x14ac:dyDescent="0.25">
      <c r="A4244" t="str">
        <f>"41765412"</f>
        <v>41765412</v>
      </c>
      <c r="B4244" t="s">
        <v>4064</v>
      </c>
      <c r="C4244">
        <v>27.39</v>
      </c>
      <c r="D4244" t="str">
        <f t="shared" si="194"/>
        <v>250</v>
      </c>
    </row>
    <row r="4245" spans="1:5" x14ac:dyDescent="0.25">
      <c r="A4245" t="str">
        <f>"41765413  "</f>
        <v xml:space="preserve">41765413  </v>
      </c>
      <c r="B4245" t="s">
        <v>4065</v>
      </c>
      <c r="C4245">
        <v>11</v>
      </c>
      <c r="D4245" t="str">
        <f t="shared" si="194"/>
        <v>250</v>
      </c>
      <c r="E4245" t="str">
        <f>"J8499"</f>
        <v>J8499</v>
      </c>
    </row>
    <row r="4246" spans="1:5" x14ac:dyDescent="0.25">
      <c r="A4246" t="str">
        <f>"41765421  "</f>
        <v xml:space="preserve">41765421  </v>
      </c>
      <c r="B4246" t="s">
        <v>4066</v>
      </c>
      <c r="C4246">
        <v>6.6</v>
      </c>
      <c r="D4246" t="str">
        <f t="shared" si="194"/>
        <v>250</v>
      </c>
      <c r="E4246" t="str">
        <f>"Q0175"</f>
        <v>Q0175</v>
      </c>
    </row>
    <row r="4247" spans="1:5" x14ac:dyDescent="0.25">
      <c r="A4247" t="str">
        <f>"41765432"</f>
        <v>41765432</v>
      </c>
      <c r="B4247" t="s">
        <v>4067</v>
      </c>
      <c r="C4247">
        <v>88</v>
      </c>
      <c r="D4247" t="str">
        <f t="shared" si="194"/>
        <v>250</v>
      </c>
      <c r="E4247" t="str">
        <f>"J0692"</f>
        <v>J0692</v>
      </c>
    </row>
    <row r="4248" spans="1:5" x14ac:dyDescent="0.25">
      <c r="A4248" t="str">
        <f>"41765603  "</f>
        <v xml:space="preserve">41765603  </v>
      </c>
      <c r="B4248" t="s">
        <v>4068</v>
      </c>
      <c r="C4248" s="1">
        <v>1099.99</v>
      </c>
      <c r="D4248" t="str">
        <f t="shared" si="194"/>
        <v>250</v>
      </c>
      <c r="E4248" t="str">
        <f>"90779"</f>
        <v>90779</v>
      </c>
    </row>
    <row r="4249" spans="1:5" x14ac:dyDescent="0.25">
      <c r="A4249" t="str">
        <f>"41765603  "</f>
        <v xml:space="preserve">41765603  </v>
      </c>
      <c r="B4249" t="s">
        <v>4068</v>
      </c>
      <c r="C4249" s="1">
        <v>1099.99</v>
      </c>
      <c r="D4249" t="str">
        <f t="shared" si="194"/>
        <v>250</v>
      </c>
      <c r="E4249" t="str">
        <f>"J8499"</f>
        <v>J8499</v>
      </c>
    </row>
    <row r="4250" spans="1:5" x14ac:dyDescent="0.25">
      <c r="A4250" t="str">
        <f>"41765637  "</f>
        <v xml:space="preserve">41765637  </v>
      </c>
      <c r="B4250" t="s">
        <v>4069</v>
      </c>
      <c r="C4250">
        <v>10.45</v>
      </c>
      <c r="D4250" t="str">
        <f t="shared" si="194"/>
        <v>250</v>
      </c>
      <c r="E4250" t="str">
        <f>"J8499"</f>
        <v>J8499</v>
      </c>
    </row>
    <row r="4251" spans="1:5" x14ac:dyDescent="0.25">
      <c r="A4251" t="str">
        <f>"41765751  "</f>
        <v xml:space="preserve">41765751  </v>
      </c>
      <c r="B4251" t="s">
        <v>4070</v>
      </c>
      <c r="C4251">
        <v>8.8000000000000007</v>
      </c>
      <c r="D4251" t="str">
        <f t="shared" si="194"/>
        <v>250</v>
      </c>
      <c r="E4251" t="str">
        <f>"J8499"</f>
        <v>J8499</v>
      </c>
    </row>
    <row r="4252" spans="1:5" x14ac:dyDescent="0.25">
      <c r="A4252" t="str">
        <f>"41766001"</f>
        <v>41766001</v>
      </c>
      <c r="B4252" t="s">
        <v>4071</v>
      </c>
      <c r="C4252">
        <v>57.2</v>
      </c>
      <c r="D4252" t="str">
        <f t="shared" si="194"/>
        <v>250</v>
      </c>
    </row>
    <row r="4253" spans="1:5" x14ac:dyDescent="0.25">
      <c r="A4253" t="str">
        <f>"41766007  "</f>
        <v xml:space="preserve">41766007  </v>
      </c>
      <c r="B4253" t="s">
        <v>4072</v>
      </c>
      <c r="C4253">
        <v>49.5</v>
      </c>
      <c r="D4253" t="str">
        <f t="shared" si="194"/>
        <v>250</v>
      </c>
      <c r="E4253" t="str">
        <f>"90779"</f>
        <v>90779</v>
      </c>
    </row>
    <row r="4254" spans="1:5" x14ac:dyDescent="0.25">
      <c r="A4254" t="str">
        <f>"41766007  "</f>
        <v xml:space="preserve">41766007  </v>
      </c>
      <c r="B4254" t="s">
        <v>4072</v>
      </c>
      <c r="C4254">
        <v>49.5</v>
      </c>
      <c r="D4254" t="str">
        <f t="shared" si="194"/>
        <v>250</v>
      </c>
      <c r="E4254" t="str">
        <f>"J3490"</f>
        <v>J3490</v>
      </c>
    </row>
    <row r="4255" spans="1:5" x14ac:dyDescent="0.25">
      <c r="A4255" t="str">
        <f>"41766056  "</f>
        <v xml:space="preserve">41766056  </v>
      </c>
      <c r="B4255" t="s">
        <v>4073</v>
      </c>
      <c r="C4255">
        <v>6.6</v>
      </c>
      <c r="D4255" t="str">
        <f t="shared" si="194"/>
        <v>250</v>
      </c>
      <c r="E4255" t="str">
        <f>"J8499"</f>
        <v>J8499</v>
      </c>
    </row>
    <row r="4256" spans="1:5" x14ac:dyDescent="0.25">
      <c r="A4256" t="str">
        <f>"41766064  "</f>
        <v xml:space="preserve">41766064  </v>
      </c>
      <c r="B4256" t="s">
        <v>4074</v>
      </c>
      <c r="C4256">
        <v>11</v>
      </c>
      <c r="D4256" t="str">
        <f t="shared" si="194"/>
        <v>250</v>
      </c>
      <c r="E4256" t="str">
        <f>"J8499"</f>
        <v>J8499</v>
      </c>
    </row>
    <row r="4257" spans="1:5" x14ac:dyDescent="0.25">
      <c r="A4257" t="str">
        <f>"41766296  "</f>
        <v xml:space="preserve">41766296  </v>
      </c>
      <c r="B4257" t="s">
        <v>4075</v>
      </c>
      <c r="C4257">
        <v>6.6</v>
      </c>
      <c r="D4257" t="str">
        <f t="shared" si="194"/>
        <v>250</v>
      </c>
      <c r="E4257" t="str">
        <f>"J8499"</f>
        <v>J8499</v>
      </c>
    </row>
    <row r="4258" spans="1:5" x14ac:dyDescent="0.25">
      <c r="A4258" t="str">
        <f>"41766432"</f>
        <v>41766432</v>
      </c>
      <c r="B4258" t="s">
        <v>4076</v>
      </c>
      <c r="C4258">
        <v>110</v>
      </c>
      <c r="D4258" t="str">
        <f t="shared" si="194"/>
        <v>250</v>
      </c>
    </row>
    <row r="4259" spans="1:5" x14ac:dyDescent="0.25">
      <c r="A4259" t="str">
        <f>"41766569  "</f>
        <v xml:space="preserve">41766569  </v>
      </c>
      <c r="B4259" t="s">
        <v>4077</v>
      </c>
      <c r="C4259">
        <v>8.8000000000000007</v>
      </c>
      <c r="D4259" t="str">
        <f t="shared" si="194"/>
        <v>250</v>
      </c>
      <c r="E4259" t="str">
        <f>"J8499"</f>
        <v>J8499</v>
      </c>
    </row>
    <row r="4260" spans="1:5" x14ac:dyDescent="0.25">
      <c r="A4260" t="str">
        <f>"41766601  "</f>
        <v xml:space="preserve">41766601  </v>
      </c>
      <c r="B4260" t="s">
        <v>4078</v>
      </c>
      <c r="C4260">
        <v>6.6</v>
      </c>
      <c r="D4260" t="str">
        <f t="shared" si="194"/>
        <v>250</v>
      </c>
      <c r="E4260" t="str">
        <f>"J8499"</f>
        <v>J8499</v>
      </c>
    </row>
    <row r="4261" spans="1:5" x14ac:dyDescent="0.25">
      <c r="A4261" t="str">
        <f>"41766650  "</f>
        <v xml:space="preserve">41766650  </v>
      </c>
      <c r="B4261" t="s">
        <v>4079</v>
      </c>
      <c r="C4261">
        <v>6.6</v>
      </c>
      <c r="D4261" t="str">
        <f t="shared" si="194"/>
        <v>250</v>
      </c>
      <c r="E4261" t="str">
        <f>"J8499"</f>
        <v>J8499</v>
      </c>
    </row>
    <row r="4262" spans="1:5" x14ac:dyDescent="0.25">
      <c r="A4262" t="str">
        <f>"41766957  "</f>
        <v xml:space="preserve">41766957  </v>
      </c>
      <c r="B4262" t="s">
        <v>4080</v>
      </c>
      <c r="C4262">
        <v>7.7</v>
      </c>
      <c r="D4262" t="str">
        <f t="shared" si="194"/>
        <v>250</v>
      </c>
      <c r="E4262" t="str">
        <f>"J8499"</f>
        <v>J8499</v>
      </c>
    </row>
    <row r="4263" spans="1:5" x14ac:dyDescent="0.25">
      <c r="A4263" t="str">
        <f>"41766965  "</f>
        <v xml:space="preserve">41766965  </v>
      </c>
      <c r="B4263" t="s">
        <v>4081</v>
      </c>
      <c r="C4263">
        <v>11</v>
      </c>
      <c r="D4263" t="str">
        <f t="shared" si="194"/>
        <v>250</v>
      </c>
      <c r="E4263" t="str">
        <f>"J8499"</f>
        <v>J8499</v>
      </c>
    </row>
    <row r="4264" spans="1:5" x14ac:dyDescent="0.25">
      <c r="A4264" t="str">
        <f>"41766973  "</f>
        <v xml:space="preserve">41766973  </v>
      </c>
      <c r="B4264" t="s">
        <v>4082</v>
      </c>
      <c r="C4264">
        <v>34.1</v>
      </c>
      <c r="D4264" t="str">
        <f t="shared" si="194"/>
        <v>250</v>
      </c>
      <c r="E4264" t="str">
        <f>"X6146"</f>
        <v>X6146</v>
      </c>
    </row>
    <row r="4265" spans="1:5" x14ac:dyDescent="0.25">
      <c r="A4265" t="str">
        <f>"41766973  "</f>
        <v xml:space="preserve">41766973  </v>
      </c>
      <c r="B4265" t="s">
        <v>4082</v>
      </c>
      <c r="C4265">
        <v>34.1</v>
      </c>
      <c r="D4265" t="str">
        <f t="shared" si="194"/>
        <v>250</v>
      </c>
      <c r="E4265" t="str">
        <f>"J3490"</f>
        <v>J3490</v>
      </c>
    </row>
    <row r="4266" spans="1:5" x14ac:dyDescent="0.25">
      <c r="A4266" t="str">
        <f>"41767153  "</f>
        <v xml:space="preserve">41767153  </v>
      </c>
      <c r="B4266" t="s">
        <v>4083</v>
      </c>
      <c r="C4266">
        <v>9.9</v>
      </c>
      <c r="D4266" t="str">
        <f t="shared" si="194"/>
        <v>250</v>
      </c>
      <c r="E4266" t="str">
        <f>"J8499"</f>
        <v>J8499</v>
      </c>
    </row>
    <row r="4267" spans="1:5" x14ac:dyDescent="0.25">
      <c r="A4267" t="str">
        <f>"41767310  "</f>
        <v xml:space="preserve">41767310  </v>
      </c>
      <c r="B4267" t="s">
        <v>4084</v>
      </c>
      <c r="C4267">
        <v>9.9</v>
      </c>
      <c r="D4267" t="str">
        <f t="shared" si="194"/>
        <v>250</v>
      </c>
      <c r="E4267" t="str">
        <f>"J8499"</f>
        <v>J8499</v>
      </c>
    </row>
    <row r="4268" spans="1:5" x14ac:dyDescent="0.25">
      <c r="A4268" t="str">
        <f>"41767369  "</f>
        <v xml:space="preserve">41767369  </v>
      </c>
      <c r="B4268" t="s">
        <v>4085</v>
      </c>
      <c r="C4268">
        <v>12.1</v>
      </c>
      <c r="D4268" t="str">
        <f>"257"</f>
        <v>257</v>
      </c>
      <c r="E4268" t="str">
        <f>"J3490"</f>
        <v>J3490</v>
      </c>
    </row>
    <row r="4269" spans="1:5" x14ac:dyDescent="0.25">
      <c r="A4269" t="str">
        <f>"41767377  "</f>
        <v xml:space="preserve">41767377  </v>
      </c>
      <c r="B4269" t="s">
        <v>4086</v>
      </c>
      <c r="C4269">
        <v>9.9</v>
      </c>
      <c r="D4269" t="str">
        <f t="shared" ref="D4269:D4285" si="195">"250"</f>
        <v>250</v>
      </c>
      <c r="E4269" t="str">
        <f>"J8499"</f>
        <v>J8499</v>
      </c>
    </row>
    <row r="4270" spans="1:5" x14ac:dyDescent="0.25">
      <c r="A4270" t="str">
        <f>"41767419  "</f>
        <v xml:space="preserve">41767419  </v>
      </c>
      <c r="B4270" t="s">
        <v>4087</v>
      </c>
      <c r="C4270">
        <v>9.9</v>
      </c>
      <c r="D4270" t="str">
        <f t="shared" si="195"/>
        <v>250</v>
      </c>
      <c r="E4270" t="str">
        <f>"J8499"</f>
        <v>J8499</v>
      </c>
    </row>
    <row r="4271" spans="1:5" x14ac:dyDescent="0.25">
      <c r="A4271" t="str">
        <f>"41767757  "</f>
        <v xml:space="preserve">41767757  </v>
      </c>
      <c r="B4271" t="s">
        <v>4088</v>
      </c>
      <c r="C4271">
        <v>8.8000000000000007</v>
      </c>
      <c r="D4271" t="str">
        <f t="shared" si="195"/>
        <v>250</v>
      </c>
      <c r="E4271" t="str">
        <f>"J8499"</f>
        <v>J8499</v>
      </c>
    </row>
    <row r="4272" spans="1:5" x14ac:dyDescent="0.25">
      <c r="A4272" t="str">
        <f>"41767955  "</f>
        <v xml:space="preserve">41767955  </v>
      </c>
      <c r="B4272" t="s">
        <v>4089</v>
      </c>
      <c r="C4272">
        <v>343.2</v>
      </c>
      <c r="D4272" t="str">
        <f t="shared" si="195"/>
        <v>250</v>
      </c>
      <c r="E4272" t="str">
        <f>"X6954"</f>
        <v>X6954</v>
      </c>
    </row>
    <row r="4273" spans="1:5" x14ac:dyDescent="0.25">
      <c r="A4273" t="str">
        <f>"41767955  "</f>
        <v xml:space="preserve">41767955  </v>
      </c>
      <c r="B4273" t="s">
        <v>4089</v>
      </c>
      <c r="C4273">
        <v>343.2</v>
      </c>
      <c r="D4273" t="str">
        <f t="shared" si="195"/>
        <v>250</v>
      </c>
      <c r="E4273" t="str">
        <f>"J1670"</f>
        <v>J1670</v>
      </c>
    </row>
    <row r="4274" spans="1:5" x14ac:dyDescent="0.25">
      <c r="A4274" t="str">
        <f>"41767963  "</f>
        <v xml:space="preserve">41767963  </v>
      </c>
      <c r="B4274" t="s">
        <v>4090</v>
      </c>
      <c r="C4274">
        <v>113.3</v>
      </c>
      <c r="D4274" t="str">
        <f t="shared" si="195"/>
        <v>250</v>
      </c>
      <c r="E4274" t="str">
        <f>"X5676"</f>
        <v>X5676</v>
      </c>
    </row>
    <row r="4275" spans="1:5" x14ac:dyDescent="0.25">
      <c r="A4275" t="str">
        <f>"41767963  "</f>
        <v xml:space="preserve">41767963  </v>
      </c>
      <c r="B4275" t="s">
        <v>4090</v>
      </c>
      <c r="C4275">
        <v>113.3</v>
      </c>
      <c r="D4275" t="str">
        <f t="shared" si="195"/>
        <v>250</v>
      </c>
      <c r="E4275" t="str">
        <f>"J1670"</f>
        <v>J1670</v>
      </c>
    </row>
    <row r="4276" spans="1:5" x14ac:dyDescent="0.25">
      <c r="A4276" t="str">
        <f>"41768102  "</f>
        <v xml:space="preserve">41768102  </v>
      </c>
      <c r="B4276" t="s">
        <v>4091</v>
      </c>
      <c r="C4276">
        <v>6.6</v>
      </c>
      <c r="D4276" t="str">
        <f t="shared" si="195"/>
        <v>250</v>
      </c>
      <c r="E4276" t="str">
        <f>"X5502"</f>
        <v>X5502</v>
      </c>
    </row>
    <row r="4277" spans="1:5" x14ac:dyDescent="0.25">
      <c r="A4277" t="str">
        <f>"41768102  "</f>
        <v xml:space="preserve">41768102  </v>
      </c>
      <c r="B4277" t="s">
        <v>4091</v>
      </c>
      <c r="C4277">
        <v>6.6</v>
      </c>
      <c r="D4277" t="str">
        <f t="shared" si="195"/>
        <v>250</v>
      </c>
      <c r="E4277" t="str">
        <f>"J8499"</f>
        <v>J8499</v>
      </c>
    </row>
    <row r="4278" spans="1:5" x14ac:dyDescent="0.25">
      <c r="A4278" t="str">
        <f>"41768110  "</f>
        <v xml:space="preserve">41768110  </v>
      </c>
      <c r="B4278" t="s">
        <v>4092</v>
      </c>
      <c r="C4278">
        <v>342.43</v>
      </c>
      <c r="D4278" t="str">
        <f t="shared" si="195"/>
        <v>250</v>
      </c>
    </row>
    <row r="4279" spans="1:5" x14ac:dyDescent="0.25">
      <c r="A4279" t="str">
        <f>"41768201  "</f>
        <v xml:space="preserve">41768201  </v>
      </c>
      <c r="B4279" t="s">
        <v>4093</v>
      </c>
      <c r="C4279">
        <v>8.8000000000000007</v>
      </c>
      <c r="D4279" t="str">
        <f t="shared" si="195"/>
        <v>250</v>
      </c>
      <c r="E4279" t="str">
        <f>"X5506"</f>
        <v>X5506</v>
      </c>
    </row>
    <row r="4280" spans="1:5" x14ac:dyDescent="0.25">
      <c r="A4280" t="str">
        <f>"41768201  "</f>
        <v xml:space="preserve">41768201  </v>
      </c>
      <c r="B4280" t="s">
        <v>4093</v>
      </c>
      <c r="C4280">
        <v>8.8000000000000007</v>
      </c>
      <c r="D4280" t="str">
        <f t="shared" si="195"/>
        <v>250</v>
      </c>
      <c r="E4280" t="str">
        <f>"J8499"</f>
        <v>J8499</v>
      </c>
    </row>
    <row r="4281" spans="1:5" x14ac:dyDescent="0.25">
      <c r="A4281" t="str">
        <f>"41768219  "</f>
        <v xml:space="preserve">41768219  </v>
      </c>
      <c r="B4281" t="s">
        <v>4094</v>
      </c>
      <c r="C4281">
        <v>18.7</v>
      </c>
      <c r="D4281" t="str">
        <f t="shared" si="195"/>
        <v>250</v>
      </c>
      <c r="E4281" t="str">
        <f>"J3490"</f>
        <v>J3490</v>
      </c>
    </row>
    <row r="4282" spans="1:5" x14ac:dyDescent="0.25">
      <c r="A4282" t="str">
        <f>"41768342  "</f>
        <v xml:space="preserve">41768342  </v>
      </c>
      <c r="B4282" t="s">
        <v>4095</v>
      </c>
      <c r="C4282">
        <v>38.5</v>
      </c>
      <c r="D4282" t="str">
        <f t="shared" si="195"/>
        <v>250</v>
      </c>
      <c r="E4282" t="str">
        <f>"X5790"</f>
        <v>X5790</v>
      </c>
    </row>
    <row r="4283" spans="1:5" x14ac:dyDescent="0.25">
      <c r="A4283" t="str">
        <f>"41768342  "</f>
        <v xml:space="preserve">41768342  </v>
      </c>
      <c r="B4283" t="s">
        <v>4095</v>
      </c>
      <c r="C4283">
        <v>38.5</v>
      </c>
      <c r="D4283" t="str">
        <f t="shared" si="195"/>
        <v>250</v>
      </c>
      <c r="E4283" t="str">
        <f>"J3490"</f>
        <v>J3490</v>
      </c>
    </row>
    <row r="4284" spans="1:5" x14ac:dyDescent="0.25">
      <c r="A4284" t="str">
        <f>"41768508  "</f>
        <v xml:space="preserve">41768508  </v>
      </c>
      <c r="B4284" t="s">
        <v>4096</v>
      </c>
      <c r="C4284">
        <v>28.6</v>
      </c>
      <c r="D4284" t="str">
        <f t="shared" si="195"/>
        <v>250</v>
      </c>
      <c r="E4284" t="str">
        <f>"J8499"</f>
        <v>J8499</v>
      </c>
    </row>
    <row r="4285" spans="1:5" x14ac:dyDescent="0.25">
      <c r="A4285" t="str">
        <f>"41768516  "</f>
        <v xml:space="preserve">41768516  </v>
      </c>
      <c r="B4285" t="s">
        <v>4097</v>
      </c>
      <c r="C4285">
        <v>11</v>
      </c>
      <c r="D4285" t="str">
        <f t="shared" si="195"/>
        <v>250</v>
      </c>
      <c r="E4285" t="str">
        <f t="shared" ref="E4285:E4292" si="196">"J3490"</f>
        <v>J3490</v>
      </c>
    </row>
    <row r="4286" spans="1:5" x14ac:dyDescent="0.25">
      <c r="A4286" t="str">
        <f>"41768607  "</f>
        <v xml:space="preserve">41768607  </v>
      </c>
      <c r="B4286" t="s">
        <v>4098</v>
      </c>
      <c r="C4286">
        <v>6.6</v>
      </c>
      <c r="D4286" t="str">
        <f>"257"</f>
        <v>257</v>
      </c>
      <c r="E4286" t="str">
        <f t="shared" si="196"/>
        <v>J3490</v>
      </c>
    </row>
    <row r="4287" spans="1:5" x14ac:dyDescent="0.25">
      <c r="A4287" t="str">
        <f>"41768623  "</f>
        <v xml:space="preserve">41768623  </v>
      </c>
      <c r="B4287" t="s">
        <v>4099</v>
      </c>
      <c r="C4287">
        <v>6.6</v>
      </c>
      <c r="D4287" t="str">
        <f>"257"</f>
        <v>257</v>
      </c>
      <c r="E4287" t="str">
        <f t="shared" si="196"/>
        <v>J3490</v>
      </c>
    </row>
    <row r="4288" spans="1:5" x14ac:dyDescent="0.25">
      <c r="A4288" t="str">
        <f>"41768706  "</f>
        <v xml:space="preserve">41768706  </v>
      </c>
      <c r="B4288" t="s">
        <v>4100</v>
      </c>
      <c r="C4288">
        <v>6.6</v>
      </c>
      <c r="D4288" t="str">
        <f>"257"</f>
        <v>257</v>
      </c>
      <c r="E4288" t="str">
        <f t="shared" si="196"/>
        <v>J3490</v>
      </c>
    </row>
    <row r="4289" spans="1:5" x14ac:dyDescent="0.25">
      <c r="A4289" t="str">
        <f>"41768714  "</f>
        <v xml:space="preserve">41768714  </v>
      </c>
      <c r="B4289" t="s">
        <v>4101</v>
      </c>
      <c r="C4289">
        <v>53.9</v>
      </c>
      <c r="D4289" t="str">
        <f>"250"</f>
        <v>250</v>
      </c>
      <c r="E4289" t="str">
        <f t="shared" si="196"/>
        <v>J3490</v>
      </c>
    </row>
    <row r="4290" spans="1:5" x14ac:dyDescent="0.25">
      <c r="A4290" t="str">
        <f>"41768730  "</f>
        <v xml:space="preserve">41768730  </v>
      </c>
      <c r="B4290" t="s">
        <v>4102</v>
      </c>
      <c r="C4290">
        <v>82.5</v>
      </c>
      <c r="D4290" t="str">
        <f>"250"</f>
        <v>250</v>
      </c>
      <c r="E4290" t="str">
        <f t="shared" si="196"/>
        <v>J3490</v>
      </c>
    </row>
    <row r="4291" spans="1:5" x14ac:dyDescent="0.25">
      <c r="A4291" t="str">
        <f>"41768805  "</f>
        <v xml:space="preserve">41768805  </v>
      </c>
      <c r="B4291" t="s">
        <v>4103</v>
      </c>
      <c r="C4291">
        <v>79.2</v>
      </c>
      <c r="D4291" t="str">
        <f>"250"</f>
        <v>250</v>
      </c>
      <c r="E4291" t="str">
        <f t="shared" si="196"/>
        <v>J3490</v>
      </c>
    </row>
    <row r="4292" spans="1:5" x14ac:dyDescent="0.25">
      <c r="A4292" t="str">
        <f>"41768854  "</f>
        <v xml:space="preserve">41768854  </v>
      </c>
      <c r="B4292" t="s">
        <v>4104</v>
      </c>
      <c r="C4292">
        <v>99</v>
      </c>
      <c r="D4292" t="str">
        <f>"250"</f>
        <v>250</v>
      </c>
      <c r="E4292" t="str">
        <f t="shared" si="196"/>
        <v>J3490</v>
      </c>
    </row>
    <row r="4293" spans="1:5" x14ac:dyDescent="0.25">
      <c r="A4293" t="str">
        <f>"41769001"</f>
        <v>41769001</v>
      </c>
      <c r="B4293" t="s">
        <v>4105</v>
      </c>
      <c r="C4293">
        <v>45.1</v>
      </c>
      <c r="D4293" t="str">
        <f>"250"</f>
        <v>250</v>
      </c>
    </row>
    <row r="4294" spans="1:5" x14ac:dyDescent="0.25">
      <c r="A4294" t="str">
        <f>"41769019"</f>
        <v>41769019</v>
      </c>
      <c r="B4294" t="s">
        <v>4106</v>
      </c>
      <c r="C4294">
        <v>45.1</v>
      </c>
      <c r="D4294" t="str">
        <f>"250       "</f>
        <v xml:space="preserve">250       </v>
      </c>
    </row>
    <row r="4295" spans="1:5" x14ac:dyDescent="0.25">
      <c r="A4295" t="str">
        <f>"41769050  "</f>
        <v xml:space="preserve">41769050  </v>
      </c>
      <c r="B4295" t="s">
        <v>4107</v>
      </c>
      <c r="C4295">
        <v>22</v>
      </c>
      <c r="D4295" t="str">
        <f t="shared" ref="D4295:D4324" si="197">"250"</f>
        <v>250</v>
      </c>
      <c r="E4295" t="str">
        <f>"J3490"</f>
        <v>J3490</v>
      </c>
    </row>
    <row r="4296" spans="1:5" x14ac:dyDescent="0.25">
      <c r="A4296" t="str">
        <f>"41769159  "</f>
        <v xml:space="preserve">41769159  </v>
      </c>
      <c r="B4296" t="s">
        <v>4108</v>
      </c>
      <c r="C4296">
        <v>238.7</v>
      </c>
      <c r="D4296" t="str">
        <f t="shared" si="197"/>
        <v>250</v>
      </c>
    </row>
    <row r="4297" spans="1:5" x14ac:dyDescent="0.25">
      <c r="A4297" t="str">
        <f>"41769167  "</f>
        <v xml:space="preserve">41769167  </v>
      </c>
      <c r="B4297" t="s">
        <v>4109</v>
      </c>
      <c r="C4297">
        <v>44</v>
      </c>
      <c r="D4297" t="str">
        <f t="shared" si="197"/>
        <v>250</v>
      </c>
    </row>
    <row r="4298" spans="1:5" x14ac:dyDescent="0.25">
      <c r="A4298" t="str">
        <f>"41769209  "</f>
        <v xml:space="preserve">41769209  </v>
      </c>
      <c r="B4298" t="s">
        <v>4110</v>
      </c>
      <c r="C4298">
        <v>43.89</v>
      </c>
      <c r="D4298" t="str">
        <f t="shared" si="197"/>
        <v>250</v>
      </c>
      <c r="E4298" t="str">
        <f>"J3490"</f>
        <v>J3490</v>
      </c>
    </row>
    <row r="4299" spans="1:5" x14ac:dyDescent="0.25">
      <c r="A4299" t="str">
        <f>"41769365  "</f>
        <v xml:space="preserve">41769365  </v>
      </c>
      <c r="B4299" t="s">
        <v>4111</v>
      </c>
      <c r="C4299">
        <v>7.48</v>
      </c>
      <c r="D4299" t="str">
        <f t="shared" si="197"/>
        <v>250</v>
      </c>
      <c r="E4299" t="str">
        <f>"J8499"</f>
        <v>J8499</v>
      </c>
    </row>
    <row r="4300" spans="1:5" x14ac:dyDescent="0.25">
      <c r="A4300" t="str">
        <f>"41769563  "</f>
        <v xml:space="preserve">41769563  </v>
      </c>
      <c r="B4300" t="s">
        <v>4112</v>
      </c>
      <c r="C4300">
        <v>6.6</v>
      </c>
      <c r="D4300" t="str">
        <f t="shared" si="197"/>
        <v>250</v>
      </c>
      <c r="E4300" t="str">
        <f>"J3490"</f>
        <v>J3490</v>
      </c>
    </row>
    <row r="4301" spans="1:5" x14ac:dyDescent="0.25">
      <c r="A4301" t="str">
        <f>"41769605  "</f>
        <v xml:space="preserve">41769605  </v>
      </c>
      <c r="B4301" t="s">
        <v>4113</v>
      </c>
      <c r="C4301">
        <v>6.6</v>
      </c>
      <c r="D4301" t="str">
        <f t="shared" si="197"/>
        <v>250</v>
      </c>
      <c r="E4301" t="str">
        <f>"J3490"</f>
        <v>J3490</v>
      </c>
    </row>
    <row r="4302" spans="1:5" x14ac:dyDescent="0.25">
      <c r="A4302" t="str">
        <f>"41769753  "</f>
        <v xml:space="preserve">41769753  </v>
      </c>
      <c r="B4302" t="s">
        <v>4114</v>
      </c>
      <c r="C4302">
        <v>42.9</v>
      </c>
      <c r="D4302" t="str">
        <f t="shared" si="197"/>
        <v>250</v>
      </c>
      <c r="E4302" t="str">
        <f>"X6974"</f>
        <v>X6974</v>
      </c>
    </row>
    <row r="4303" spans="1:5" x14ac:dyDescent="0.25">
      <c r="A4303" t="str">
        <f>"41769753  "</f>
        <v xml:space="preserve">41769753  </v>
      </c>
      <c r="B4303" t="s">
        <v>4114</v>
      </c>
      <c r="C4303">
        <v>42.9</v>
      </c>
      <c r="D4303" t="str">
        <f t="shared" si="197"/>
        <v>250</v>
      </c>
      <c r="E4303" t="str">
        <f>"J3490"</f>
        <v>J3490</v>
      </c>
    </row>
    <row r="4304" spans="1:5" x14ac:dyDescent="0.25">
      <c r="A4304" t="str">
        <f>"41769902  "</f>
        <v xml:space="preserve">41769902  </v>
      </c>
      <c r="B4304" t="s">
        <v>4115</v>
      </c>
      <c r="C4304">
        <v>8.8000000000000007</v>
      </c>
      <c r="D4304" t="str">
        <f t="shared" si="197"/>
        <v>250</v>
      </c>
      <c r="E4304" t="str">
        <f>"J8499"</f>
        <v>J8499</v>
      </c>
    </row>
    <row r="4305" spans="1:5" x14ac:dyDescent="0.25">
      <c r="A4305" t="str">
        <f>"41769951  "</f>
        <v xml:space="preserve">41769951  </v>
      </c>
      <c r="B4305" t="s">
        <v>4116</v>
      </c>
      <c r="C4305">
        <v>304.7</v>
      </c>
      <c r="D4305" t="str">
        <f t="shared" si="197"/>
        <v>250</v>
      </c>
      <c r="E4305" t="str">
        <f>"J3250"</f>
        <v>J3250</v>
      </c>
    </row>
    <row r="4306" spans="1:5" x14ac:dyDescent="0.25">
      <c r="A4306" t="str">
        <f>"41770010"</f>
        <v>41770010</v>
      </c>
      <c r="B4306" t="s">
        <v>4117</v>
      </c>
      <c r="C4306">
        <v>11.78</v>
      </c>
      <c r="D4306" t="str">
        <f t="shared" si="197"/>
        <v>250</v>
      </c>
    </row>
    <row r="4307" spans="1:5" x14ac:dyDescent="0.25">
      <c r="A4307" t="str">
        <f>"41770017  "</f>
        <v xml:space="preserve">41770017  </v>
      </c>
      <c r="B4307" t="s">
        <v>4118</v>
      </c>
      <c r="C4307">
        <v>16.5</v>
      </c>
      <c r="D4307" t="str">
        <f t="shared" si="197"/>
        <v>250</v>
      </c>
      <c r="E4307" t="str">
        <f>"J8499"</f>
        <v>J8499</v>
      </c>
    </row>
    <row r="4308" spans="1:5" x14ac:dyDescent="0.25">
      <c r="A4308" t="str">
        <f>"41770021"</f>
        <v>41770021</v>
      </c>
      <c r="B4308" t="s">
        <v>4119</v>
      </c>
      <c r="C4308">
        <v>11</v>
      </c>
      <c r="D4308" t="str">
        <f t="shared" si="197"/>
        <v>250</v>
      </c>
    </row>
    <row r="4309" spans="1:5" x14ac:dyDescent="0.25">
      <c r="A4309" t="str">
        <f>"41770022"</f>
        <v>41770022</v>
      </c>
      <c r="B4309" t="s">
        <v>4120</v>
      </c>
      <c r="C4309">
        <v>8.8000000000000007</v>
      </c>
      <c r="D4309" t="str">
        <f t="shared" si="197"/>
        <v>250</v>
      </c>
    </row>
    <row r="4310" spans="1:5" x14ac:dyDescent="0.25">
      <c r="A4310" t="str">
        <f>"41770025  "</f>
        <v xml:space="preserve">41770025  </v>
      </c>
      <c r="B4310" t="s">
        <v>4121</v>
      </c>
      <c r="C4310">
        <v>8.8000000000000007</v>
      </c>
      <c r="D4310" t="str">
        <f t="shared" si="197"/>
        <v>250</v>
      </c>
      <c r="E4310" t="str">
        <f>"J8499"</f>
        <v>J8499</v>
      </c>
    </row>
    <row r="4311" spans="1:5" x14ac:dyDescent="0.25">
      <c r="A4311" t="str">
        <f>"41770033  "</f>
        <v xml:space="preserve">41770033  </v>
      </c>
      <c r="B4311" t="s">
        <v>4122</v>
      </c>
      <c r="C4311">
        <v>143</v>
      </c>
      <c r="D4311" t="str">
        <f t="shared" si="197"/>
        <v>250</v>
      </c>
      <c r="E4311" t="str">
        <f>"X6972"</f>
        <v>X6972</v>
      </c>
    </row>
    <row r="4312" spans="1:5" x14ac:dyDescent="0.25">
      <c r="A4312" t="str">
        <f>"41770033  "</f>
        <v xml:space="preserve">41770033  </v>
      </c>
      <c r="B4312" t="s">
        <v>4122</v>
      </c>
      <c r="C4312">
        <v>143</v>
      </c>
      <c r="D4312" t="str">
        <f t="shared" si="197"/>
        <v>250</v>
      </c>
      <c r="E4312" t="str">
        <f>"J3490"</f>
        <v>J3490</v>
      </c>
    </row>
    <row r="4313" spans="1:5" x14ac:dyDescent="0.25">
      <c r="A4313" t="str">
        <f>"41770041  "</f>
        <v xml:space="preserve">41770041  </v>
      </c>
      <c r="B4313" t="s">
        <v>4123</v>
      </c>
      <c r="C4313">
        <v>8.8000000000000007</v>
      </c>
      <c r="D4313" t="str">
        <f t="shared" si="197"/>
        <v>250</v>
      </c>
      <c r="E4313" t="str">
        <f>"J8499"</f>
        <v>J8499</v>
      </c>
    </row>
    <row r="4314" spans="1:5" x14ac:dyDescent="0.25">
      <c r="A4314" t="str">
        <f>"41770052"</f>
        <v>41770052</v>
      </c>
      <c r="B4314" t="s">
        <v>4124</v>
      </c>
      <c r="C4314" s="1">
        <v>3569.5</v>
      </c>
      <c r="D4314" t="str">
        <f t="shared" si="197"/>
        <v>250</v>
      </c>
    </row>
    <row r="4315" spans="1:5" x14ac:dyDescent="0.25">
      <c r="A4315" t="str">
        <f>"41770058  "</f>
        <v xml:space="preserve">41770058  </v>
      </c>
      <c r="B4315" t="s">
        <v>4125</v>
      </c>
      <c r="C4315">
        <v>79.2</v>
      </c>
      <c r="D4315" t="str">
        <f t="shared" si="197"/>
        <v>250</v>
      </c>
      <c r="E4315" t="str">
        <f>"J3490"</f>
        <v>J3490</v>
      </c>
    </row>
    <row r="4316" spans="1:5" x14ac:dyDescent="0.25">
      <c r="A4316" t="str">
        <f>"41770066  "</f>
        <v xml:space="preserve">41770066  </v>
      </c>
      <c r="B4316" t="s">
        <v>4126</v>
      </c>
      <c r="C4316">
        <v>16.5</v>
      </c>
      <c r="D4316" t="str">
        <f t="shared" si="197"/>
        <v>250</v>
      </c>
      <c r="E4316" t="str">
        <f>"J8499"</f>
        <v>J8499</v>
      </c>
    </row>
    <row r="4317" spans="1:5" x14ac:dyDescent="0.25">
      <c r="A4317" t="str">
        <f>"41770074  "</f>
        <v xml:space="preserve">41770074  </v>
      </c>
      <c r="B4317" t="s">
        <v>4127</v>
      </c>
      <c r="C4317">
        <v>11.65</v>
      </c>
      <c r="D4317" t="str">
        <f t="shared" si="197"/>
        <v>250</v>
      </c>
    </row>
    <row r="4318" spans="1:5" x14ac:dyDescent="0.25">
      <c r="A4318" t="str">
        <f>"41770082  "</f>
        <v xml:space="preserve">41770082  </v>
      </c>
      <c r="B4318" t="s">
        <v>4128</v>
      </c>
      <c r="C4318">
        <v>438.9</v>
      </c>
      <c r="D4318" t="str">
        <f t="shared" si="197"/>
        <v>250</v>
      </c>
    </row>
    <row r="4319" spans="1:5" x14ac:dyDescent="0.25">
      <c r="A4319" t="str">
        <f>"41770108  "</f>
        <v xml:space="preserve">41770108  </v>
      </c>
      <c r="B4319" t="s">
        <v>4129</v>
      </c>
      <c r="C4319">
        <v>287.10000000000002</v>
      </c>
      <c r="D4319" t="str">
        <f t="shared" si="197"/>
        <v>250</v>
      </c>
      <c r="E4319" t="str">
        <f>"J3490"</f>
        <v>J3490</v>
      </c>
    </row>
    <row r="4320" spans="1:5" x14ac:dyDescent="0.25">
      <c r="A4320" t="str">
        <f>"41770110"</f>
        <v>41770110</v>
      </c>
      <c r="B4320" t="s">
        <v>4130</v>
      </c>
      <c r="C4320">
        <v>6.6</v>
      </c>
      <c r="D4320" t="str">
        <f t="shared" si="197"/>
        <v>250</v>
      </c>
    </row>
    <row r="4321" spans="1:5" x14ac:dyDescent="0.25">
      <c r="A4321" t="str">
        <f>"41770116  "</f>
        <v xml:space="preserve">41770116  </v>
      </c>
      <c r="B4321" t="s">
        <v>4131</v>
      </c>
      <c r="C4321">
        <v>325.22000000000003</v>
      </c>
      <c r="D4321" t="str">
        <f t="shared" si="197"/>
        <v>250</v>
      </c>
    </row>
    <row r="4322" spans="1:5" x14ac:dyDescent="0.25">
      <c r="A4322" t="str">
        <f>"41770124  "</f>
        <v xml:space="preserve">41770124  </v>
      </c>
      <c r="B4322" t="s">
        <v>4132</v>
      </c>
      <c r="C4322">
        <v>119.35</v>
      </c>
      <c r="D4322" t="str">
        <f t="shared" si="197"/>
        <v>250</v>
      </c>
    </row>
    <row r="4323" spans="1:5" x14ac:dyDescent="0.25">
      <c r="A4323" t="str">
        <f>"41770132  "</f>
        <v xml:space="preserve">41770132  </v>
      </c>
      <c r="B4323" t="s">
        <v>4133</v>
      </c>
      <c r="C4323">
        <v>209</v>
      </c>
      <c r="D4323" t="str">
        <f t="shared" si="197"/>
        <v>250</v>
      </c>
    </row>
    <row r="4324" spans="1:5" x14ac:dyDescent="0.25">
      <c r="A4324" t="str">
        <f>"41770140  "</f>
        <v xml:space="preserve">41770140  </v>
      </c>
      <c r="B4324" t="s">
        <v>4134</v>
      </c>
      <c r="C4324">
        <v>11.56</v>
      </c>
      <c r="D4324" t="str">
        <f t="shared" si="197"/>
        <v>250</v>
      </c>
    </row>
    <row r="4325" spans="1:5" x14ac:dyDescent="0.25">
      <c r="A4325" t="str">
        <f>"41770157  "</f>
        <v xml:space="preserve">41770157  </v>
      </c>
      <c r="B4325" t="s">
        <v>4135</v>
      </c>
      <c r="C4325">
        <v>49.5</v>
      </c>
      <c r="D4325" t="str">
        <f>"257"</f>
        <v>257</v>
      </c>
      <c r="E4325" t="str">
        <f>"J3490"</f>
        <v>J3490</v>
      </c>
    </row>
    <row r="4326" spans="1:5" x14ac:dyDescent="0.25">
      <c r="A4326" t="str">
        <f>"41770181  "</f>
        <v xml:space="preserve">41770181  </v>
      </c>
      <c r="B4326" t="s">
        <v>4136</v>
      </c>
      <c r="C4326">
        <v>41.07</v>
      </c>
      <c r="D4326" t="str">
        <f t="shared" ref="D4326:D4333" si="198">"250"</f>
        <v>250</v>
      </c>
    </row>
    <row r="4327" spans="1:5" x14ac:dyDescent="0.25">
      <c r="A4327" t="str">
        <f>"41770220"</f>
        <v>41770220</v>
      </c>
      <c r="B4327" t="s">
        <v>4137</v>
      </c>
      <c r="C4327">
        <v>38.5</v>
      </c>
      <c r="D4327" t="str">
        <f t="shared" si="198"/>
        <v>250</v>
      </c>
    </row>
    <row r="4328" spans="1:5" x14ac:dyDescent="0.25">
      <c r="A4328" t="str">
        <f>"41770249  "</f>
        <v xml:space="preserve">41770249  </v>
      </c>
      <c r="B4328" t="s">
        <v>4138</v>
      </c>
      <c r="C4328">
        <v>6.6</v>
      </c>
      <c r="D4328" t="str">
        <f t="shared" si="198"/>
        <v>250</v>
      </c>
    </row>
    <row r="4329" spans="1:5" x14ac:dyDescent="0.25">
      <c r="A4329" t="str">
        <f>"41770345"</f>
        <v>41770345</v>
      </c>
      <c r="B4329" t="s">
        <v>4139</v>
      </c>
      <c r="C4329">
        <v>11</v>
      </c>
      <c r="D4329" t="str">
        <f t="shared" si="198"/>
        <v>250</v>
      </c>
    </row>
    <row r="4330" spans="1:5" x14ac:dyDescent="0.25">
      <c r="A4330" t="str">
        <f>"41770405  "</f>
        <v xml:space="preserve">41770405  </v>
      </c>
      <c r="B4330" t="s">
        <v>4140</v>
      </c>
      <c r="C4330">
        <v>224.4</v>
      </c>
      <c r="D4330" t="str">
        <f t="shared" si="198"/>
        <v>250</v>
      </c>
      <c r="E4330" t="str">
        <f>"J8499"</f>
        <v>J8499</v>
      </c>
    </row>
    <row r="4331" spans="1:5" x14ac:dyDescent="0.25">
      <c r="A4331" t="str">
        <f>"41770504  "</f>
        <v xml:space="preserve">41770504  </v>
      </c>
      <c r="B4331" t="s">
        <v>4141</v>
      </c>
      <c r="C4331">
        <v>6.6</v>
      </c>
      <c r="D4331" t="str">
        <f t="shared" si="198"/>
        <v>250</v>
      </c>
      <c r="E4331" t="str">
        <f>"J8499"</f>
        <v>J8499</v>
      </c>
    </row>
    <row r="4332" spans="1:5" x14ac:dyDescent="0.25">
      <c r="A4332" t="str">
        <f>"41770793  "</f>
        <v xml:space="preserve">41770793  </v>
      </c>
      <c r="B4332" t="s">
        <v>4142</v>
      </c>
      <c r="C4332">
        <v>90.2</v>
      </c>
      <c r="D4332" t="str">
        <f t="shared" si="198"/>
        <v>250</v>
      </c>
      <c r="E4332" t="str">
        <f>"J1885"</f>
        <v>J1885</v>
      </c>
    </row>
    <row r="4333" spans="1:5" x14ac:dyDescent="0.25">
      <c r="A4333" t="str">
        <f>"41770959  "</f>
        <v xml:space="preserve">41770959  </v>
      </c>
      <c r="B4333" t="s">
        <v>4143</v>
      </c>
      <c r="C4333">
        <v>97.9</v>
      </c>
      <c r="D4333" t="str">
        <f t="shared" si="198"/>
        <v>250</v>
      </c>
      <c r="E4333" t="str">
        <f>"J3490"</f>
        <v>J3490</v>
      </c>
    </row>
    <row r="4334" spans="1:5" x14ac:dyDescent="0.25">
      <c r="A4334" t="str">
        <f>"41770999"</f>
        <v>41770999</v>
      </c>
      <c r="B4334" t="s">
        <v>4144</v>
      </c>
      <c r="C4334">
        <v>6.6</v>
      </c>
      <c r="D4334" t="str">
        <f>"257"</f>
        <v>257</v>
      </c>
    </row>
    <row r="4335" spans="1:5" x14ac:dyDescent="0.25">
      <c r="A4335" t="str">
        <f>"41771007  "</f>
        <v xml:space="preserve">41771007  </v>
      </c>
      <c r="B4335" t="s">
        <v>4145</v>
      </c>
      <c r="C4335">
        <v>8.8000000000000007</v>
      </c>
      <c r="D4335" t="str">
        <f t="shared" ref="D4335:D4367" si="199">"250"</f>
        <v>250</v>
      </c>
      <c r="E4335" t="str">
        <f>"J3490"</f>
        <v>J3490</v>
      </c>
    </row>
    <row r="4336" spans="1:5" x14ac:dyDescent="0.25">
      <c r="A4336" t="str">
        <f>"41771010"</f>
        <v>41771010</v>
      </c>
      <c r="B4336" t="s">
        <v>4146</v>
      </c>
      <c r="C4336">
        <v>46.75</v>
      </c>
      <c r="D4336" t="str">
        <f t="shared" si="199"/>
        <v>250</v>
      </c>
    </row>
    <row r="4337" spans="1:5" x14ac:dyDescent="0.25">
      <c r="A4337" t="str">
        <f>"41771011"</f>
        <v>41771011</v>
      </c>
      <c r="B4337" t="s">
        <v>4147</v>
      </c>
      <c r="C4337">
        <v>134.19999999999999</v>
      </c>
      <c r="D4337" t="str">
        <f t="shared" si="199"/>
        <v>250</v>
      </c>
    </row>
    <row r="4338" spans="1:5" x14ac:dyDescent="0.25">
      <c r="A4338" t="str">
        <f>"41771022"</f>
        <v>41771022</v>
      </c>
      <c r="B4338" t="s">
        <v>4148</v>
      </c>
      <c r="C4338">
        <v>155.1</v>
      </c>
      <c r="D4338" t="str">
        <f t="shared" si="199"/>
        <v>250</v>
      </c>
    </row>
    <row r="4339" spans="1:5" x14ac:dyDescent="0.25">
      <c r="A4339" t="str">
        <f>"41771052"</f>
        <v>41771052</v>
      </c>
      <c r="B4339" t="s">
        <v>4149</v>
      </c>
      <c r="C4339">
        <v>11</v>
      </c>
      <c r="D4339" t="str">
        <f t="shared" si="199"/>
        <v>250</v>
      </c>
    </row>
    <row r="4340" spans="1:5" x14ac:dyDescent="0.25">
      <c r="A4340" t="str">
        <f>"41771100"</f>
        <v>41771100</v>
      </c>
      <c r="B4340" t="s">
        <v>4150</v>
      </c>
      <c r="C4340">
        <v>9.9</v>
      </c>
      <c r="D4340" t="str">
        <f t="shared" si="199"/>
        <v>250</v>
      </c>
    </row>
    <row r="4341" spans="1:5" x14ac:dyDescent="0.25">
      <c r="A4341" t="str">
        <f>"41771101"</f>
        <v>41771101</v>
      </c>
      <c r="B4341" t="s">
        <v>4151</v>
      </c>
      <c r="C4341">
        <v>28.33</v>
      </c>
      <c r="D4341" t="str">
        <f t="shared" si="199"/>
        <v>250</v>
      </c>
    </row>
    <row r="4342" spans="1:5" x14ac:dyDescent="0.25">
      <c r="A4342" t="str">
        <f>"41771122  "</f>
        <v xml:space="preserve">41771122  </v>
      </c>
      <c r="B4342" t="s">
        <v>4152</v>
      </c>
      <c r="C4342">
        <v>165</v>
      </c>
      <c r="D4342" t="str">
        <f t="shared" si="199"/>
        <v>250</v>
      </c>
      <c r="E4342" t="str">
        <f>"J3490"</f>
        <v>J3490</v>
      </c>
    </row>
    <row r="4343" spans="1:5" x14ac:dyDescent="0.25">
      <c r="A4343" t="str">
        <f>"41771148  "</f>
        <v xml:space="preserve">41771148  </v>
      </c>
      <c r="B4343" t="s">
        <v>4153</v>
      </c>
      <c r="C4343">
        <v>7.7</v>
      </c>
      <c r="D4343" t="str">
        <f t="shared" si="199"/>
        <v>250</v>
      </c>
      <c r="E4343" t="str">
        <f>"J8499"</f>
        <v>J8499</v>
      </c>
    </row>
    <row r="4344" spans="1:5" x14ac:dyDescent="0.25">
      <c r="A4344" t="str">
        <f>"41771155  "</f>
        <v xml:space="preserve">41771155  </v>
      </c>
      <c r="B4344" t="s">
        <v>4154</v>
      </c>
      <c r="C4344">
        <v>30.8</v>
      </c>
      <c r="D4344" t="str">
        <f t="shared" si="199"/>
        <v>250</v>
      </c>
      <c r="E4344" t="str">
        <f>"J3490"</f>
        <v>J3490</v>
      </c>
    </row>
    <row r="4345" spans="1:5" x14ac:dyDescent="0.25">
      <c r="A4345" t="str">
        <f>"41771163  "</f>
        <v xml:space="preserve">41771163  </v>
      </c>
      <c r="B4345" t="s">
        <v>4155</v>
      </c>
      <c r="C4345">
        <v>333.3</v>
      </c>
      <c r="D4345" t="str">
        <f t="shared" si="199"/>
        <v>250</v>
      </c>
      <c r="E4345" t="str">
        <f>"J3490"</f>
        <v>J3490</v>
      </c>
    </row>
    <row r="4346" spans="1:5" x14ac:dyDescent="0.25">
      <c r="A4346" t="str">
        <f>"41771221  "</f>
        <v xml:space="preserve">41771221  </v>
      </c>
      <c r="B4346" t="s">
        <v>4156</v>
      </c>
      <c r="C4346">
        <v>7.7</v>
      </c>
      <c r="D4346" t="str">
        <f t="shared" si="199"/>
        <v>250</v>
      </c>
      <c r="E4346" t="str">
        <f>"J8499"</f>
        <v>J8499</v>
      </c>
    </row>
    <row r="4347" spans="1:5" x14ac:dyDescent="0.25">
      <c r="A4347" t="str">
        <f>"41771234"</f>
        <v>41771234</v>
      </c>
      <c r="B4347" t="s">
        <v>4157</v>
      </c>
      <c r="C4347">
        <v>12.1</v>
      </c>
      <c r="D4347" t="str">
        <f t="shared" si="199"/>
        <v>250</v>
      </c>
    </row>
    <row r="4348" spans="1:5" x14ac:dyDescent="0.25">
      <c r="A4348" t="str">
        <f>"41771353  "</f>
        <v xml:space="preserve">41771353  </v>
      </c>
      <c r="B4348" t="s">
        <v>4158</v>
      </c>
      <c r="C4348">
        <v>6.6</v>
      </c>
      <c r="D4348" t="str">
        <f t="shared" si="199"/>
        <v>250</v>
      </c>
      <c r="E4348" t="str">
        <f>"J8499"</f>
        <v>J8499</v>
      </c>
    </row>
    <row r="4349" spans="1:5" x14ac:dyDescent="0.25">
      <c r="A4349" t="str">
        <f>"41771422"</f>
        <v>41771422</v>
      </c>
      <c r="B4349" t="s">
        <v>4159</v>
      </c>
      <c r="C4349">
        <v>98.22</v>
      </c>
      <c r="D4349" t="str">
        <f t="shared" si="199"/>
        <v>250</v>
      </c>
    </row>
    <row r="4350" spans="1:5" x14ac:dyDescent="0.25">
      <c r="A4350" t="str">
        <f>"41771502  "</f>
        <v xml:space="preserve">41771502  </v>
      </c>
      <c r="B4350" t="s">
        <v>4160</v>
      </c>
      <c r="C4350">
        <v>6.6</v>
      </c>
      <c r="D4350" t="str">
        <f t="shared" si="199"/>
        <v>250</v>
      </c>
      <c r="E4350" t="str">
        <f>"J8499"</f>
        <v>J8499</v>
      </c>
    </row>
    <row r="4351" spans="1:5" x14ac:dyDescent="0.25">
      <c r="A4351" t="str">
        <f>"41771650  "</f>
        <v xml:space="preserve">41771650  </v>
      </c>
      <c r="B4351" t="s">
        <v>4161</v>
      </c>
      <c r="C4351">
        <v>440</v>
      </c>
      <c r="D4351" t="str">
        <f t="shared" si="199"/>
        <v>250</v>
      </c>
      <c r="E4351" t="str">
        <f>"J3490"</f>
        <v>J3490</v>
      </c>
    </row>
    <row r="4352" spans="1:5" x14ac:dyDescent="0.25">
      <c r="A4352" t="str">
        <f>"41771668  "</f>
        <v xml:space="preserve">41771668  </v>
      </c>
      <c r="B4352" t="s">
        <v>4162</v>
      </c>
      <c r="C4352">
        <v>12.1</v>
      </c>
      <c r="D4352" t="str">
        <f t="shared" si="199"/>
        <v>250</v>
      </c>
    </row>
    <row r="4353" spans="1:5" x14ac:dyDescent="0.25">
      <c r="A4353" t="str">
        <f>"41772000"</f>
        <v>41772000</v>
      </c>
      <c r="B4353" t="s">
        <v>4163</v>
      </c>
      <c r="C4353">
        <v>11</v>
      </c>
      <c r="D4353" t="str">
        <f t="shared" si="199"/>
        <v>250</v>
      </c>
    </row>
    <row r="4354" spans="1:5" x14ac:dyDescent="0.25">
      <c r="A4354" t="str">
        <f>"41772002"</f>
        <v>41772002</v>
      </c>
      <c r="B4354" t="s">
        <v>4164</v>
      </c>
      <c r="C4354">
        <v>59.02</v>
      </c>
      <c r="D4354" t="str">
        <f t="shared" si="199"/>
        <v>250</v>
      </c>
    </row>
    <row r="4355" spans="1:5" x14ac:dyDescent="0.25">
      <c r="A4355" t="str">
        <f>"41772004"</f>
        <v>41772004</v>
      </c>
      <c r="B4355" t="s">
        <v>4119</v>
      </c>
      <c r="C4355">
        <v>11</v>
      </c>
      <c r="D4355" t="str">
        <f t="shared" si="199"/>
        <v>250</v>
      </c>
    </row>
    <row r="4356" spans="1:5" x14ac:dyDescent="0.25">
      <c r="A4356" t="str">
        <f>"41772012"</f>
        <v>41772012</v>
      </c>
      <c r="B4356" t="s">
        <v>4165</v>
      </c>
      <c r="C4356">
        <v>132</v>
      </c>
      <c r="D4356" t="str">
        <f t="shared" si="199"/>
        <v>250</v>
      </c>
      <c r="E4356" t="str">
        <f>"J0696"</f>
        <v>J0696</v>
      </c>
    </row>
    <row r="4357" spans="1:5" x14ac:dyDescent="0.25">
      <c r="A4357" t="str">
        <f>"41772030"</f>
        <v>41772030</v>
      </c>
      <c r="B4357" t="s">
        <v>4166</v>
      </c>
      <c r="C4357" s="1">
        <v>2062.5</v>
      </c>
      <c r="D4357" t="str">
        <f t="shared" si="199"/>
        <v>250</v>
      </c>
    </row>
    <row r="4358" spans="1:5" x14ac:dyDescent="0.25">
      <c r="A4358" t="str">
        <f>"41772101"</f>
        <v>41772101</v>
      </c>
      <c r="B4358" t="s">
        <v>4167</v>
      </c>
      <c r="C4358">
        <v>99</v>
      </c>
      <c r="D4358" t="str">
        <f t="shared" si="199"/>
        <v>250</v>
      </c>
    </row>
    <row r="4359" spans="1:5" x14ac:dyDescent="0.25">
      <c r="A4359" t="str">
        <f>"41772200"</f>
        <v>41772200</v>
      </c>
      <c r="B4359" t="s">
        <v>4168</v>
      </c>
      <c r="C4359">
        <v>27.34</v>
      </c>
      <c r="D4359" t="str">
        <f t="shared" si="199"/>
        <v>250</v>
      </c>
    </row>
    <row r="4360" spans="1:5" x14ac:dyDescent="0.25">
      <c r="A4360" t="str">
        <f>"41772201"</f>
        <v>41772201</v>
      </c>
      <c r="B4360" t="s">
        <v>4169</v>
      </c>
      <c r="C4360">
        <v>6.6</v>
      </c>
      <c r="D4360" t="str">
        <f t="shared" si="199"/>
        <v>250</v>
      </c>
    </row>
    <row r="4361" spans="1:5" x14ac:dyDescent="0.25">
      <c r="A4361" t="str">
        <f>"41772207"</f>
        <v>41772207</v>
      </c>
      <c r="B4361" t="s">
        <v>4170</v>
      </c>
      <c r="C4361">
        <v>19.47</v>
      </c>
      <c r="D4361" t="str">
        <f t="shared" si="199"/>
        <v>250</v>
      </c>
    </row>
    <row r="4362" spans="1:5" x14ac:dyDescent="0.25">
      <c r="A4362" t="str">
        <f>"41772210"</f>
        <v>41772210</v>
      </c>
      <c r="B4362" t="s">
        <v>4171</v>
      </c>
      <c r="C4362">
        <v>9.9</v>
      </c>
      <c r="D4362" t="str">
        <f t="shared" si="199"/>
        <v>250</v>
      </c>
    </row>
    <row r="4363" spans="1:5" x14ac:dyDescent="0.25">
      <c r="A4363" t="str">
        <f>"41772213"</f>
        <v>41772213</v>
      </c>
      <c r="B4363" t="s">
        <v>4172</v>
      </c>
      <c r="C4363">
        <v>82.5</v>
      </c>
      <c r="D4363" t="str">
        <f t="shared" si="199"/>
        <v>250</v>
      </c>
      <c r="E4363" t="str">
        <f>"J1650"</f>
        <v>J1650</v>
      </c>
    </row>
    <row r="4364" spans="1:5" x14ac:dyDescent="0.25">
      <c r="A4364" t="str">
        <f>"41772220"</f>
        <v>41772220</v>
      </c>
      <c r="B4364" t="s">
        <v>4173</v>
      </c>
      <c r="C4364">
        <v>45.1</v>
      </c>
      <c r="D4364" t="str">
        <f t="shared" si="199"/>
        <v>250</v>
      </c>
    </row>
    <row r="4365" spans="1:5" x14ac:dyDescent="0.25">
      <c r="A4365" t="str">
        <f>"41772230"</f>
        <v>41772230</v>
      </c>
      <c r="B4365" t="s">
        <v>4174</v>
      </c>
      <c r="C4365">
        <v>580.79999999999995</v>
      </c>
      <c r="D4365" t="str">
        <f t="shared" si="199"/>
        <v>250</v>
      </c>
    </row>
    <row r="4366" spans="1:5" x14ac:dyDescent="0.25">
      <c r="A4366" t="str">
        <f>"41772312"</f>
        <v>41772312</v>
      </c>
      <c r="B4366" t="s">
        <v>4175</v>
      </c>
      <c r="C4366">
        <v>12.05</v>
      </c>
      <c r="D4366" t="str">
        <f t="shared" si="199"/>
        <v>250</v>
      </c>
    </row>
    <row r="4367" spans="1:5" x14ac:dyDescent="0.25">
      <c r="A4367" t="str">
        <f>"41772330"</f>
        <v>41772330</v>
      </c>
      <c r="B4367" t="s">
        <v>4176</v>
      </c>
      <c r="C4367">
        <v>6.6</v>
      </c>
      <c r="D4367" t="str">
        <f t="shared" si="199"/>
        <v>250</v>
      </c>
    </row>
    <row r="4368" spans="1:5" x14ac:dyDescent="0.25">
      <c r="A4368" t="str">
        <f>"41772344  "</f>
        <v xml:space="preserve">41772344  </v>
      </c>
      <c r="B4368" t="s">
        <v>4177</v>
      </c>
      <c r="C4368">
        <v>6.6</v>
      </c>
      <c r="D4368" t="str">
        <f>"257"</f>
        <v>257</v>
      </c>
      <c r="E4368" t="str">
        <f>"J3490"</f>
        <v>J3490</v>
      </c>
    </row>
    <row r="4369" spans="1:5" x14ac:dyDescent="0.25">
      <c r="A4369" t="str">
        <f>"41772356"</f>
        <v>41772356</v>
      </c>
      <c r="B4369" t="s">
        <v>4178</v>
      </c>
      <c r="C4369">
        <v>143.22</v>
      </c>
      <c r="D4369" t="str">
        <f>"250"</f>
        <v>250</v>
      </c>
    </row>
    <row r="4370" spans="1:5" x14ac:dyDescent="0.25">
      <c r="A4370" t="str">
        <f>"41772393  "</f>
        <v xml:space="preserve">41772393  </v>
      </c>
      <c r="B4370" t="s">
        <v>4179</v>
      </c>
      <c r="C4370">
        <v>8.73</v>
      </c>
      <c r="D4370" t="str">
        <f>"250"</f>
        <v>250</v>
      </c>
    </row>
    <row r="4371" spans="1:5" x14ac:dyDescent="0.25">
      <c r="A4371" t="str">
        <f>"41772401  "</f>
        <v xml:space="preserve">41772401  </v>
      </c>
      <c r="B4371" t="s">
        <v>4180</v>
      </c>
      <c r="C4371">
        <v>11</v>
      </c>
      <c r="D4371" t="str">
        <f>"257"</f>
        <v>257</v>
      </c>
      <c r="E4371" t="str">
        <f>"J3490"</f>
        <v>J3490</v>
      </c>
    </row>
    <row r="4372" spans="1:5" x14ac:dyDescent="0.25">
      <c r="A4372" t="str">
        <f>"41772432"</f>
        <v>41772432</v>
      </c>
      <c r="B4372" t="s">
        <v>4181</v>
      </c>
      <c r="C4372">
        <v>82.5</v>
      </c>
      <c r="D4372" t="str">
        <f>"257"</f>
        <v>257</v>
      </c>
    </row>
    <row r="4373" spans="1:5" x14ac:dyDescent="0.25">
      <c r="A4373" t="str">
        <f>"41772450  "</f>
        <v xml:space="preserve">41772450  </v>
      </c>
      <c r="B4373" t="s">
        <v>4182</v>
      </c>
      <c r="C4373">
        <v>6.6</v>
      </c>
      <c r="D4373" t="str">
        <f>"257"</f>
        <v>257</v>
      </c>
      <c r="E4373" t="str">
        <f>"J3490"</f>
        <v>J3490</v>
      </c>
    </row>
    <row r="4374" spans="1:5" x14ac:dyDescent="0.25">
      <c r="A4374" t="str">
        <f>"41772468  "</f>
        <v xml:space="preserve">41772468  </v>
      </c>
      <c r="B4374" t="s">
        <v>4183</v>
      </c>
      <c r="C4374">
        <v>33</v>
      </c>
      <c r="D4374" t="str">
        <f>"257"</f>
        <v>257</v>
      </c>
      <c r="E4374" t="str">
        <f>"J3490"</f>
        <v>J3490</v>
      </c>
    </row>
    <row r="4375" spans="1:5" x14ac:dyDescent="0.25">
      <c r="A4375" t="str">
        <f>"41772484  "</f>
        <v xml:space="preserve">41772484  </v>
      </c>
      <c r="B4375" t="s">
        <v>4184</v>
      </c>
      <c r="C4375">
        <v>6.6</v>
      </c>
      <c r="D4375" t="str">
        <f>"250"</f>
        <v>250</v>
      </c>
      <c r="E4375" t="str">
        <f>"Q0175"</f>
        <v>Q0175</v>
      </c>
    </row>
    <row r="4376" spans="1:5" x14ac:dyDescent="0.25">
      <c r="A4376" t="str">
        <f>"41772492  "</f>
        <v xml:space="preserve">41772492  </v>
      </c>
      <c r="B4376" t="s">
        <v>4185</v>
      </c>
      <c r="C4376">
        <v>6.6</v>
      </c>
      <c r="D4376" t="str">
        <f>"250"</f>
        <v>250</v>
      </c>
      <c r="E4376" t="str">
        <f>"J8499"</f>
        <v>J8499</v>
      </c>
    </row>
    <row r="4377" spans="1:5" x14ac:dyDescent="0.25">
      <c r="A4377" t="str">
        <f>"41772500  "</f>
        <v xml:space="preserve">41772500  </v>
      </c>
      <c r="B4377" t="s">
        <v>4186</v>
      </c>
      <c r="C4377">
        <v>6.6</v>
      </c>
      <c r="D4377" t="str">
        <f>"257"</f>
        <v>257</v>
      </c>
      <c r="E4377" t="str">
        <f>"J3490"</f>
        <v>J3490</v>
      </c>
    </row>
    <row r="4378" spans="1:5" x14ac:dyDescent="0.25">
      <c r="A4378" t="str">
        <f>"41772518  "</f>
        <v xml:space="preserve">41772518  </v>
      </c>
      <c r="B4378" t="s">
        <v>4187</v>
      </c>
      <c r="C4378">
        <v>6.6</v>
      </c>
      <c r="D4378" t="str">
        <f>"257"</f>
        <v>257</v>
      </c>
      <c r="E4378" t="str">
        <f>"J8499"</f>
        <v>J8499</v>
      </c>
    </row>
    <row r="4379" spans="1:5" x14ac:dyDescent="0.25">
      <c r="A4379" t="str">
        <f>"41772559  "</f>
        <v xml:space="preserve">41772559  </v>
      </c>
      <c r="B4379" t="s">
        <v>4188</v>
      </c>
      <c r="C4379">
        <v>6.6</v>
      </c>
      <c r="D4379" t="str">
        <f>"257"</f>
        <v>257</v>
      </c>
      <c r="E4379" t="str">
        <f>"J3490"</f>
        <v>J3490</v>
      </c>
    </row>
    <row r="4380" spans="1:5" x14ac:dyDescent="0.25">
      <c r="A4380" t="str">
        <f>"41772609  "</f>
        <v xml:space="preserve">41772609  </v>
      </c>
      <c r="B4380" t="s">
        <v>4189</v>
      </c>
      <c r="C4380">
        <v>8.8000000000000007</v>
      </c>
      <c r="D4380" t="str">
        <f>"250"</f>
        <v>250</v>
      </c>
      <c r="E4380" t="str">
        <f>"J8499"</f>
        <v>J8499</v>
      </c>
    </row>
    <row r="4381" spans="1:5" x14ac:dyDescent="0.25">
      <c r="A4381" t="str">
        <f>"41772617  "</f>
        <v xml:space="preserve">41772617  </v>
      </c>
      <c r="B4381" t="s">
        <v>4190</v>
      </c>
      <c r="C4381">
        <v>8.8000000000000007</v>
      </c>
      <c r="D4381" t="str">
        <f>"250"</f>
        <v>250</v>
      </c>
      <c r="E4381" t="str">
        <f>"J8499"</f>
        <v>J8499</v>
      </c>
    </row>
    <row r="4382" spans="1:5" x14ac:dyDescent="0.25">
      <c r="A4382" t="str">
        <f>"41772641  "</f>
        <v xml:space="preserve">41772641  </v>
      </c>
      <c r="B4382" t="s">
        <v>4191</v>
      </c>
      <c r="C4382">
        <v>17.600000000000001</v>
      </c>
      <c r="D4382" t="str">
        <f>"250"</f>
        <v>250</v>
      </c>
    </row>
    <row r="4383" spans="1:5" x14ac:dyDescent="0.25">
      <c r="A4383" t="str">
        <f>"41772682  "</f>
        <v xml:space="preserve">41772682  </v>
      </c>
      <c r="B4383" t="s">
        <v>4192</v>
      </c>
      <c r="C4383">
        <v>6.6</v>
      </c>
      <c r="D4383" t="str">
        <f>"257"</f>
        <v>257</v>
      </c>
      <c r="E4383" t="str">
        <f>"J3490"</f>
        <v>J3490</v>
      </c>
    </row>
    <row r="4384" spans="1:5" x14ac:dyDescent="0.25">
      <c r="A4384" t="str">
        <f>"41772757  "</f>
        <v xml:space="preserve">41772757  </v>
      </c>
      <c r="B4384" t="s">
        <v>4193</v>
      </c>
      <c r="C4384">
        <v>11</v>
      </c>
      <c r="D4384" t="str">
        <f t="shared" ref="D4384:D4395" si="200">"250"</f>
        <v>250</v>
      </c>
      <c r="E4384" t="str">
        <f>"J8499"</f>
        <v>J8499</v>
      </c>
    </row>
    <row r="4385" spans="1:5" x14ac:dyDescent="0.25">
      <c r="A4385" t="str">
        <f>"41772880  "</f>
        <v xml:space="preserve">41772880  </v>
      </c>
      <c r="B4385" t="s">
        <v>4194</v>
      </c>
      <c r="C4385">
        <v>495</v>
      </c>
      <c r="D4385" t="str">
        <f t="shared" si="200"/>
        <v>250</v>
      </c>
    </row>
    <row r="4386" spans="1:5" x14ac:dyDescent="0.25">
      <c r="A4386" t="str">
        <f>"41772881"</f>
        <v>41772881</v>
      </c>
      <c r="B4386" t="s">
        <v>4195</v>
      </c>
      <c r="C4386">
        <v>16.690000000000001</v>
      </c>
      <c r="D4386" t="str">
        <f t="shared" si="200"/>
        <v>250</v>
      </c>
    </row>
    <row r="4387" spans="1:5" x14ac:dyDescent="0.25">
      <c r="A4387" t="str">
        <f>"41772914  "</f>
        <v xml:space="preserve">41772914  </v>
      </c>
      <c r="B4387" t="s">
        <v>4196</v>
      </c>
      <c r="C4387">
        <v>68.2</v>
      </c>
      <c r="D4387" t="str">
        <f t="shared" si="200"/>
        <v>250</v>
      </c>
      <c r="E4387" t="str">
        <f>"J0295"</f>
        <v>J0295</v>
      </c>
    </row>
    <row r="4388" spans="1:5" x14ac:dyDescent="0.25">
      <c r="A4388" t="str">
        <f>"41772922  "</f>
        <v xml:space="preserve">41772922  </v>
      </c>
      <c r="B4388" t="s">
        <v>4197</v>
      </c>
      <c r="C4388">
        <v>116.6</v>
      </c>
      <c r="D4388" t="str">
        <f t="shared" si="200"/>
        <v>250</v>
      </c>
      <c r="E4388" t="str">
        <f>"X5578"</f>
        <v>X5578</v>
      </c>
    </row>
    <row r="4389" spans="1:5" x14ac:dyDescent="0.25">
      <c r="A4389" t="str">
        <f>"41772922  "</f>
        <v xml:space="preserve">41772922  </v>
      </c>
      <c r="B4389" t="s">
        <v>4197</v>
      </c>
      <c r="C4389">
        <v>116.6</v>
      </c>
      <c r="D4389" t="str">
        <f t="shared" si="200"/>
        <v>250</v>
      </c>
      <c r="E4389" t="str">
        <f>"J0295"</f>
        <v>J0295</v>
      </c>
    </row>
    <row r="4390" spans="1:5" x14ac:dyDescent="0.25">
      <c r="A4390" t="str">
        <f>"41773000"</f>
        <v>41773000</v>
      </c>
      <c r="B4390" t="s">
        <v>4198</v>
      </c>
      <c r="C4390">
        <v>10.58</v>
      </c>
      <c r="D4390" t="str">
        <f t="shared" si="200"/>
        <v>250</v>
      </c>
    </row>
    <row r="4391" spans="1:5" x14ac:dyDescent="0.25">
      <c r="A4391" t="str">
        <f>"41773001"</f>
        <v>41773001</v>
      </c>
      <c r="B4391" t="s">
        <v>4199</v>
      </c>
      <c r="C4391">
        <v>6.6</v>
      </c>
      <c r="D4391" t="str">
        <f t="shared" si="200"/>
        <v>250</v>
      </c>
    </row>
    <row r="4392" spans="1:5" x14ac:dyDescent="0.25">
      <c r="A4392" t="str">
        <f>"41773009"</f>
        <v>41773009</v>
      </c>
      <c r="B4392" t="s">
        <v>4200</v>
      </c>
      <c r="C4392">
        <v>16.5</v>
      </c>
      <c r="D4392" t="str">
        <f t="shared" si="200"/>
        <v>250</v>
      </c>
    </row>
    <row r="4393" spans="1:5" x14ac:dyDescent="0.25">
      <c r="A4393" t="str">
        <f>"41773102  "</f>
        <v xml:space="preserve">41773102  </v>
      </c>
      <c r="B4393" t="s">
        <v>4201</v>
      </c>
      <c r="C4393">
        <v>8.8000000000000007</v>
      </c>
      <c r="D4393" t="str">
        <f t="shared" si="200"/>
        <v>250</v>
      </c>
      <c r="E4393" t="str">
        <f>"J8499"</f>
        <v>J8499</v>
      </c>
    </row>
    <row r="4394" spans="1:5" x14ac:dyDescent="0.25">
      <c r="A4394" t="str">
        <f>"41773151  "</f>
        <v xml:space="preserve">41773151  </v>
      </c>
      <c r="B4394" t="s">
        <v>4202</v>
      </c>
      <c r="C4394">
        <v>12.1</v>
      </c>
      <c r="D4394" t="str">
        <f t="shared" si="200"/>
        <v>250</v>
      </c>
      <c r="E4394" t="str">
        <f>"J8499"</f>
        <v>J8499</v>
      </c>
    </row>
    <row r="4395" spans="1:5" x14ac:dyDescent="0.25">
      <c r="A4395" t="str">
        <f>"41773200"</f>
        <v>41773200</v>
      </c>
      <c r="B4395" t="s">
        <v>4203</v>
      </c>
      <c r="C4395">
        <v>13.2</v>
      </c>
      <c r="D4395" t="str">
        <f t="shared" si="200"/>
        <v>250</v>
      </c>
      <c r="E4395" t="str">
        <f>"J1815"</f>
        <v>J1815</v>
      </c>
    </row>
    <row r="4396" spans="1:5" x14ac:dyDescent="0.25">
      <c r="A4396" t="str">
        <f>"41773214"</f>
        <v>41773214</v>
      </c>
      <c r="B4396" t="s">
        <v>4204</v>
      </c>
      <c r="C4396">
        <v>11</v>
      </c>
      <c r="D4396" t="str">
        <f>"257"</f>
        <v>257</v>
      </c>
    </row>
    <row r="4397" spans="1:5" x14ac:dyDescent="0.25">
      <c r="A4397" t="str">
        <f>"41773224"</f>
        <v>41773224</v>
      </c>
      <c r="B4397" t="s">
        <v>4205</v>
      </c>
      <c r="C4397">
        <v>11</v>
      </c>
      <c r="D4397" t="str">
        <f>"250"</f>
        <v>250</v>
      </c>
    </row>
    <row r="4398" spans="1:5" x14ac:dyDescent="0.25">
      <c r="A4398" t="str">
        <f>"41773300"</f>
        <v>41773300</v>
      </c>
      <c r="B4398" t="s">
        <v>4206</v>
      </c>
      <c r="C4398">
        <v>6.6</v>
      </c>
      <c r="D4398" t="str">
        <f>"250"</f>
        <v>250</v>
      </c>
    </row>
    <row r="4399" spans="1:5" x14ac:dyDescent="0.25">
      <c r="A4399" t="str">
        <f>"41773409  "</f>
        <v xml:space="preserve">41773409  </v>
      </c>
      <c r="B4399" t="s">
        <v>4207</v>
      </c>
      <c r="C4399">
        <v>6.93</v>
      </c>
      <c r="D4399" t="str">
        <f>"250"</f>
        <v>250</v>
      </c>
      <c r="E4399" t="str">
        <f>"J8499"</f>
        <v>J8499</v>
      </c>
    </row>
    <row r="4400" spans="1:5" x14ac:dyDescent="0.25">
      <c r="A4400" t="str">
        <f>"41773444"</f>
        <v>41773444</v>
      </c>
      <c r="B4400" t="s">
        <v>4208</v>
      </c>
      <c r="C4400">
        <v>6.6</v>
      </c>
      <c r="D4400" t="str">
        <f>"257"</f>
        <v>257</v>
      </c>
    </row>
    <row r="4401" spans="1:5" x14ac:dyDescent="0.25">
      <c r="A4401" t="str">
        <f>"41773456"</f>
        <v>41773456</v>
      </c>
      <c r="B4401" t="s">
        <v>4209</v>
      </c>
      <c r="C4401">
        <v>14.47</v>
      </c>
      <c r="D4401" t="str">
        <f>"250"</f>
        <v>250</v>
      </c>
    </row>
    <row r="4402" spans="1:5" x14ac:dyDescent="0.25">
      <c r="A4402" t="str">
        <f>"41773458  "</f>
        <v xml:space="preserve">41773458  </v>
      </c>
      <c r="B4402" t="s">
        <v>4210</v>
      </c>
      <c r="C4402">
        <v>42.9</v>
      </c>
      <c r="D4402" t="str">
        <f>"250"</f>
        <v>250</v>
      </c>
    </row>
    <row r="4403" spans="1:5" x14ac:dyDescent="0.25">
      <c r="A4403" t="str">
        <f>"41773474"</f>
        <v>41773474</v>
      </c>
      <c r="B4403" t="s">
        <v>4211</v>
      </c>
      <c r="C4403">
        <v>67.98</v>
      </c>
      <c r="D4403" t="str">
        <f>"257"</f>
        <v>257</v>
      </c>
    </row>
    <row r="4404" spans="1:5" x14ac:dyDescent="0.25">
      <c r="A4404" t="str">
        <f>"41773482  "</f>
        <v xml:space="preserve">41773482  </v>
      </c>
      <c r="B4404" t="s">
        <v>4212</v>
      </c>
      <c r="C4404">
        <v>8.8000000000000007</v>
      </c>
      <c r="D4404" t="str">
        <f t="shared" ref="D4404:D4435" si="201">"250"</f>
        <v>250</v>
      </c>
      <c r="E4404" t="str">
        <f>"J8499"</f>
        <v>J8499</v>
      </c>
    </row>
    <row r="4405" spans="1:5" x14ac:dyDescent="0.25">
      <c r="A4405" t="str">
        <f>"41773557  "</f>
        <v xml:space="preserve">41773557  </v>
      </c>
      <c r="B4405" t="s">
        <v>4213</v>
      </c>
      <c r="C4405">
        <v>11</v>
      </c>
      <c r="D4405" t="str">
        <f t="shared" si="201"/>
        <v>250</v>
      </c>
      <c r="E4405" t="str">
        <f>"J8499"</f>
        <v>J8499</v>
      </c>
    </row>
    <row r="4406" spans="1:5" x14ac:dyDescent="0.25">
      <c r="A4406" t="str">
        <f>"41773706  "</f>
        <v xml:space="preserve">41773706  </v>
      </c>
      <c r="B4406" t="s">
        <v>4214</v>
      </c>
      <c r="C4406">
        <v>7.7</v>
      </c>
      <c r="D4406" t="str">
        <f t="shared" si="201"/>
        <v>250</v>
      </c>
      <c r="E4406" t="str">
        <f>"J8499"</f>
        <v>J8499</v>
      </c>
    </row>
    <row r="4407" spans="1:5" x14ac:dyDescent="0.25">
      <c r="A4407" t="str">
        <f>"41773904  "</f>
        <v xml:space="preserve">41773904  </v>
      </c>
      <c r="B4407" t="s">
        <v>4215</v>
      </c>
      <c r="C4407">
        <v>129.80000000000001</v>
      </c>
      <c r="D4407" t="str">
        <f t="shared" si="201"/>
        <v>250</v>
      </c>
      <c r="E4407" t="str">
        <f>"J3535"</f>
        <v>J3535</v>
      </c>
    </row>
    <row r="4408" spans="1:5" x14ac:dyDescent="0.25">
      <c r="A4408" t="str">
        <f>"41773912  "</f>
        <v xml:space="preserve">41773912  </v>
      </c>
      <c r="B4408" t="s">
        <v>4216</v>
      </c>
      <c r="C4408">
        <v>248.6</v>
      </c>
      <c r="D4408" t="str">
        <f t="shared" si="201"/>
        <v>250</v>
      </c>
      <c r="E4408" t="str">
        <f>"J3535"</f>
        <v>J3535</v>
      </c>
    </row>
    <row r="4409" spans="1:5" x14ac:dyDescent="0.25">
      <c r="A4409" t="str">
        <f>"41774001  "</f>
        <v xml:space="preserve">41774001  </v>
      </c>
      <c r="B4409" t="s">
        <v>4217</v>
      </c>
      <c r="C4409">
        <v>44</v>
      </c>
      <c r="D4409" t="str">
        <f t="shared" si="201"/>
        <v>250</v>
      </c>
      <c r="E4409" t="str">
        <f>"X6998"</f>
        <v>X6998</v>
      </c>
    </row>
    <row r="4410" spans="1:5" x14ac:dyDescent="0.25">
      <c r="A4410" t="str">
        <f>"41774001  "</f>
        <v xml:space="preserve">41774001  </v>
      </c>
      <c r="B4410" t="s">
        <v>4217</v>
      </c>
      <c r="C4410">
        <v>44</v>
      </c>
      <c r="D4410" t="str">
        <f t="shared" si="201"/>
        <v>250</v>
      </c>
      <c r="E4410" t="str">
        <f>"J3370"</f>
        <v>J3370</v>
      </c>
    </row>
    <row r="4411" spans="1:5" x14ac:dyDescent="0.25">
      <c r="A4411" t="str">
        <f>"41774220"</f>
        <v>41774220</v>
      </c>
      <c r="B4411" t="s">
        <v>4218</v>
      </c>
      <c r="C4411">
        <v>7.7</v>
      </c>
      <c r="D4411" t="str">
        <f t="shared" si="201"/>
        <v>250</v>
      </c>
    </row>
    <row r="4412" spans="1:5" x14ac:dyDescent="0.25">
      <c r="A4412" t="str">
        <f>"41774221"</f>
        <v>41774221</v>
      </c>
      <c r="B4412" t="s">
        <v>4219</v>
      </c>
      <c r="C4412">
        <v>19.690000000000001</v>
      </c>
      <c r="D4412" t="str">
        <f t="shared" si="201"/>
        <v>250</v>
      </c>
    </row>
    <row r="4413" spans="1:5" x14ac:dyDescent="0.25">
      <c r="A4413" t="str">
        <f>"41774241  "</f>
        <v xml:space="preserve">41774241  </v>
      </c>
      <c r="B4413" t="s">
        <v>4220</v>
      </c>
      <c r="C4413">
        <v>8.8000000000000007</v>
      </c>
      <c r="D4413" t="str">
        <f t="shared" si="201"/>
        <v>250</v>
      </c>
      <c r="E4413" t="str">
        <f>"J8499"</f>
        <v>J8499</v>
      </c>
    </row>
    <row r="4414" spans="1:5" x14ac:dyDescent="0.25">
      <c r="A4414" t="str">
        <f>"41774258  "</f>
        <v xml:space="preserve">41774258  </v>
      </c>
      <c r="B4414" t="s">
        <v>4221</v>
      </c>
      <c r="C4414">
        <v>9.9</v>
      </c>
      <c r="D4414" t="str">
        <f t="shared" si="201"/>
        <v>250</v>
      </c>
      <c r="E4414" t="str">
        <f>"J8499"</f>
        <v>J8499</v>
      </c>
    </row>
    <row r="4415" spans="1:5" x14ac:dyDescent="0.25">
      <c r="A4415" t="str">
        <f>"41774412"</f>
        <v>41774412</v>
      </c>
      <c r="B4415" t="s">
        <v>4222</v>
      </c>
      <c r="C4415">
        <v>6.6</v>
      </c>
      <c r="D4415" t="str">
        <f t="shared" si="201"/>
        <v>250</v>
      </c>
    </row>
    <row r="4416" spans="1:5" x14ac:dyDescent="0.25">
      <c r="A4416" t="str">
        <f>"41774440"</f>
        <v>41774440</v>
      </c>
      <c r="B4416" t="s">
        <v>4223</v>
      </c>
      <c r="C4416">
        <v>56.1</v>
      </c>
      <c r="D4416" t="str">
        <f t="shared" si="201"/>
        <v>250</v>
      </c>
    </row>
    <row r="4417" spans="1:5" x14ac:dyDescent="0.25">
      <c r="A4417" t="str">
        <f>"41774464  "</f>
        <v xml:space="preserve">41774464  </v>
      </c>
      <c r="B4417" t="s">
        <v>4224</v>
      </c>
      <c r="C4417">
        <v>6.6</v>
      </c>
      <c r="D4417" t="str">
        <f t="shared" si="201"/>
        <v>250</v>
      </c>
      <c r="E4417" t="str">
        <f>"J8499"</f>
        <v>J8499</v>
      </c>
    </row>
    <row r="4418" spans="1:5" x14ac:dyDescent="0.25">
      <c r="A4418" t="str">
        <f>"41774566"</f>
        <v>41774566</v>
      </c>
      <c r="B4418" t="s">
        <v>4225</v>
      </c>
      <c r="C4418">
        <v>330</v>
      </c>
      <c r="D4418" t="str">
        <f t="shared" si="201"/>
        <v>250</v>
      </c>
      <c r="E4418" t="str">
        <f>"J3490"</f>
        <v>J3490</v>
      </c>
    </row>
    <row r="4419" spans="1:5" x14ac:dyDescent="0.25">
      <c r="A4419" t="str">
        <f>"41774592"</f>
        <v>41774592</v>
      </c>
      <c r="B4419" t="s">
        <v>4226</v>
      </c>
      <c r="C4419">
        <v>167.75</v>
      </c>
      <c r="D4419" t="str">
        <f t="shared" si="201"/>
        <v>250</v>
      </c>
    </row>
    <row r="4420" spans="1:5" x14ac:dyDescent="0.25">
      <c r="A4420" t="str">
        <f>"41774654  "</f>
        <v xml:space="preserve">41774654  </v>
      </c>
      <c r="B4420" t="s">
        <v>4227</v>
      </c>
      <c r="C4420">
        <v>13.2</v>
      </c>
      <c r="D4420" t="str">
        <f t="shared" si="201"/>
        <v>250</v>
      </c>
      <c r="E4420" t="str">
        <f>"J8499"</f>
        <v>J8499</v>
      </c>
    </row>
    <row r="4421" spans="1:5" x14ac:dyDescent="0.25">
      <c r="A4421" t="str">
        <f>"41774704  "</f>
        <v xml:space="preserve">41774704  </v>
      </c>
      <c r="B4421" t="s">
        <v>4228</v>
      </c>
      <c r="C4421">
        <v>239.8</v>
      </c>
      <c r="D4421" t="str">
        <f t="shared" si="201"/>
        <v>250</v>
      </c>
      <c r="E4421" t="str">
        <f>"J3490"</f>
        <v>J3490</v>
      </c>
    </row>
    <row r="4422" spans="1:5" x14ac:dyDescent="0.25">
      <c r="A4422" t="str">
        <f>"41774753  "</f>
        <v xml:space="preserve">41774753  </v>
      </c>
      <c r="B4422" t="s">
        <v>4229</v>
      </c>
      <c r="C4422">
        <v>6.6</v>
      </c>
      <c r="D4422" t="str">
        <f t="shared" si="201"/>
        <v>250</v>
      </c>
      <c r="E4422" t="str">
        <f>"J8499"</f>
        <v>J8499</v>
      </c>
    </row>
    <row r="4423" spans="1:5" x14ac:dyDescent="0.25">
      <c r="A4423" t="str">
        <f>"41774787  "</f>
        <v xml:space="preserve">41774787  </v>
      </c>
      <c r="B4423" t="s">
        <v>4230</v>
      </c>
      <c r="C4423">
        <v>33</v>
      </c>
      <c r="D4423" t="str">
        <f t="shared" si="201"/>
        <v>250</v>
      </c>
      <c r="E4423" t="str">
        <f>"J2250"</f>
        <v>J2250</v>
      </c>
    </row>
    <row r="4424" spans="1:5" x14ac:dyDescent="0.25">
      <c r="A4424" t="str">
        <f>"41774787  "</f>
        <v xml:space="preserve">41774787  </v>
      </c>
      <c r="B4424" t="s">
        <v>4230</v>
      </c>
      <c r="C4424">
        <v>33</v>
      </c>
      <c r="D4424" t="str">
        <f t="shared" si="201"/>
        <v>250</v>
      </c>
    </row>
    <row r="4425" spans="1:5" x14ac:dyDescent="0.25">
      <c r="A4425" t="str">
        <f>"41774795  "</f>
        <v xml:space="preserve">41774795  </v>
      </c>
      <c r="B4425" t="s">
        <v>4231</v>
      </c>
      <c r="C4425">
        <v>6.6</v>
      </c>
      <c r="D4425" t="str">
        <f t="shared" si="201"/>
        <v>250</v>
      </c>
      <c r="E4425" t="str">
        <f>"J8499"</f>
        <v>J8499</v>
      </c>
    </row>
    <row r="4426" spans="1:5" x14ac:dyDescent="0.25">
      <c r="A4426" t="str">
        <f>"41774803  "</f>
        <v xml:space="preserve">41774803  </v>
      </c>
      <c r="B4426" t="s">
        <v>4232</v>
      </c>
      <c r="C4426">
        <v>8.8000000000000007</v>
      </c>
      <c r="D4426" t="str">
        <f t="shared" si="201"/>
        <v>250</v>
      </c>
      <c r="E4426" t="str">
        <f>"J8499"</f>
        <v>J8499</v>
      </c>
    </row>
    <row r="4427" spans="1:5" x14ac:dyDescent="0.25">
      <c r="A4427" t="str">
        <f>"41774811  "</f>
        <v xml:space="preserve">41774811  </v>
      </c>
      <c r="B4427" t="s">
        <v>4233</v>
      </c>
      <c r="C4427">
        <v>11</v>
      </c>
      <c r="D4427" t="str">
        <f t="shared" si="201"/>
        <v>250</v>
      </c>
      <c r="E4427" t="str">
        <f>"J8499"</f>
        <v>J8499</v>
      </c>
    </row>
    <row r="4428" spans="1:5" x14ac:dyDescent="0.25">
      <c r="A4428" t="str">
        <f>"41774852  "</f>
        <v xml:space="preserve">41774852  </v>
      </c>
      <c r="B4428" t="s">
        <v>4234</v>
      </c>
      <c r="C4428">
        <v>193.6</v>
      </c>
      <c r="D4428" t="str">
        <f t="shared" si="201"/>
        <v>250</v>
      </c>
      <c r="E4428" t="str">
        <f>"90779"</f>
        <v>90779</v>
      </c>
    </row>
    <row r="4429" spans="1:5" x14ac:dyDescent="0.25">
      <c r="A4429" t="str">
        <f>"41774852  "</f>
        <v xml:space="preserve">41774852  </v>
      </c>
      <c r="B4429" t="s">
        <v>4234</v>
      </c>
      <c r="C4429">
        <v>193.6</v>
      </c>
      <c r="D4429" t="str">
        <f t="shared" si="201"/>
        <v>250</v>
      </c>
      <c r="E4429" t="str">
        <f>"J3490"</f>
        <v>J3490</v>
      </c>
    </row>
    <row r="4430" spans="1:5" x14ac:dyDescent="0.25">
      <c r="A4430" t="str">
        <f>"41774902  "</f>
        <v xml:space="preserve">41774902  </v>
      </c>
      <c r="B4430" t="s">
        <v>4235</v>
      </c>
      <c r="C4430">
        <v>372.9</v>
      </c>
      <c r="D4430" t="str">
        <f t="shared" si="201"/>
        <v>250</v>
      </c>
      <c r="E4430" t="str">
        <f>"90779"</f>
        <v>90779</v>
      </c>
    </row>
    <row r="4431" spans="1:5" x14ac:dyDescent="0.25">
      <c r="A4431" t="str">
        <f>"41774902  "</f>
        <v xml:space="preserve">41774902  </v>
      </c>
      <c r="B4431" t="s">
        <v>4235</v>
      </c>
      <c r="C4431">
        <v>372.9</v>
      </c>
      <c r="D4431" t="str">
        <f t="shared" si="201"/>
        <v>250</v>
      </c>
      <c r="E4431" t="str">
        <f>"J3490"</f>
        <v>J3490</v>
      </c>
    </row>
    <row r="4432" spans="1:5" x14ac:dyDescent="0.25">
      <c r="A4432" t="str">
        <f>"41774951  "</f>
        <v xml:space="preserve">41774951  </v>
      </c>
      <c r="B4432" t="s">
        <v>4236</v>
      </c>
      <c r="C4432">
        <v>6.6</v>
      </c>
      <c r="D4432" t="str">
        <f t="shared" si="201"/>
        <v>250</v>
      </c>
      <c r="E4432" t="str">
        <f>"X6120"</f>
        <v>X6120</v>
      </c>
    </row>
    <row r="4433" spans="1:5" x14ac:dyDescent="0.25">
      <c r="A4433" t="str">
        <f>"41774951  "</f>
        <v xml:space="preserve">41774951  </v>
      </c>
      <c r="B4433" t="s">
        <v>4236</v>
      </c>
      <c r="C4433">
        <v>6.6</v>
      </c>
      <c r="D4433" t="str">
        <f t="shared" si="201"/>
        <v>250</v>
      </c>
      <c r="E4433" t="str">
        <f>"J8499"</f>
        <v>J8499</v>
      </c>
    </row>
    <row r="4434" spans="1:5" x14ac:dyDescent="0.25">
      <c r="A4434" t="str">
        <f>"41775057  "</f>
        <v xml:space="preserve">41775057  </v>
      </c>
      <c r="B4434" t="s">
        <v>4237</v>
      </c>
      <c r="C4434">
        <v>7.7</v>
      </c>
      <c r="D4434" t="str">
        <f t="shared" si="201"/>
        <v>250</v>
      </c>
      <c r="E4434" t="str">
        <f>"J8499"</f>
        <v>J8499</v>
      </c>
    </row>
    <row r="4435" spans="1:5" x14ac:dyDescent="0.25">
      <c r="A4435" t="str">
        <f>"41775065  "</f>
        <v xml:space="preserve">41775065  </v>
      </c>
      <c r="B4435" t="s">
        <v>4238</v>
      </c>
      <c r="C4435">
        <v>7.7</v>
      </c>
      <c r="D4435" t="str">
        <f t="shared" si="201"/>
        <v>250</v>
      </c>
      <c r="E4435" t="str">
        <f>"J8499"</f>
        <v>J8499</v>
      </c>
    </row>
    <row r="4436" spans="1:5" x14ac:dyDescent="0.25">
      <c r="A4436" t="str">
        <f>"41775156  "</f>
        <v xml:space="preserve">41775156  </v>
      </c>
      <c r="B4436" t="s">
        <v>4239</v>
      </c>
      <c r="C4436">
        <v>22</v>
      </c>
      <c r="D4436" t="str">
        <f t="shared" ref="D4436:D4454" si="202">"250"</f>
        <v>250</v>
      </c>
      <c r="E4436" t="str">
        <f>"J8499"</f>
        <v>J8499</v>
      </c>
    </row>
    <row r="4437" spans="1:5" x14ac:dyDescent="0.25">
      <c r="A4437" t="str">
        <f>"41775200"</f>
        <v>41775200</v>
      </c>
      <c r="B4437" t="s">
        <v>4240</v>
      </c>
      <c r="C4437">
        <v>236.5</v>
      </c>
      <c r="D4437" t="str">
        <f t="shared" si="202"/>
        <v>250</v>
      </c>
      <c r="E4437" t="str">
        <f>"J1650"</f>
        <v>J1650</v>
      </c>
    </row>
    <row r="4438" spans="1:5" x14ac:dyDescent="0.25">
      <c r="A4438" t="str">
        <f>"41775234"</f>
        <v>41775234</v>
      </c>
      <c r="B4438" t="s">
        <v>4241</v>
      </c>
      <c r="C4438" s="1">
        <v>1881</v>
      </c>
      <c r="D4438" t="str">
        <f t="shared" si="202"/>
        <v>250</v>
      </c>
      <c r="E4438" t="str">
        <f>"J0714"</f>
        <v>J0714</v>
      </c>
    </row>
    <row r="4439" spans="1:5" x14ac:dyDescent="0.25">
      <c r="A4439" t="str">
        <f>"41775321"</f>
        <v>41775321</v>
      </c>
      <c r="B4439" t="s">
        <v>4242</v>
      </c>
      <c r="C4439">
        <v>370.7</v>
      </c>
      <c r="D4439" t="str">
        <f t="shared" si="202"/>
        <v>250</v>
      </c>
    </row>
    <row r="4440" spans="1:5" x14ac:dyDescent="0.25">
      <c r="A4440" t="str">
        <f>"41775412  "</f>
        <v xml:space="preserve">41775412  </v>
      </c>
      <c r="B4440" t="s">
        <v>4243</v>
      </c>
      <c r="C4440">
        <v>164.66</v>
      </c>
      <c r="D4440" t="str">
        <f t="shared" si="202"/>
        <v>250</v>
      </c>
      <c r="E4440" t="str">
        <f>"J3490"</f>
        <v>J3490</v>
      </c>
    </row>
    <row r="4441" spans="1:5" x14ac:dyDescent="0.25">
      <c r="A4441" t="str">
        <f>"41775500"</f>
        <v>41775500</v>
      </c>
      <c r="B4441" t="s">
        <v>4244</v>
      </c>
      <c r="C4441">
        <v>33</v>
      </c>
      <c r="D4441" t="str">
        <f t="shared" si="202"/>
        <v>250</v>
      </c>
    </row>
    <row r="4442" spans="1:5" x14ac:dyDescent="0.25">
      <c r="A4442" t="str">
        <f>"41775545  "</f>
        <v xml:space="preserve">41775545  </v>
      </c>
      <c r="B4442" t="s">
        <v>4245</v>
      </c>
      <c r="C4442">
        <v>11</v>
      </c>
      <c r="D4442" t="str">
        <f t="shared" si="202"/>
        <v>250</v>
      </c>
      <c r="E4442" t="str">
        <f>"J8499"</f>
        <v>J8499</v>
      </c>
    </row>
    <row r="4443" spans="1:5" x14ac:dyDescent="0.25">
      <c r="A4443" t="str">
        <f>"41775580"</f>
        <v>41775580</v>
      </c>
      <c r="B4443" t="s">
        <v>4246</v>
      </c>
      <c r="C4443">
        <v>346.5</v>
      </c>
      <c r="D4443" t="str">
        <f t="shared" si="202"/>
        <v>250</v>
      </c>
    </row>
    <row r="4444" spans="1:5" x14ac:dyDescent="0.25">
      <c r="A4444" t="str">
        <f>"41775586  "</f>
        <v xml:space="preserve">41775586  </v>
      </c>
      <c r="B4444" t="s">
        <v>4247</v>
      </c>
      <c r="C4444">
        <v>8.25</v>
      </c>
      <c r="D4444" t="str">
        <f t="shared" si="202"/>
        <v>250</v>
      </c>
      <c r="E4444" t="str">
        <f>"J8499"</f>
        <v>J8499</v>
      </c>
    </row>
    <row r="4445" spans="1:5" x14ac:dyDescent="0.25">
      <c r="A4445" t="str">
        <f>"41775594  "</f>
        <v xml:space="preserve">41775594  </v>
      </c>
      <c r="B4445" t="s">
        <v>4248</v>
      </c>
      <c r="C4445">
        <v>308</v>
      </c>
      <c r="D4445" t="str">
        <f t="shared" si="202"/>
        <v>250</v>
      </c>
      <c r="E4445" t="str">
        <f>"X6336"</f>
        <v>X6336</v>
      </c>
    </row>
    <row r="4446" spans="1:5" x14ac:dyDescent="0.25">
      <c r="A4446" t="str">
        <f>"41775594  "</f>
        <v xml:space="preserve">41775594  </v>
      </c>
      <c r="B4446" t="s">
        <v>4248</v>
      </c>
      <c r="C4446">
        <v>308</v>
      </c>
      <c r="D4446" t="str">
        <f t="shared" si="202"/>
        <v>250</v>
      </c>
      <c r="E4446" t="str">
        <f>"J3410"</f>
        <v>J3410</v>
      </c>
    </row>
    <row r="4447" spans="1:5" x14ac:dyDescent="0.25">
      <c r="A4447" t="str">
        <f>"41775610  "</f>
        <v xml:space="preserve">41775610  </v>
      </c>
      <c r="B4447" t="s">
        <v>4249</v>
      </c>
      <c r="C4447">
        <v>154</v>
      </c>
      <c r="D4447" t="str">
        <f t="shared" si="202"/>
        <v>250</v>
      </c>
      <c r="E4447" t="str">
        <f>"X7010"</f>
        <v>X7010</v>
      </c>
    </row>
    <row r="4448" spans="1:5" x14ac:dyDescent="0.25">
      <c r="A4448" t="str">
        <f>"41775610  "</f>
        <v xml:space="preserve">41775610  </v>
      </c>
      <c r="B4448" t="s">
        <v>4249</v>
      </c>
      <c r="C4448">
        <v>154</v>
      </c>
      <c r="D4448" t="str">
        <f t="shared" si="202"/>
        <v>250</v>
      </c>
      <c r="E4448" t="str">
        <f>"J3410"</f>
        <v>J3410</v>
      </c>
    </row>
    <row r="4449" spans="1:5" x14ac:dyDescent="0.25">
      <c r="A4449" t="str">
        <f>"41775644  "</f>
        <v xml:space="preserve">41775644  </v>
      </c>
      <c r="B4449" t="s">
        <v>4250</v>
      </c>
      <c r="C4449">
        <v>40.04</v>
      </c>
      <c r="D4449" t="str">
        <f t="shared" si="202"/>
        <v>250</v>
      </c>
      <c r="E4449" t="str">
        <f>"J3260"</f>
        <v>J3260</v>
      </c>
    </row>
    <row r="4450" spans="1:5" x14ac:dyDescent="0.25">
      <c r="A4450" t="str">
        <f>"41775651  "</f>
        <v xml:space="preserve">41775651  </v>
      </c>
      <c r="B4450" t="s">
        <v>4251</v>
      </c>
      <c r="C4450">
        <v>6.6</v>
      </c>
      <c r="D4450" t="str">
        <f t="shared" si="202"/>
        <v>250</v>
      </c>
    </row>
    <row r="4451" spans="1:5" x14ac:dyDescent="0.25">
      <c r="A4451" t="str">
        <f>"41775669  "</f>
        <v xml:space="preserve">41775669  </v>
      </c>
      <c r="B4451" t="s">
        <v>4252</v>
      </c>
      <c r="C4451">
        <v>6.6</v>
      </c>
      <c r="D4451" t="str">
        <f t="shared" si="202"/>
        <v>250</v>
      </c>
    </row>
    <row r="4452" spans="1:5" x14ac:dyDescent="0.25">
      <c r="A4452" t="str">
        <f>"41775800  "</f>
        <v xml:space="preserve">41775800  </v>
      </c>
      <c r="B4452" t="s">
        <v>4253</v>
      </c>
      <c r="C4452">
        <v>18.7</v>
      </c>
      <c r="D4452" t="str">
        <f t="shared" si="202"/>
        <v>250</v>
      </c>
      <c r="E4452" t="str">
        <f>"J3490"</f>
        <v>J3490</v>
      </c>
    </row>
    <row r="4453" spans="1:5" x14ac:dyDescent="0.25">
      <c r="A4453" t="str">
        <f>"41775909  "</f>
        <v xml:space="preserve">41775909  </v>
      </c>
      <c r="B4453" t="s">
        <v>4254</v>
      </c>
      <c r="C4453">
        <v>462</v>
      </c>
      <c r="D4453" t="str">
        <f t="shared" si="202"/>
        <v>250</v>
      </c>
      <c r="E4453" t="str">
        <f>"X6336"</f>
        <v>X6336</v>
      </c>
    </row>
    <row r="4454" spans="1:5" x14ac:dyDescent="0.25">
      <c r="A4454" t="str">
        <f>"41775909  "</f>
        <v xml:space="preserve">41775909  </v>
      </c>
      <c r="B4454" t="s">
        <v>4254</v>
      </c>
      <c r="C4454">
        <v>462</v>
      </c>
      <c r="D4454" t="str">
        <f t="shared" si="202"/>
        <v>250</v>
      </c>
      <c r="E4454" t="str">
        <f>"J3410"</f>
        <v>J3410</v>
      </c>
    </row>
    <row r="4455" spans="1:5" x14ac:dyDescent="0.25">
      <c r="A4455" t="str">
        <f>"41775958  "</f>
        <v xml:space="preserve">41775958  </v>
      </c>
      <c r="B4455" t="s">
        <v>4255</v>
      </c>
      <c r="C4455">
        <v>6.6</v>
      </c>
      <c r="D4455" t="str">
        <f>"257"</f>
        <v>257</v>
      </c>
      <c r="E4455" t="str">
        <f>"J3490"</f>
        <v>J3490</v>
      </c>
    </row>
    <row r="4456" spans="1:5" x14ac:dyDescent="0.25">
      <c r="A4456" t="str">
        <f>"41776105  "</f>
        <v xml:space="preserve">41776105  </v>
      </c>
      <c r="B4456" t="s">
        <v>4256</v>
      </c>
      <c r="C4456">
        <v>165</v>
      </c>
      <c r="D4456" t="str">
        <f t="shared" ref="D4456:D4461" si="203">"250"</f>
        <v>250</v>
      </c>
      <c r="E4456" t="str">
        <f>"X6600"</f>
        <v>X6600</v>
      </c>
    </row>
    <row r="4457" spans="1:5" x14ac:dyDescent="0.25">
      <c r="A4457" t="str">
        <f>"41776105  "</f>
        <v xml:space="preserve">41776105  </v>
      </c>
      <c r="B4457" t="s">
        <v>4256</v>
      </c>
      <c r="C4457">
        <v>165</v>
      </c>
      <c r="D4457" t="str">
        <f t="shared" si="203"/>
        <v>250</v>
      </c>
      <c r="E4457" t="str">
        <f>"J3490"</f>
        <v>J3490</v>
      </c>
    </row>
    <row r="4458" spans="1:5" x14ac:dyDescent="0.25">
      <c r="A4458" t="str">
        <f>"41776121  "</f>
        <v xml:space="preserve">41776121  </v>
      </c>
      <c r="B4458" t="s">
        <v>4257</v>
      </c>
      <c r="C4458">
        <v>93.5</v>
      </c>
      <c r="D4458" t="str">
        <f t="shared" si="203"/>
        <v>250</v>
      </c>
      <c r="E4458" t="str">
        <f>"J8499"</f>
        <v>J8499</v>
      </c>
    </row>
    <row r="4459" spans="1:5" x14ac:dyDescent="0.25">
      <c r="A4459" t="str">
        <f>"41776162  "</f>
        <v xml:space="preserve">41776162  </v>
      </c>
      <c r="B4459" t="s">
        <v>4258</v>
      </c>
      <c r="C4459">
        <v>34.1</v>
      </c>
      <c r="D4459" t="str">
        <f t="shared" si="203"/>
        <v>250</v>
      </c>
      <c r="E4459" t="str">
        <f>"J8499"</f>
        <v>J8499</v>
      </c>
    </row>
    <row r="4460" spans="1:5" x14ac:dyDescent="0.25">
      <c r="A4460" t="str">
        <f>"41776204  "</f>
        <v xml:space="preserve">41776204  </v>
      </c>
      <c r="B4460" t="s">
        <v>4259</v>
      </c>
      <c r="C4460">
        <v>6.6</v>
      </c>
      <c r="D4460" t="str">
        <f t="shared" si="203"/>
        <v>250</v>
      </c>
      <c r="E4460" t="str">
        <f>"J3490"</f>
        <v>J3490</v>
      </c>
    </row>
    <row r="4461" spans="1:5" x14ac:dyDescent="0.25">
      <c r="A4461" t="str">
        <f>"41776220  "</f>
        <v xml:space="preserve">41776220  </v>
      </c>
      <c r="B4461" t="s">
        <v>4260</v>
      </c>
      <c r="C4461">
        <v>16.5</v>
      </c>
      <c r="D4461" t="str">
        <f t="shared" si="203"/>
        <v>250</v>
      </c>
      <c r="E4461" t="str">
        <f>"J3490"</f>
        <v>J3490</v>
      </c>
    </row>
    <row r="4462" spans="1:5" x14ac:dyDescent="0.25">
      <c r="A4462" t="str">
        <f>"41776238  "</f>
        <v xml:space="preserve">41776238  </v>
      </c>
      <c r="B4462" t="s">
        <v>4261</v>
      </c>
      <c r="C4462">
        <v>22</v>
      </c>
      <c r="D4462" t="str">
        <f>"257"</f>
        <v>257</v>
      </c>
    </row>
    <row r="4463" spans="1:5" x14ac:dyDescent="0.25">
      <c r="A4463" t="str">
        <f>"41776279  "</f>
        <v xml:space="preserve">41776279  </v>
      </c>
      <c r="B4463" t="s">
        <v>4262</v>
      </c>
      <c r="C4463">
        <v>10.55</v>
      </c>
      <c r="D4463" t="str">
        <f>"250"</f>
        <v>250</v>
      </c>
    </row>
    <row r="4464" spans="1:5" x14ac:dyDescent="0.25">
      <c r="A4464" t="str">
        <f>"41776303  "</f>
        <v xml:space="preserve">41776303  </v>
      </c>
      <c r="B4464" t="s">
        <v>4263</v>
      </c>
      <c r="C4464">
        <v>52.8</v>
      </c>
      <c r="D4464" t="str">
        <f>"250"</f>
        <v>250</v>
      </c>
      <c r="E4464" t="str">
        <f>"J8499"</f>
        <v>J8499</v>
      </c>
    </row>
    <row r="4465" spans="1:5" x14ac:dyDescent="0.25">
      <c r="A4465" t="str">
        <f>"41776311  "</f>
        <v xml:space="preserve">41776311  </v>
      </c>
      <c r="B4465" t="s">
        <v>4264</v>
      </c>
      <c r="C4465">
        <v>60.06</v>
      </c>
      <c r="D4465" t="str">
        <f>"250"</f>
        <v>250</v>
      </c>
      <c r="E4465" t="str">
        <f>"J3260"</f>
        <v>J3260</v>
      </c>
    </row>
    <row r="4466" spans="1:5" x14ac:dyDescent="0.25">
      <c r="A4466" t="str">
        <f>"41776352  "</f>
        <v xml:space="preserve">41776352  </v>
      </c>
      <c r="B4466" t="s">
        <v>4265</v>
      </c>
      <c r="C4466">
        <v>8.8000000000000007</v>
      </c>
      <c r="D4466" t="str">
        <f>"250"</f>
        <v>250</v>
      </c>
      <c r="E4466" t="str">
        <f>"J8499"</f>
        <v>J8499</v>
      </c>
    </row>
    <row r="4467" spans="1:5" x14ac:dyDescent="0.25">
      <c r="A4467" t="str">
        <f>"41776360  "</f>
        <v xml:space="preserve">41776360  </v>
      </c>
      <c r="B4467" t="s">
        <v>4266</v>
      </c>
      <c r="C4467">
        <v>8.8000000000000007</v>
      </c>
      <c r="D4467" t="str">
        <f>"257"</f>
        <v>257</v>
      </c>
      <c r="E4467" t="str">
        <f>"J3490"</f>
        <v>J3490</v>
      </c>
    </row>
    <row r="4468" spans="1:5" x14ac:dyDescent="0.25">
      <c r="A4468" t="str">
        <f>"41776402  "</f>
        <v xml:space="preserve">41776402  </v>
      </c>
      <c r="B4468" t="s">
        <v>4267</v>
      </c>
      <c r="C4468">
        <v>6.6</v>
      </c>
      <c r="D4468" t="str">
        <f>"257"</f>
        <v>257</v>
      </c>
      <c r="E4468" t="str">
        <f>"J3490"</f>
        <v>J3490</v>
      </c>
    </row>
    <row r="4469" spans="1:5" x14ac:dyDescent="0.25">
      <c r="A4469" t="str">
        <f>"41776410  "</f>
        <v xml:space="preserve">41776410  </v>
      </c>
      <c r="B4469" t="s">
        <v>4268</v>
      </c>
      <c r="C4469">
        <v>7.7</v>
      </c>
      <c r="D4469" t="str">
        <f t="shared" ref="D4469:D4474" si="204">"250"</f>
        <v>250</v>
      </c>
      <c r="E4469" t="str">
        <f>"J8499"</f>
        <v>J8499</v>
      </c>
    </row>
    <row r="4470" spans="1:5" x14ac:dyDescent="0.25">
      <c r="A4470" t="str">
        <f>"41776428  "</f>
        <v xml:space="preserve">41776428  </v>
      </c>
      <c r="B4470" t="s">
        <v>4269</v>
      </c>
      <c r="C4470">
        <v>440</v>
      </c>
      <c r="D4470" t="str">
        <f t="shared" si="204"/>
        <v>250</v>
      </c>
      <c r="E4470" t="str">
        <f>"J3490"</f>
        <v>J3490</v>
      </c>
    </row>
    <row r="4471" spans="1:5" x14ac:dyDescent="0.25">
      <c r="A4471" t="str">
        <f>"41776500"</f>
        <v>41776500</v>
      </c>
      <c r="B4471" t="s">
        <v>4270</v>
      </c>
      <c r="C4471">
        <v>10.99</v>
      </c>
      <c r="D4471" t="str">
        <f t="shared" si="204"/>
        <v>250</v>
      </c>
    </row>
    <row r="4472" spans="1:5" x14ac:dyDescent="0.25">
      <c r="A4472" t="str">
        <f>"41776519  "</f>
        <v xml:space="preserve">41776519  </v>
      </c>
      <c r="B4472" t="s">
        <v>4271</v>
      </c>
      <c r="C4472">
        <v>11</v>
      </c>
      <c r="D4472" t="str">
        <f t="shared" si="204"/>
        <v>250</v>
      </c>
      <c r="E4472" t="str">
        <f>"J8499"</f>
        <v>J8499</v>
      </c>
    </row>
    <row r="4473" spans="1:5" x14ac:dyDescent="0.25">
      <c r="A4473" t="str">
        <f>"41776535  "</f>
        <v xml:space="preserve">41776535  </v>
      </c>
      <c r="B4473" t="s">
        <v>4272</v>
      </c>
      <c r="C4473">
        <v>50.05</v>
      </c>
      <c r="D4473" t="str">
        <f t="shared" si="204"/>
        <v>250</v>
      </c>
      <c r="E4473" t="str">
        <f>"J3260"</f>
        <v>J3260</v>
      </c>
    </row>
    <row r="4474" spans="1:5" x14ac:dyDescent="0.25">
      <c r="A4474" t="str">
        <f>"41776543  "</f>
        <v xml:space="preserve">41776543  </v>
      </c>
      <c r="B4474" t="s">
        <v>4273</v>
      </c>
      <c r="C4474">
        <v>134.41999999999999</v>
      </c>
      <c r="D4474" t="str">
        <f t="shared" si="204"/>
        <v>250</v>
      </c>
      <c r="E4474" t="str">
        <f>"J2405"</f>
        <v>J2405</v>
      </c>
    </row>
    <row r="4475" spans="1:5" x14ac:dyDescent="0.25">
      <c r="A4475" t="str">
        <f>"41776601"</f>
        <v>41776601</v>
      </c>
      <c r="B4475" t="s">
        <v>4274</v>
      </c>
      <c r="C4475">
        <v>40.94</v>
      </c>
      <c r="D4475" t="str">
        <f>"250       "</f>
        <v xml:space="preserve">250       </v>
      </c>
    </row>
    <row r="4476" spans="1:5" x14ac:dyDescent="0.25">
      <c r="A4476" t="str">
        <f>"41776758  "</f>
        <v xml:space="preserve">41776758  </v>
      </c>
      <c r="B4476" t="s">
        <v>4275</v>
      </c>
      <c r="C4476">
        <v>7.7</v>
      </c>
      <c r="D4476" t="str">
        <f t="shared" ref="D4476:D4484" si="205">"250"</f>
        <v>250</v>
      </c>
      <c r="E4476" t="str">
        <f>"J8499"</f>
        <v>J8499</v>
      </c>
    </row>
    <row r="4477" spans="1:5" x14ac:dyDescent="0.25">
      <c r="A4477" t="str">
        <f>"41776808  "</f>
        <v xml:space="preserve">41776808  </v>
      </c>
      <c r="B4477" t="s">
        <v>4276</v>
      </c>
      <c r="C4477">
        <v>8.8000000000000007</v>
      </c>
      <c r="D4477" t="str">
        <f t="shared" si="205"/>
        <v>250</v>
      </c>
      <c r="E4477" t="str">
        <f>"J8499"</f>
        <v>J8499</v>
      </c>
    </row>
    <row r="4478" spans="1:5" x14ac:dyDescent="0.25">
      <c r="A4478" t="str">
        <f>"41776865  "</f>
        <v xml:space="preserve">41776865  </v>
      </c>
      <c r="B4478" t="s">
        <v>4277</v>
      </c>
      <c r="C4478">
        <v>22</v>
      </c>
      <c r="D4478" t="str">
        <f t="shared" si="205"/>
        <v>250</v>
      </c>
      <c r="E4478" t="str">
        <f>"J8499"</f>
        <v>J8499</v>
      </c>
    </row>
    <row r="4479" spans="1:5" x14ac:dyDescent="0.25">
      <c r="A4479" t="str">
        <f>"41776899  "</f>
        <v xml:space="preserve">41776899  </v>
      </c>
      <c r="B4479" t="s">
        <v>4278</v>
      </c>
      <c r="C4479">
        <v>7.28</v>
      </c>
      <c r="D4479" t="str">
        <f t="shared" si="205"/>
        <v>250</v>
      </c>
      <c r="E4479" t="str">
        <f>"J8499"</f>
        <v>J8499</v>
      </c>
    </row>
    <row r="4480" spans="1:5" x14ac:dyDescent="0.25">
      <c r="A4480" t="str">
        <f>"41776915  "</f>
        <v xml:space="preserve">41776915  </v>
      </c>
      <c r="B4480" t="s">
        <v>4279</v>
      </c>
      <c r="C4480">
        <v>6.6</v>
      </c>
      <c r="D4480" t="str">
        <f t="shared" si="205"/>
        <v>250</v>
      </c>
      <c r="E4480" t="str">
        <f>"J8499"</f>
        <v>J8499</v>
      </c>
    </row>
    <row r="4481" spans="1:5" x14ac:dyDescent="0.25">
      <c r="A4481" t="str">
        <f>"41777001"</f>
        <v>41777001</v>
      </c>
      <c r="B4481" t="s">
        <v>4280</v>
      </c>
      <c r="C4481">
        <v>16.5</v>
      </c>
      <c r="D4481" t="str">
        <f t="shared" si="205"/>
        <v>250</v>
      </c>
      <c r="E4481" t="str">
        <f>"J1815"</f>
        <v>J1815</v>
      </c>
    </row>
    <row r="4482" spans="1:5" x14ac:dyDescent="0.25">
      <c r="A4482" t="str">
        <f>"41777002"</f>
        <v>41777002</v>
      </c>
      <c r="B4482" t="s">
        <v>4281</v>
      </c>
      <c r="C4482">
        <v>301.13</v>
      </c>
      <c r="D4482" t="str">
        <f t="shared" si="205"/>
        <v>250</v>
      </c>
    </row>
    <row r="4483" spans="1:5" x14ac:dyDescent="0.25">
      <c r="A4483" t="str">
        <f>"41777004  "</f>
        <v xml:space="preserve">41777004  </v>
      </c>
      <c r="B4483" t="s">
        <v>4282</v>
      </c>
      <c r="C4483">
        <v>108.9</v>
      </c>
      <c r="D4483" t="str">
        <f t="shared" si="205"/>
        <v>250</v>
      </c>
      <c r="E4483" t="str">
        <f>"J3490"</f>
        <v>J3490</v>
      </c>
    </row>
    <row r="4484" spans="1:5" x14ac:dyDescent="0.25">
      <c r="A4484" t="str">
        <f>"41777008"</f>
        <v>41777008</v>
      </c>
      <c r="B4484" t="s">
        <v>4283</v>
      </c>
      <c r="C4484">
        <v>11</v>
      </c>
      <c r="D4484" t="str">
        <f t="shared" si="205"/>
        <v>250</v>
      </c>
    </row>
    <row r="4485" spans="1:5" x14ac:dyDescent="0.25">
      <c r="A4485" t="str">
        <f>"41777012  "</f>
        <v xml:space="preserve">41777012  </v>
      </c>
      <c r="B4485" t="s">
        <v>4284</v>
      </c>
      <c r="C4485">
        <v>22</v>
      </c>
      <c r="D4485" t="str">
        <f>"257"</f>
        <v>257</v>
      </c>
    </row>
    <row r="4486" spans="1:5" x14ac:dyDescent="0.25">
      <c r="A4486" t="str">
        <f>"41777038  "</f>
        <v xml:space="preserve">41777038  </v>
      </c>
      <c r="B4486" t="s">
        <v>4285</v>
      </c>
      <c r="C4486">
        <v>506</v>
      </c>
      <c r="D4486" t="str">
        <f t="shared" ref="D4486:D4504" si="206">"250"</f>
        <v>250</v>
      </c>
    </row>
    <row r="4487" spans="1:5" x14ac:dyDescent="0.25">
      <c r="A4487" t="str">
        <f>"41777046  "</f>
        <v xml:space="preserve">41777046  </v>
      </c>
      <c r="B4487" t="s">
        <v>4286</v>
      </c>
      <c r="C4487">
        <v>55.22</v>
      </c>
      <c r="D4487" t="str">
        <f t="shared" si="206"/>
        <v>250</v>
      </c>
    </row>
    <row r="4488" spans="1:5" x14ac:dyDescent="0.25">
      <c r="A4488" t="str">
        <f>"41777061  "</f>
        <v xml:space="preserve">41777061  </v>
      </c>
      <c r="B4488" t="s">
        <v>4287</v>
      </c>
      <c r="C4488">
        <v>23.58</v>
      </c>
      <c r="D4488" t="str">
        <f t="shared" si="206"/>
        <v>250</v>
      </c>
    </row>
    <row r="4489" spans="1:5" x14ac:dyDescent="0.25">
      <c r="A4489" t="str">
        <f>"41777079  "</f>
        <v xml:space="preserve">41777079  </v>
      </c>
      <c r="B4489" t="s">
        <v>4288</v>
      </c>
      <c r="C4489">
        <v>218.9</v>
      </c>
      <c r="D4489" t="str">
        <f t="shared" si="206"/>
        <v>250</v>
      </c>
    </row>
    <row r="4490" spans="1:5" x14ac:dyDescent="0.25">
      <c r="A4490" t="str">
        <f>"41777087  "</f>
        <v xml:space="preserve">41777087  </v>
      </c>
      <c r="B4490" t="s">
        <v>4289</v>
      </c>
      <c r="C4490">
        <v>10.34</v>
      </c>
      <c r="D4490" t="str">
        <f t="shared" si="206"/>
        <v>250</v>
      </c>
    </row>
    <row r="4491" spans="1:5" x14ac:dyDescent="0.25">
      <c r="A4491" t="str">
        <f>"41777095  "</f>
        <v xml:space="preserve">41777095  </v>
      </c>
      <c r="B4491" t="s">
        <v>4290</v>
      </c>
      <c r="C4491">
        <v>18.96</v>
      </c>
      <c r="D4491" t="str">
        <f t="shared" si="206"/>
        <v>250</v>
      </c>
    </row>
    <row r="4492" spans="1:5" x14ac:dyDescent="0.25">
      <c r="A4492" t="str">
        <f>"41777110"</f>
        <v>41777110</v>
      </c>
      <c r="B4492" t="s">
        <v>4291</v>
      </c>
      <c r="C4492">
        <v>731.23</v>
      </c>
      <c r="D4492" t="str">
        <f t="shared" si="206"/>
        <v>250</v>
      </c>
    </row>
    <row r="4493" spans="1:5" x14ac:dyDescent="0.25">
      <c r="A4493" t="str">
        <f>"41777123"</f>
        <v>41777123</v>
      </c>
      <c r="B4493" t="s">
        <v>4292</v>
      </c>
      <c r="C4493">
        <v>55.22</v>
      </c>
      <c r="D4493" t="str">
        <f t="shared" si="206"/>
        <v>250</v>
      </c>
    </row>
    <row r="4494" spans="1:5" x14ac:dyDescent="0.25">
      <c r="A4494" t="str">
        <f>"41777137  "</f>
        <v xml:space="preserve">41777137  </v>
      </c>
      <c r="B4494" t="s">
        <v>4293</v>
      </c>
      <c r="C4494">
        <v>6.6</v>
      </c>
      <c r="D4494" t="str">
        <f t="shared" si="206"/>
        <v>250</v>
      </c>
      <c r="E4494" t="str">
        <f>"J8499"</f>
        <v>J8499</v>
      </c>
    </row>
    <row r="4495" spans="1:5" x14ac:dyDescent="0.25">
      <c r="A4495" t="str">
        <f>"41777194  "</f>
        <v xml:space="preserve">41777194  </v>
      </c>
      <c r="B4495" t="s">
        <v>4294</v>
      </c>
      <c r="C4495">
        <v>8.9499999999999993</v>
      </c>
      <c r="D4495" t="str">
        <f t="shared" si="206"/>
        <v>250</v>
      </c>
    </row>
    <row r="4496" spans="1:5" x14ac:dyDescent="0.25">
      <c r="A4496" t="str">
        <f>"41777202  "</f>
        <v xml:space="preserve">41777202  </v>
      </c>
      <c r="B4496" t="s">
        <v>4295</v>
      </c>
      <c r="C4496">
        <v>38.5</v>
      </c>
      <c r="D4496" t="str">
        <f t="shared" si="206"/>
        <v>250</v>
      </c>
      <c r="E4496" t="str">
        <f>"J2001"</f>
        <v>J2001</v>
      </c>
    </row>
    <row r="4497" spans="1:5" x14ac:dyDescent="0.25">
      <c r="A4497" t="str">
        <f>"41777202  "</f>
        <v xml:space="preserve">41777202  </v>
      </c>
      <c r="B4497" t="s">
        <v>4295</v>
      </c>
      <c r="C4497">
        <v>38.5</v>
      </c>
      <c r="D4497" t="str">
        <f t="shared" si="206"/>
        <v>250</v>
      </c>
      <c r="E4497" t="str">
        <f>"J2001"</f>
        <v>J2001</v>
      </c>
    </row>
    <row r="4498" spans="1:5" x14ac:dyDescent="0.25">
      <c r="A4498" t="str">
        <f>"41777204"</f>
        <v>41777204</v>
      </c>
      <c r="B4498" t="s">
        <v>4296</v>
      </c>
      <c r="C4498">
        <v>11</v>
      </c>
      <c r="D4498" t="str">
        <f t="shared" si="206"/>
        <v>250</v>
      </c>
      <c r="E4498" t="str">
        <f>"J7608"</f>
        <v>J7608</v>
      </c>
    </row>
    <row r="4499" spans="1:5" x14ac:dyDescent="0.25">
      <c r="A4499" t="str">
        <f>"41777211"</f>
        <v>41777211</v>
      </c>
      <c r="B4499" t="s">
        <v>4297</v>
      </c>
      <c r="C4499">
        <v>10.51</v>
      </c>
      <c r="D4499" t="str">
        <f t="shared" si="206"/>
        <v>250</v>
      </c>
    </row>
    <row r="4500" spans="1:5" x14ac:dyDescent="0.25">
      <c r="A4500" t="str">
        <f>"41777212"</f>
        <v>41777212</v>
      </c>
      <c r="B4500" t="s">
        <v>4298</v>
      </c>
      <c r="C4500">
        <v>343.2</v>
      </c>
      <c r="D4500" t="str">
        <f t="shared" si="206"/>
        <v>250</v>
      </c>
    </row>
    <row r="4501" spans="1:5" x14ac:dyDescent="0.25">
      <c r="A4501" t="str">
        <f>"417772213"</f>
        <v>417772213</v>
      </c>
      <c r="B4501" t="s">
        <v>4172</v>
      </c>
      <c r="C4501">
        <v>82.5</v>
      </c>
      <c r="D4501" t="str">
        <f t="shared" si="206"/>
        <v>250</v>
      </c>
      <c r="E4501" t="str">
        <f>"J1650"</f>
        <v>J1650</v>
      </c>
    </row>
    <row r="4502" spans="1:5" x14ac:dyDescent="0.25">
      <c r="A4502" t="str">
        <f>"41777233"</f>
        <v>41777233</v>
      </c>
      <c r="B4502" t="s">
        <v>4299</v>
      </c>
      <c r="C4502">
        <v>115.5</v>
      </c>
      <c r="D4502" t="str">
        <f t="shared" si="206"/>
        <v>250</v>
      </c>
      <c r="E4502" t="str">
        <f>"J1580"</f>
        <v>J1580</v>
      </c>
    </row>
    <row r="4503" spans="1:5" x14ac:dyDescent="0.25">
      <c r="A4503" t="str">
        <f>"41777234"</f>
        <v>41777234</v>
      </c>
      <c r="B4503" t="s">
        <v>4300</v>
      </c>
      <c r="C4503">
        <v>93.5</v>
      </c>
      <c r="D4503" t="str">
        <f t="shared" si="206"/>
        <v>250</v>
      </c>
      <c r="E4503" t="str">
        <f>"J1580"</f>
        <v>J1580</v>
      </c>
    </row>
    <row r="4504" spans="1:5" x14ac:dyDescent="0.25">
      <c r="A4504" t="str">
        <f>"41777240"</f>
        <v>41777240</v>
      </c>
      <c r="B4504" t="s">
        <v>4157</v>
      </c>
      <c r="C4504">
        <v>9.6</v>
      </c>
      <c r="D4504" t="str">
        <f t="shared" si="206"/>
        <v>250</v>
      </c>
    </row>
    <row r="4505" spans="1:5" x14ac:dyDescent="0.25">
      <c r="A4505" t="str">
        <f>"41777300"</f>
        <v>41777300</v>
      </c>
      <c r="B4505" t="s">
        <v>4301</v>
      </c>
      <c r="C4505">
        <v>111.87</v>
      </c>
      <c r="D4505" t="str">
        <f>"257"</f>
        <v>257</v>
      </c>
    </row>
    <row r="4506" spans="1:5" x14ac:dyDescent="0.25">
      <c r="A4506" t="str">
        <f>"41777376  "</f>
        <v xml:space="preserve">41777376  </v>
      </c>
      <c r="B4506" t="s">
        <v>4302</v>
      </c>
      <c r="C4506">
        <v>16.5</v>
      </c>
      <c r="D4506" t="str">
        <f t="shared" ref="D4506:D4515" si="207">"250"</f>
        <v>250</v>
      </c>
      <c r="E4506" t="str">
        <f>"J8499"</f>
        <v>J8499</v>
      </c>
    </row>
    <row r="4507" spans="1:5" x14ac:dyDescent="0.25">
      <c r="A4507" t="str">
        <f>"41777400"</f>
        <v>41777400</v>
      </c>
      <c r="B4507" t="s">
        <v>4303</v>
      </c>
      <c r="C4507">
        <v>6.6</v>
      </c>
      <c r="D4507" t="str">
        <f t="shared" si="207"/>
        <v>250</v>
      </c>
    </row>
    <row r="4508" spans="1:5" x14ac:dyDescent="0.25">
      <c r="A4508" t="str">
        <f>"41777411"</f>
        <v>41777411</v>
      </c>
      <c r="B4508" t="s">
        <v>4304</v>
      </c>
      <c r="C4508">
        <v>50.6</v>
      </c>
      <c r="D4508" t="str">
        <f t="shared" si="207"/>
        <v>250</v>
      </c>
    </row>
    <row r="4509" spans="1:5" x14ac:dyDescent="0.25">
      <c r="A4509" t="str">
        <f>"41777442"</f>
        <v>41777442</v>
      </c>
      <c r="B4509" t="s">
        <v>4305</v>
      </c>
      <c r="C4509">
        <v>104.5</v>
      </c>
      <c r="D4509" t="str">
        <f t="shared" si="207"/>
        <v>250</v>
      </c>
      <c r="E4509" t="str">
        <f>"J1580"</f>
        <v>J1580</v>
      </c>
    </row>
    <row r="4510" spans="1:5" x14ac:dyDescent="0.25">
      <c r="A4510" t="str">
        <f>"41777459  "</f>
        <v xml:space="preserve">41777459  </v>
      </c>
      <c r="B4510" t="s">
        <v>4306</v>
      </c>
      <c r="C4510">
        <v>11</v>
      </c>
      <c r="D4510" t="str">
        <f t="shared" si="207"/>
        <v>250</v>
      </c>
      <c r="E4510" t="str">
        <f>"J8499"</f>
        <v>J8499</v>
      </c>
    </row>
    <row r="4511" spans="1:5" x14ac:dyDescent="0.25">
      <c r="A4511" t="str">
        <f>"41777467  "</f>
        <v xml:space="preserve">41777467  </v>
      </c>
      <c r="B4511" t="s">
        <v>4307</v>
      </c>
      <c r="C4511">
        <v>182.6</v>
      </c>
      <c r="D4511" t="str">
        <f t="shared" si="207"/>
        <v>250</v>
      </c>
      <c r="E4511" t="str">
        <f>"J2543"</f>
        <v>J2543</v>
      </c>
    </row>
    <row r="4512" spans="1:5" x14ac:dyDescent="0.25">
      <c r="A4512" t="str">
        <f>"41777483  "</f>
        <v xml:space="preserve">41777483  </v>
      </c>
      <c r="B4512" t="s">
        <v>4308</v>
      </c>
      <c r="C4512">
        <v>22.9</v>
      </c>
      <c r="D4512" t="str">
        <f t="shared" si="207"/>
        <v>250</v>
      </c>
    </row>
    <row r="4513" spans="1:5" x14ac:dyDescent="0.25">
      <c r="A4513" t="str">
        <f>"41777502"</f>
        <v>41777502</v>
      </c>
      <c r="B4513" t="s">
        <v>4309</v>
      </c>
      <c r="C4513">
        <v>82.5</v>
      </c>
      <c r="D4513" t="str">
        <f t="shared" si="207"/>
        <v>250</v>
      </c>
    </row>
    <row r="4514" spans="1:5" x14ac:dyDescent="0.25">
      <c r="A4514" t="str">
        <f>"41777509  "</f>
        <v xml:space="preserve">41777509  </v>
      </c>
      <c r="B4514" t="s">
        <v>4310</v>
      </c>
      <c r="C4514">
        <v>13.2</v>
      </c>
      <c r="D4514" t="str">
        <f t="shared" si="207"/>
        <v>250</v>
      </c>
      <c r="E4514" t="str">
        <f>"J8499"</f>
        <v>J8499</v>
      </c>
    </row>
    <row r="4515" spans="1:5" x14ac:dyDescent="0.25">
      <c r="A4515" t="str">
        <f>"41777517  "</f>
        <v xml:space="preserve">41777517  </v>
      </c>
      <c r="B4515" t="s">
        <v>4311</v>
      </c>
      <c r="C4515">
        <v>23.1</v>
      </c>
      <c r="D4515" t="str">
        <f t="shared" si="207"/>
        <v>250</v>
      </c>
      <c r="E4515" t="str">
        <f>"J8499"</f>
        <v>J8499</v>
      </c>
    </row>
    <row r="4516" spans="1:5" x14ac:dyDescent="0.25">
      <c r="A4516" t="str">
        <f>"41777522"</f>
        <v>41777522</v>
      </c>
      <c r="B4516" t="s">
        <v>4312</v>
      </c>
      <c r="C4516">
        <v>31.9</v>
      </c>
      <c r="D4516" t="str">
        <f>"771"</f>
        <v>771</v>
      </c>
      <c r="E4516" t="str">
        <f>"G0009"</f>
        <v>G0009</v>
      </c>
    </row>
    <row r="4517" spans="1:5" x14ac:dyDescent="0.25">
      <c r="A4517" t="str">
        <f>"41777525  "</f>
        <v xml:space="preserve">41777525  </v>
      </c>
      <c r="B4517" t="s">
        <v>4313</v>
      </c>
      <c r="C4517">
        <v>49.5</v>
      </c>
      <c r="D4517" t="str">
        <f t="shared" ref="D4517:D4540" si="208">"250"</f>
        <v>250</v>
      </c>
      <c r="E4517" t="str">
        <f>"J2780"</f>
        <v>J2780</v>
      </c>
    </row>
    <row r="4518" spans="1:5" x14ac:dyDescent="0.25">
      <c r="A4518" t="str">
        <f>"41777533  "</f>
        <v xml:space="preserve">41777533  </v>
      </c>
      <c r="B4518" t="s">
        <v>4314</v>
      </c>
      <c r="C4518">
        <v>8.8000000000000007</v>
      </c>
      <c r="D4518" t="str">
        <f t="shared" si="208"/>
        <v>250</v>
      </c>
      <c r="E4518" t="str">
        <f>"J8499"</f>
        <v>J8499</v>
      </c>
    </row>
    <row r="4519" spans="1:5" x14ac:dyDescent="0.25">
      <c r="A4519" t="str">
        <f>"41777541  "</f>
        <v xml:space="preserve">41777541  </v>
      </c>
      <c r="B4519" t="s">
        <v>4315</v>
      </c>
      <c r="C4519">
        <v>9.9</v>
      </c>
      <c r="D4519" t="str">
        <f t="shared" si="208"/>
        <v>250</v>
      </c>
      <c r="E4519" t="str">
        <f>"J8499"</f>
        <v>J8499</v>
      </c>
    </row>
    <row r="4520" spans="1:5" x14ac:dyDescent="0.25">
      <c r="A4520" t="str">
        <f>"41777550"</f>
        <v>41777550</v>
      </c>
      <c r="B4520" t="s">
        <v>4316</v>
      </c>
      <c r="C4520">
        <v>95.7</v>
      </c>
      <c r="D4520" t="str">
        <f t="shared" si="208"/>
        <v>250</v>
      </c>
      <c r="E4520" t="str">
        <f>"J2543"</f>
        <v>J2543</v>
      </c>
    </row>
    <row r="4521" spans="1:5" x14ac:dyDescent="0.25">
      <c r="A4521" t="str">
        <f>"41777558  "</f>
        <v xml:space="preserve">41777558  </v>
      </c>
      <c r="B4521" t="s">
        <v>4317</v>
      </c>
      <c r="C4521">
        <v>106.7</v>
      </c>
      <c r="D4521" t="str">
        <f t="shared" si="208"/>
        <v>250</v>
      </c>
      <c r="E4521" t="str">
        <f>"J3490"</f>
        <v>J3490</v>
      </c>
    </row>
    <row r="4522" spans="1:5" x14ac:dyDescent="0.25">
      <c r="A4522" t="str">
        <f>"41777566  "</f>
        <v xml:space="preserve">41777566  </v>
      </c>
      <c r="B4522" t="s">
        <v>4318</v>
      </c>
      <c r="C4522">
        <v>377.3</v>
      </c>
      <c r="D4522" t="str">
        <f t="shared" si="208"/>
        <v>250</v>
      </c>
      <c r="E4522" t="str">
        <f>"J3490"</f>
        <v>J3490</v>
      </c>
    </row>
    <row r="4523" spans="1:5" x14ac:dyDescent="0.25">
      <c r="A4523" t="str">
        <f>"41777574  "</f>
        <v xml:space="preserve">41777574  </v>
      </c>
      <c r="B4523" t="s">
        <v>4319</v>
      </c>
      <c r="C4523">
        <v>98.45</v>
      </c>
      <c r="D4523" t="str">
        <f t="shared" si="208"/>
        <v>250</v>
      </c>
      <c r="E4523" t="str">
        <f>"J8499"</f>
        <v>J8499</v>
      </c>
    </row>
    <row r="4524" spans="1:5" x14ac:dyDescent="0.25">
      <c r="A4524" t="str">
        <f>"41777582  "</f>
        <v xml:space="preserve">41777582  </v>
      </c>
      <c r="B4524" t="s">
        <v>4320</v>
      </c>
      <c r="C4524" s="1">
        <v>1064.8</v>
      </c>
      <c r="D4524" t="str">
        <f t="shared" si="208"/>
        <v>250</v>
      </c>
      <c r="E4524" t="str">
        <f>"J3490"</f>
        <v>J3490</v>
      </c>
    </row>
    <row r="4525" spans="1:5" x14ac:dyDescent="0.25">
      <c r="A4525" t="str">
        <f>"41777590  "</f>
        <v xml:space="preserve">41777590  </v>
      </c>
      <c r="B4525" t="s">
        <v>4321</v>
      </c>
      <c r="C4525">
        <v>6.6</v>
      </c>
      <c r="D4525" t="str">
        <f t="shared" si="208"/>
        <v>250</v>
      </c>
      <c r="E4525" t="str">
        <f>"J8499"</f>
        <v>J8499</v>
      </c>
    </row>
    <row r="4526" spans="1:5" x14ac:dyDescent="0.25">
      <c r="A4526" t="str">
        <f>"41777608  "</f>
        <v xml:space="preserve">41777608  </v>
      </c>
      <c r="B4526" t="s">
        <v>4322</v>
      </c>
      <c r="C4526">
        <v>71.5</v>
      </c>
      <c r="D4526" t="str">
        <f t="shared" si="208"/>
        <v>250</v>
      </c>
      <c r="E4526" t="str">
        <f>"J0697"</f>
        <v>J0697</v>
      </c>
    </row>
    <row r="4527" spans="1:5" x14ac:dyDescent="0.25">
      <c r="A4527" t="str">
        <f>"41777616  "</f>
        <v xml:space="preserve">41777616  </v>
      </c>
      <c r="B4527" t="s">
        <v>4323</v>
      </c>
      <c r="C4527">
        <v>6.6</v>
      </c>
      <c r="D4527" t="str">
        <f t="shared" si="208"/>
        <v>250</v>
      </c>
      <c r="E4527" t="str">
        <f>"J8499"</f>
        <v>J8499</v>
      </c>
    </row>
    <row r="4528" spans="1:5" x14ac:dyDescent="0.25">
      <c r="A4528" t="str">
        <f>"41777632  "</f>
        <v xml:space="preserve">41777632  </v>
      </c>
      <c r="B4528" t="s">
        <v>4324</v>
      </c>
      <c r="C4528">
        <v>27.94</v>
      </c>
      <c r="D4528" t="str">
        <f t="shared" si="208"/>
        <v>250</v>
      </c>
      <c r="E4528" t="str">
        <f>"J8499"</f>
        <v>J8499</v>
      </c>
    </row>
    <row r="4529" spans="1:5" x14ac:dyDescent="0.25">
      <c r="A4529" t="str">
        <f>"41777640  "</f>
        <v xml:space="preserve">41777640  </v>
      </c>
      <c r="B4529" t="s">
        <v>4325</v>
      </c>
      <c r="C4529">
        <v>6.6</v>
      </c>
      <c r="D4529" t="str">
        <f t="shared" si="208"/>
        <v>250</v>
      </c>
      <c r="E4529" t="str">
        <f>"J3490"</f>
        <v>J3490</v>
      </c>
    </row>
    <row r="4530" spans="1:5" x14ac:dyDescent="0.25">
      <c r="A4530" t="str">
        <f>"41777657  "</f>
        <v xml:space="preserve">41777657  </v>
      </c>
      <c r="B4530" t="s">
        <v>4326</v>
      </c>
      <c r="C4530">
        <v>29.7</v>
      </c>
      <c r="D4530" t="str">
        <f t="shared" si="208"/>
        <v>250</v>
      </c>
      <c r="E4530" t="str">
        <f>"J8499"</f>
        <v>J8499</v>
      </c>
    </row>
    <row r="4531" spans="1:5" x14ac:dyDescent="0.25">
      <c r="A4531" t="str">
        <f>"41777665  "</f>
        <v xml:space="preserve">41777665  </v>
      </c>
      <c r="B4531" t="s">
        <v>4327</v>
      </c>
      <c r="C4531">
        <v>8.8000000000000007</v>
      </c>
      <c r="D4531" t="str">
        <f t="shared" si="208"/>
        <v>250</v>
      </c>
      <c r="E4531" t="str">
        <f>"J8499"</f>
        <v>J8499</v>
      </c>
    </row>
    <row r="4532" spans="1:5" x14ac:dyDescent="0.25">
      <c r="A4532" t="str">
        <f>"41777681  "</f>
        <v xml:space="preserve">41777681  </v>
      </c>
      <c r="B4532" t="s">
        <v>4328</v>
      </c>
      <c r="C4532">
        <v>38.89</v>
      </c>
      <c r="D4532" t="str">
        <f t="shared" si="208"/>
        <v>250</v>
      </c>
      <c r="E4532" t="str">
        <f>"J8499"</f>
        <v>J8499</v>
      </c>
    </row>
    <row r="4533" spans="1:5" x14ac:dyDescent="0.25">
      <c r="A4533" t="str">
        <f>"41777699  "</f>
        <v xml:space="preserve">41777699  </v>
      </c>
      <c r="B4533" t="s">
        <v>4329</v>
      </c>
      <c r="C4533">
        <v>29.62</v>
      </c>
      <c r="D4533" t="str">
        <f t="shared" si="208"/>
        <v>250</v>
      </c>
      <c r="E4533" t="str">
        <f>"J8499"</f>
        <v>J8499</v>
      </c>
    </row>
    <row r="4534" spans="1:5" x14ac:dyDescent="0.25">
      <c r="A4534" t="str">
        <f>"41777707  "</f>
        <v xml:space="preserve">41777707  </v>
      </c>
      <c r="B4534" t="s">
        <v>4330</v>
      </c>
      <c r="C4534">
        <v>12.1</v>
      </c>
      <c r="D4534" t="str">
        <f t="shared" si="208"/>
        <v>250</v>
      </c>
    </row>
    <row r="4535" spans="1:5" x14ac:dyDescent="0.25">
      <c r="A4535" t="str">
        <f>"41777777"</f>
        <v>41777777</v>
      </c>
      <c r="B4535" t="s">
        <v>4331</v>
      </c>
      <c r="C4535">
        <v>91.58</v>
      </c>
      <c r="D4535" t="str">
        <f t="shared" si="208"/>
        <v>250</v>
      </c>
    </row>
    <row r="4536" spans="1:5" x14ac:dyDescent="0.25">
      <c r="A4536" t="str">
        <f>"41777863  "</f>
        <v xml:space="preserve">41777863  </v>
      </c>
      <c r="B4536" t="s">
        <v>4332</v>
      </c>
      <c r="C4536">
        <v>7.55</v>
      </c>
      <c r="D4536" t="str">
        <f t="shared" si="208"/>
        <v>250</v>
      </c>
      <c r="E4536" t="str">
        <f>"J8499"</f>
        <v>J8499</v>
      </c>
    </row>
    <row r="4537" spans="1:5" x14ac:dyDescent="0.25">
      <c r="A4537" t="str">
        <f>"41777890"</f>
        <v>41777890</v>
      </c>
      <c r="B4537" t="s">
        <v>4333</v>
      </c>
      <c r="C4537">
        <v>68.2</v>
      </c>
      <c r="D4537" t="str">
        <f t="shared" si="208"/>
        <v>250</v>
      </c>
    </row>
    <row r="4538" spans="1:5" x14ac:dyDescent="0.25">
      <c r="A4538" t="str">
        <f>"41777900"</f>
        <v>41777900</v>
      </c>
      <c r="B4538" t="s">
        <v>4334</v>
      </c>
      <c r="C4538">
        <v>16.29</v>
      </c>
      <c r="D4538" t="str">
        <f t="shared" si="208"/>
        <v>250</v>
      </c>
    </row>
    <row r="4539" spans="1:5" x14ac:dyDescent="0.25">
      <c r="A4539" t="str">
        <f>"41777905  "</f>
        <v xml:space="preserve">41777905  </v>
      </c>
      <c r="B4539" t="s">
        <v>4335</v>
      </c>
      <c r="C4539">
        <v>407</v>
      </c>
      <c r="D4539" t="str">
        <f t="shared" si="208"/>
        <v>250</v>
      </c>
    </row>
    <row r="4540" spans="1:5" x14ac:dyDescent="0.25">
      <c r="A4540" t="str">
        <f>"41777940"</f>
        <v>41777940</v>
      </c>
      <c r="B4540" t="s">
        <v>4336</v>
      </c>
      <c r="C4540">
        <v>6.6</v>
      </c>
      <c r="D4540" t="str">
        <f t="shared" si="208"/>
        <v>250</v>
      </c>
    </row>
    <row r="4541" spans="1:5" x14ac:dyDescent="0.25">
      <c r="A4541" t="str">
        <f>"41778000"</f>
        <v>41778000</v>
      </c>
      <c r="B4541" t="s">
        <v>4337</v>
      </c>
      <c r="C4541">
        <v>6.6</v>
      </c>
      <c r="D4541" t="str">
        <f>"257"</f>
        <v>257</v>
      </c>
    </row>
    <row r="4542" spans="1:5" x14ac:dyDescent="0.25">
      <c r="A4542" t="str">
        <f>"41778002  "</f>
        <v xml:space="preserve">41778002  </v>
      </c>
      <c r="B4542" t="s">
        <v>4338</v>
      </c>
      <c r="C4542">
        <v>6.6</v>
      </c>
      <c r="D4542" t="str">
        <f>"250"</f>
        <v>250</v>
      </c>
      <c r="E4542" t="str">
        <f>"J8499"</f>
        <v>J8499</v>
      </c>
    </row>
    <row r="4543" spans="1:5" x14ac:dyDescent="0.25">
      <c r="A4543" t="str">
        <f>"41778022"</f>
        <v>41778022</v>
      </c>
      <c r="B4543" t="s">
        <v>4339</v>
      </c>
      <c r="C4543">
        <v>6.6</v>
      </c>
      <c r="D4543" t="str">
        <f>"257"</f>
        <v>257</v>
      </c>
    </row>
    <row r="4544" spans="1:5" x14ac:dyDescent="0.25">
      <c r="A4544" t="str">
        <f>"41778101  "</f>
        <v xml:space="preserve">41778101  </v>
      </c>
      <c r="B4544" t="s">
        <v>4340</v>
      </c>
      <c r="C4544">
        <v>27.5</v>
      </c>
      <c r="D4544" t="str">
        <f t="shared" ref="D4544:D4552" si="209">"250"</f>
        <v>250</v>
      </c>
    </row>
    <row r="4545" spans="1:5" x14ac:dyDescent="0.25">
      <c r="A4545" t="str">
        <f>"41778143  "</f>
        <v xml:space="preserve">41778143  </v>
      </c>
      <c r="B4545" t="s">
        <v>4341</v>
      </c>
      <c r="C4545">
        <v>11</v>
      </c>
      <c r="D4545" t="str">
        <f t="shared" si="209"/>
        <v>250</v>
      </c>
    </row>
    <row r="4546" spans="1:5" x14ac:dyDescent="0.25">
      <c r="A4546" t="str">
        <f>"41778410"</f>
        <v>41778410</v>
      </c>
      <c r="B4546" t="s">
        <v>4342</v>
      </c>
      <c r="C4546">
        <v>313.5</v>
      </c>
      <c r="D4546" t="str">
        <f t="shared" si="209"/>
        <v>250</v>
      </c>
    </row>
    <row r="4547" spans="1:5" x14ac:dyDescent="0.25">
      <c r="A4547" t="str">
        <f>"41778423"</f>
        <v>41778423</v>
      </c>
      <c r="B4547" t="s">
        <v>4343</v>
      </c>
      <c r="C4547" s="1">
        <v>10701.9</v>
      </c>
      <c r="D4547" t="str">
        <f t="shared" si="209"/>
        <v>250</v>
      </c>
      <c r="E4547" t="str">
        <f>"J0630"</f>
        <v>J0630</v>
      </c>
    </row>
    <row r="4548" spans="1:5" x14ac:dyDescent="0.25">
      <c r="A4548" t="str">
        <f>"41778556  "</f>
        <v xml:space="preserve">41778556  </v>
      </c>
      <c r="B4548" t="s">
        <v>4344</v>
      </c>
      <c r="C4548">
        <v>316.8</v>
      </c>
      <c r="D4548" t="str">
        <f t="shared" si="209"/>
        <v>250</v>
      </c>
      <c r="E4548" t="str">
        <f>"X5776"</f>
        <v>X5776</v>
      </c>
    </row>
    <row r="4549" spans="1:5" x14ac:dyDescent="0.25">
      <c r="A4549" t="str">
        <f>"41778556  "</f>
        <v xml:space="preserve">41778556  </v>
      </c>
      <c r="B4549" t="s">
        <v>4344</v>
      </c>
      <c r="C4549">
        <v>316.8</v>
      </c>
      <c r="D4549" t="str">
        <f t="shared" si="209"/>
        <v>250</v>
      </c>
      <c r="E4549" t="str">
        <f>"J3105"</f>
        <v>J3105</v>
      </c>
    </row>
    <row r="4550" spans="1:5" x14ac:dyDescent="0.25">
      <c r="A4550" t="str">
        <f>"41778614  "</f>
        <v xml:space="preserve">41778614  </v>
      </c>
      <c r="B4550" t="s">
        <v>4345</v>
      </c>
      <c r="C4550">
        <v>127.6</v>
      </c>
      <c r="D4550" t="str">
        <f t="shared" si="209"/>
        <v>250</v>
      </c>
      <c r="E4550" t="str">
        <f>"J0456"</f>
        <v>J0456</v>
      </c>
    </row>
    <row r="4551" spans="1:5" x14ac:dyDescent="0.25">
      <c r="A4551" t="str">
        <f>"41778777"</f>
        <v>41778777</v>
      </c>
      <c r="B4551" t="s">
        <v>4346</v>
      </c>
      <c r="C4551">
        <v>55</v>
      </c>
      <c r="D4551" t="str">
        <f t="shared" si="209"/>
        <v>250</v>
      </c>
    </row>
    <row r="4552" spans="1:5" x14ac:dyDescent="0.25">
      <c r="A4552" t="str">
        <f>"41778840"</f>
        <v>41778840</v>
      </c>
      <c r="B4552" t="s">
        <v>4347</v>
      </c>
      <c r="C4552">
        <v>11</v>
      </c>
      <c r="D4552" t="str">
        <f t="shared" si="209"/>
        <v>250</v>
      </c>
    </row>
    <row r="4553" spans="1:5" x14ac:dyDescent="0.25">
      <c r="A4553" t="str">
        <f>"41778841"</f>
        <v>41778841</v>
      </c>
      <c r="B4553" t="s">
        <v>4348</v>
      </c>
      <c r="C4553">
        <v>92.95</v>
      </c>
      <c r="D4553" t="str">
        <f>"257"</f>
        <v>257</v>
      </c>
    </row>
    <row r="4554" spans="1:5" x14ac:dyDescent="0.25">
      <c r="A4554" t="str">
        <f>"41778890"</f>
        <v>41778890</v>
      </c>
      <c r="B4554" t="s">
        <v>4349</v>
      </c>
      <c r="C4554" s="1">
        <v>2295.21</v>
      </c>
      <c r="D4554" t="str">
        <f>"257"</f>
        <v>257</v>
      </c>
    </row>
    <row r="4555" spans="1:5" x14ac:dyDescent="0.25">
      <c r="A4555" t="str">
        <f>"41778911  "</f>
        <v xml:space="preserve">41778911  </v>
      </c>
      <c r="B4555" t="s">
        <v>4350</v>
      </c>
      <c r="C4555">
        <v>29.7</v>
      </c>
      <c r="D4555" t="str">
        <f t="shared" ref="D4555:D4577" si="210">"250"</f>
        <v>250</v>
      </c>
      <c r="E4555" t="str">
        <f>"J8499"</f>
        <v>J8499</v>
      </c>
    </row>
    <row r="4556" spans="1:5" x14ac:dyDescent="0.25">
      <c r="A4556" t="str">
        <f>"41778912"</f>
        <v>41778912</v>
      </c>
      <c r="B4556" t="s">
        <v>4351</v>
      </c>
      <c r="C4556">
        <v>50.22</v>
      </c>
      <c r="D4556" t="str">
        <f t="shared" si="210"/>
        <v>250</v>
      </c>
    </row>
    <row r="4557" spans="1:5" x14ac:dyDescent="0.25">
      <c r="A4557" t="str">
        <f>"41778945"</f>
        <v>41778945</v>
      </c>
      <c r="B4557" t="s">
        <v>4352</v>
      </c>
      <c r="C4557">
        <v>53.9</v>
      </c>
      <c r="D4557" t="str">
        <f t="shared" si="210"/>
        <v>250</v>
      </c>
    </row>
    <row r="4558" spans="1:5" x14ac:dyDescent="0.25">
      <c r="A4558" t="str">
        <f>"41779000  "</f>
        <v xml:space="preserve">41779000  </v>
      </c>
      <c r="B4558" t="s">
        <v>4353</v>
      </c>
      <c r="C4558">
        <v>9.9</v>
      </c>
      <c r="D4558" t="str">
        <f t="shared" si="210"/>
        <v>250</v>
      </c>
      <c r="E4558" t="str">
        <f>"J2795"</f>
        <v>J2795</v>
      </c>
    </row>
    <row r="4559" spans="1:5" x14ac:dyDescent="0.25">
      <c r="A4559" t="str">
        <f>"417790004"</f>
        <v>417790004</v>
      </c>
      <c r="B4559" t="s">
        <v>4354</v>
      </c>
      <c r="C4559">
        <v>49.7</v>
      </c>
      <c r="D4559" t="str">
        <f t="shared" si="210"/>
        <v>250</v>
      </c>
    </row>
    <row r="4560" spans="1:5" x14ac:dyDescent="0.25">
      <c r="A4560" t="str">
        <f>"41779001"</f>
        <v>41779001</v>
      </c>
      <c r="B4560" t="s">
        <v>4355</v>
      </c>
      <c r="C4560">
        <v>457.38</v>
      </c>
      <c r="D4560" t="str">
        <f t="shared" si="210"/>
        <v>250</v>
      </c>
    </row>
    <row r="4561" spans="1:4" x14ac:dyDescent="0.25">
      <c r="A4561" t="str">
        <f>"41779002"</f>
        <v>41779002</v>
      </c>
      <c r="B4561" t="s">
        <v>4356</v>
      </c>
      <c r="C4561">
        <v>45.1</v>
      </c>
      <c r="D4561" t="str">
        <f t="shared" si="210"/>
        <v>250</v>
      </c>
    </row>
    <row r="4562" spans="1:4" x14ac:dyDescent="0.25">
      <c r="A4562" t="str">
        <f>"41779004"</f>
        <v>41779004</v>
      </c>
      <c r="B4562" t="s">
        <v>4357</v>
      </c>
      <c r="C4562">
        <v>49.7</v>
      </c>
      <c r="D4562" t="str">
        <f t="shared" si="210"/>
        <v>250</v>
      </c>
    </row>
    <row r="4563" spans="1:4" x14ac:dyDescent="0.25">
      <c r="A4563" t="str">
        <f>"41779005"</f>
        <v>41779005</v>
      </c>
      <c r="B4563" t="s">
        <v>4358</v>
      </c>
      <c r="C4563">
        <v>32.979999999999997</v>
      </c>
      <c r="D4563" t="str">
        <f t="shared" si="210"/>
        <v>250</v>
      </c>
    </row>
    <row r="4564" spans="1:4" x14ac:dyDescent="0.25">
      <c r="A4564" t="str">
        <f>"41779010"</f>
        <v>41779010</v>
      </c>
      <c r="B4564" t="s">
        <v>4359</v>
      </c>
      <c r="C4564">
        <v>490.3</v>
      </c>
      <c r="D4564" t="str">
        <f t="shared" si="210"/>
        <v>250</v>
      </c>
    </row>
    <row r="4565" spans="1:4" x14ac:dyDescent="0.25">
      <c r="A4565" t="str">
        <f>"41779020"</f>
        <v>41779020</v>
      </c>
      <c r="B4565" t="s">
        <v>4360</v>
      </c>
      <c r="C4565">
        <v>213.4</v>
      </c>
      <c r="D4565" t="str">
        <f t="shared" si="210"/>
        <v>250</v>
      </c>
    </row>
    <row r="4566" spans="1:4" x14ac:dyDescent="0.25">
      <c r="A4566" t="str">
        <f>"41779022"</f>
        <v>41779022</v>
      </c>
      <c r="B4566" t="s">
        <v>4361</v>
      </c>
      <c r="C4566">
        <v>27.5</v>
      </c>
      <c r="D4566" t="str">
        <f t="shared" si="210"/>
        <v>250</v>
      </c>
    </row>
    <row r="4567" spans="1:4" x14ac:dyDescent="0.25">
      <c r="A4567" t="str">
        <f>"41779024"</f>
        <v>41779024</v>
      </c>
      <c r="B4567" t="s">
        <v>4362</v>
      </c>
      <c r="C4567">
        <v>440</v>
      </c>
      <c r="D4567" t="str">
        <f t="shared" si="210"/>
        <v>250</v>
      </c>
    </row>
    <row r="4568" spans="1:4" x14ac:dyDescent="0.25">
      <c r="A4568" t="str">
        <f>"41779026  "</f>
        <v xml:space="preserve">41779026  </v>
      </c>
      <c r="B4568" t="s">
        <v>4363</v>
      </c>
      <c r="C4568">
        <v>778.8</v>
      </c>
      <c r="D4568" t="str">
        <f t="shared" si="210"/>
        <v>250</v>
      </c>
    </row>
    <row r="4569" spans="1:4" x14ac:dyDescent="0.25">
      <c r="A4569" t="str">
        <f>"41779090"</f>
        <v>41779090</v>
      </c>
      <c r="B4569" t="s">
        <v>4364</v>
      </c>
      <c r="C4569">
        <v>277.2</v>
      </c>
      <c r="D4569" t="str">
        <f t="shared" si="210"/>
        <v>250</v>
      </c>
    </row>
    <row r="4570" spans="1:4" x14ac:dyDescent="0.25">
      <c r="A4570" t="str">
        <f>"41779114"</f>
        <v>41779114</v>
      </c>
      <c r="B4570" t="s">
        <v>4365</v>
      </c>
      <c r="C4570">
        <v>313.5</v>
      </c>
      <c r="D4570" t="str">
        <f t="shared" si="210"/>
        <v>250</v>
      </c>
    </row>
    <row r="4571" spans="1:4" x14ac:dyDescent="0.25">
      <c r="A4571" t="str">
        <f>"41779141  "</f>
        <v xml:space="preserve">41779141  </v>
      </c>
      <c r="B4571" t="s">
        <v>4366</v>
      </c>
      <c r="C4571">
        <v>131.72999999999999</v>
      </c>
      <c r="D4571" t="str">
        <f t="shared" si="210"/>
        <v>250</v>
      </c>
    </row>
    <row r="4572" spans="1:4" x14ac:dyDescent="0.25">
      <c r="A4572" t="str">
        <f>"41779190  "</f>
        <v xml:space="preserve">41779190  </v>
      </c>
      <c r="B4572" t="s">
        <v>4367</v>
      </c>
      <c r="C4572">
        <v>13.94</v>
      </c>
      <c r="D4572" t="str">
        <f t="shared" si="210"/>
        <v>250</v>
      </c>
    </row>
    <row r="4573" spans="1:4" x14ac:dyDescent="0.25">
      <c r="A4573" t="str">
        <f>"41779203"</f>
        <v>41779203</v>
      </c>
      <c r="B4573" t="s">
        <v>4368</v>
      </c>
      <c r="C4573">
        <v>99</v>
      </c>
      <c r="D4573" t="str">
        <f t="shared" si="210"/>
        <v>250</v>
      </c>
    </row>
    <row r="4574" spans="1:4" x14ac:dyDescent="0.25">
      <c r="A4574" t="str">
        <f>"41779205"</f>
        <v>41779205</v>
      </c>
      <c r="B4574" t="s">
        <v>4369</v>
      </c>
      <c r="C4574">
        <v>9.9</v>
      </c>
      <c r="D4574" t="str">
        <f t="shared" si="210"/>
        <v>250</v>
      </c>
    </row>
    <row r="4575" spans="1:4" x14ac:dyDescent="0.25">
      <c r="A4575" t="str">
        <f>"41779218"</f>
        <v>41779218</v>
      </c>
      <c r="B4575" t="s">
        <v>4370</v>
      </c>
      <c r="C4575">
        <v>60.94</v>
      </c>
      <c r="D4575" t="str">
        <f t="shared" si="210"/>
        <v>250</v>
      </c>
    </row>
    <row r="4576" spans="1:4" x14ac:dyDescent="0.25">
      <c r="A4576" t="str">
        <f>"41779220"</f>
        <v>41779220</v>
      </c>
      <c r="B4576" t="s">
        <v>4371</v>
      </c>
      <c r="C4576">
        <v>468</v>
      </c>
      <c r="D4576" t="str">
        <f t="shared" si="210"/>
        <v>250</v>
      </c>
    </row>
    <row r="4577" spans="1:5" x14ac:dyDescent="0.25">
      <c r="A4577" t="str">
        <f>"41779222"</f>
        <v>41779222</v>
      </c>
      <c r="B4577" t="s">
        <v>4372</v>
      </c>
      <c r="C4577">
        <v>6.6</v>
      </c>
      <c r="D4577" t="str">
        <f t="shared" si="210"/>
        <v>250</v>
      </c>
    </row>
    <row r="4578" spans="1:5" x14ac:dyDescent="0.25">
      <c r="A4578" t="str">
        <f>"41779234"</f>
        <v>41779234</v>
      </c>
      <c r="B4578" t="s">
        <v>4373</v>
      </c>
      <c r="C4578">
        <v>16.5</v>
      </c>
      <c r="D4578" t="str">
        <f>"257"</f>
        <v>257</v>
      </c>
    </row>
    <row r="4579" spans="1:5" x14ac:dyDescent="0.25">
      <c r="A4579" t="str">
        <f>"41779335"</f>
        <v>41779335</v>
      </c>
      <c r="B4579" t="s">
        <v>4374</v>
      </c>
      <c r="C4579">
        <v>44</v>
      </c>
      <c r="D4579" t="str">
        <f>"250"</f>
        <v>250</v>
      </c>
    </row>
    <row r="4580" spans="1:5" x14ac:dyDescent="0.25">
      <c r="A4580" t="str">
        <f>"41779414  "</f>
        <v xml:space="preserve">41779414  </v>
      </c>
      <c r="B4580" t="s">
        <v>4375</v>
      </c>
      <c r="C4580">
        <v>11</v>
      </c>
      <c r="D4580" t="str">
        <f>"257"</f>
        <v>257</v>
      </c>
      <c r="E4580" t="str">
        <f>"J3490"</f>
        <v>J3490</v>
      </c>
    </row>
    <row r="4581" spans="1:5" x14ac:dyDescent="0.25">
      <c r="A4581" t="str">
        <f>"41779441"</f>
        <v>41779441</v>
      </c>
      <c r="B4581" t="s">
        <v>4376</v>
      </c>
      <c r="C4581">
        <v>8.8000000000000007</v>
      </c>
      <c r="D4581" t="str">
        <f>"250"</f>
        <v>250</v>
      </c>
    </row>
    <row r="4582" spans="1:5" x14ac:dyDescent="0.25">
      <c r="A4582" t="str">
        <f>"41779442"</f>
        <v>41779442</v>
      </c>
      <c r="B4582" t="s">
        <v>4377</v>
      </c>
      <c r="C4582">
        <v>52.25</v>
      </c>
      <c r="D4582" t="str">
        <f>"257"</f>
        <v>257</v>
      </c>
    </row>
    <row r="4583" spans="1:5" x14ac:dyDescent="0.25">
      <c r="A4583" t="str">
        <f>"41779604  "</f>
        <v xml:space="preserve">41779604  </v>
      </c>
      <c r="B4583" t="s">
        <v>4378</v>
      </c>
      <c r="C4583">
        <v>85.8</v>
      </c>
      <c r="D4583" t="str">
        <f t="shared" ref="D4583:D4598" si="211">"250"</f>
        <v>250</v>
      </c>
      <c r="E4583" t="str">
        <f>"J8499"</f>
        <v>J8499</v>
      </c>
    </row>
    <row r="4584" spans="1:5" x14ac:dyDescent="0.25">
      <c r="A4584" t="str">
        <f>"41779900"</f>
        <v>41779900</v>
      </c>
      <c r="B4584" t="s">
        <v>4379</v>
      </c>
      <c r="C4584">
        <v>220</v>
      </c>
      <c r="D4584" t="str">
        <f t="shared" si="211"/>
        <v>250</v>
      </c>
    </row>
    <row r="4585" spans="1:5" x14ac:dyDescent="0.25">
      <c r="A4585" t="str">
        <f>"41779944"</f>
        <v>41779944</v>
      </c>
      <c r="B4585" t="s">
        <v>4380</v>
      </c>
      <c r="C4585">
        <v>22</v>
      </c>
      <c r="D4585" t="str">
        <f t="shared" si="211"/>
        <v>250</v>
      </c>
    </row>
    <row r="4586" spans="1:5" x14ac:dyDescent="0.25">
      <c r="A4586" t="str">
        <f>"41779988"</f>
        <v>41779988</v>
      </c>
      <c r="B4586" t="s">
        <v>4381</v>
      </c>
      <c r="C4586">
        <v>68.2</v>
      </c>
      <c r="D4586" t="str">
        <f t="shared" si="211"/>
        <v>250</v>
      </c>
    </row>
    <row r="4587" spans="1:5" x14ac:dyDescent="0.25">
      <c r="A4587" t="str">
        <f>"41780008  "</f>
        <v xml:space="preserve">41780008  </v>
      </c>
      <c r="B4587" t="s">
        <v>4382</v>
      </c>
      <c r="C4587">
        <v>44</v>
      </c>
      <c r="D4587" t="str">
        <f t="shared" si="211"/>
        <v>250</v>
      </c>
    </row>
    <row r="4588" spans="1:5" x14ac:dyDescent="0.25">
      <c r="A4588" t="str">
        <f>"41780009"</f>
        <v>41780009</v>
      </c>
      <c r="B4588" t="s">
        <v>4383</v>
      </c>
      <c r="C4588">
        <v>9.9</v>
      </c>
      <c r="D4588" t="str">
        <f t="shared" si="211"/>
        <v>250</v>
      </c>
    </row>
    <row r="4589" spans="1:5" x14ac:dyDescent="0.25">
      <c r="A4589" t="str">
        <f>"41780016  "</f>
        <v xml:space="preserve">41780016  </v>
      </c>
      <c r="B4589" t="s">
        <v>4384</v>
      </c>
      <c r="C4589">
        <v>31.9</v>
      </c>
      <c r="D4589" t="str">
        <f t="shared" si="211"/>
        <v>250</v>
      </c>
    </row>
    <row r="4590" spans="1:5" x14ac:dyDescent="0.25">
      <c r="A4590" t="str">
        <f>"41780024  "</f>
        <v xml:space="preserve">41780024  </v>
      </c>
      <c r="B4590" t="s">
        <v>4385</v>
      </c>
      <c r="C4590">
        <v>28.52</v>
      </c>
      <c r="D4590" t="str">
        <f t="shared" si="211"/>
        <v>250</v>
      </c>
    </row>
    <row r="4591" spans="1:5" x14ac:dyDescent="0.25">
      <c r="A4591" t="str">
        <f>"41780032  "</f>
        <v xml:space="preserve">41780032  </v>
      </c>
      <c r="B4591" t="s">
        <v>4386</v>
      </c>
      <c r="C4591" s="1">
        <v>2260.5</v>
      </c>
      <c r="D4591" t="str">
        <f t="shared" si="211"/>
        <v>250</v>
      </c>
    </row>
    <row r="4592" spans="1:5" x14ac:dyDescent="0.25">
      <c r="A4592" t="str">
        <f>"41780040  "</f>
        <v xml:space="preserve">41780040  </v>
      </c>
      <c r="B4592" t="s">
        <v>4387</v>
      </c>
      <c r="C4592" s="1">
        <v>3025</v>
      </c>
      <c r="D4592" t="str">
        <f t="shared" si="211"/>
        <v>250</v>
      </c>
    </row>
    <row r="4593" spans="1:5" x14ac:dyDescent="0.25">
      <c r="A4593" t="str">
        <f>"41780057  "</f>
        <v xml:space="preserve">41780057  </v>
      </c>
      <c r="B4593" t="s">
        <v>4388</v>
      </c>
      <c r="C4593">
        <v>29.68</v>
      </c>
      <c r="D4593" t="str">
        <f t="shared" si="211"/>
        <v>250</v>
      </c>
    </row>
    <row r="4594" spans="1:5" x14ac:dyDescent="0.25">
      <c r="A4594" t="str">
        <f>"41780065  "</f>
        <v xml:space="preserve">41780065  </v>
      </c>
      <c r="B4594" t="s">
        <v>4389</v>
      </c>
      <c r="C4594">
        <v>500.5</v>
      </c>
      <c r="D4594" t="str">
        <f t="shared" si="211"/>
        <v>250</v>
      </c>
    </row>
    <row r="4595" spans="1:5" x14ac:dyDescent="0.25">
      <c r="A4595" t="str">
        <f>"41780066"</f>
        <v>41780066</v>
      </c>
      <c r="B4595" t="s">
        <v>4390</v>
      </c>
      <c r="C4595">
        <v>788.7</v>
      </c>
      <c r="D4595" t="str">
        <f t="shared" si="211"/>
        <v>250</v>
      </c>
    </row>
    <row r="4596" spans="1:5" x14ac:dyDescent="0.25">
      <c r="A4596" t="str">
        <f>"41780067"</f>
        <v>41780067</v>
      </c>
      <c r="B4596" t="s">
        <v>4391</v>
      </c>
      <c r="C4596">
        <v>32.15</v>
      </c>
      <c r="D4596" t="str">
        <f t="shared" si="211"/>
        <v>250</v>
      </c>
    </row>
    <row r="4597" spans="1:5" x14ac:dyDescent="0.25">
      <c r="A4597" t="str">
        <f>"41780068"</f>
        <v>41780068</v>
      </c>
      <c r="B4597" t="s">
        <v>4392</v>
      </c>
      <c r="C4597">
        <v>11.4</v>
      </c>
      <c r="D4597" t="str">
        <f t="shared" si="211"/>
        <v>250</v>
      </c>
    </row>
    <row r="4598" spans="1:5" x14ac:dyDescent="0.25">
      <c r="A4598" t="str">
        <f>"41780069"</f>
        <v>41780069</v>
      </c>
      <c r="B4598" t="s">
        <v>4393</v>
      </c>
      <c r="C4598">
        <v>49.37</v>
      </c>
      <c r="D4598" t="str">
        <f t="shared" si="211"/>
        <v>250</v>
      </c>
      <c r="E4598" t="str">
        <f>"J0702"</f>
        <v>J0702</v>
      </c>
    </row>
    <row r="4599" spans="1:5" x14ac:dyDescent="0.25">
      <c r="A4599" t="str">
        <f>"41780070"</f>
        <v>41780070</v>
      </c>
      <c r="B4599" t="s">
        <v>4394</v>
      </c>
      <c r="C4599">
        <v>49.5</v>
      </c>
      <c r="D4599" t="str">
        <f>"257"</f>
        <v>257</v>
      </c>
    </row>
    <row r="4600" spans="1:5" x14ac:dyDescent="0.25">
      <c r="A4600" t="str">
        <f>"41780071"</f>
        <v>41780071</v>
      </c>
      <c r="B4600" t="s">
        <v>4395</v>
      </c>
      <c r="C4600">
        <v>74.06</v>
      </c>
      <c r="D4600" t="str">
        <f t="shared" ref="D4600:D4608" si="212">"250"</f>
        <v>250</v>
      </c>
    </row>
    <row r="4601" spans="1:5" x14ac:dyDescent="0.25">
      <c r="A4601" t="str">
        <f>"41780072"</f>
        <v>41780072</v>
      </c>
      <c r="B4601" t="s">
        <v>4396</v>
      </c>
      <c r="C4601">
        <v>120.89</v>
      </c>
      <c r="D4601" t="str">
        <f t="shared" si="212"/>
        <v>250</v>
      </c>
    </row>
    <row r="4602" spans="1:5" x14ac:dyDescent="0.25">
      <c r="A4602" t="str">
        <f>"41780073  "</f>
        <v xml:space="preserve">41780073  </v>
      </c>
      <c r="B4602" t="s">
        <v>4397</v>
      </c>
      <c r="C4602">
        <v>6.6</v>
      </c>
      <c r="D4602" t="str">
        <f t="shared" si="212"/>
        <v>250</v>
      </c>
    </row>
    <row r="4603" spans="1:5" x14ac:dyDescent="0.25">
      <c r="A4603" t="str">
        <f>"41780074"</f>
        <v>41780074</v>
      </c>
      <c r="B4603" t="s">
        <v>4398</v>
      </c>
      <c r="C4603">
        <v>100.71</v>
      </c>
      <c r="D4603" t="str">
        <f t="shared" si="212"/>
        <v>250</v>
      </c>
    </row>
    <row r="4604" spans="1:5" x14ac:dyDescent="0.25">
      <c r="A4604" t="str">
        <f>"41780075"</f>
        <v>41780075</v>
      </c>
      <c r="B4604" t="s">
        <v>4399</v>
      </c>
      <c r="C4604">
        <v>686.4</v>
      </c>
      <c r="D4604" t="str">
        <f t="shared" si="212"/>
        <v>250</v>
      </c>
    </row>
    <row r="4605" spans="1:5" x14ac:dyDescent="0.25">
      <c r="A4605" t="str">
        <f>"41780107  "</f>
        <v xml:space="preserve">41780107  </v>
      </c>
      <c r="B4605" t="s">
        <v>4400</v>
      </c>
      <c r="C4605">
        <v>331.1</v>
      </c>
      <c r="D4605" t="str">
        <f t="shared" si="212"/>
        <v>250</v>
      </c>
    </row>
    <row r="4606" spans="1:5" x14ac:dyDescent="0.25">
      <c r="A4606" t="str">
        <f>"41780115  "</f>
        <v xml:space="preserve">41780115  </v>
      </c>
      <c r="B4606" t="s">
        <v>4401</v>
      </c>
      <c r="C4606">
        <v>14.15</v>
      </c>
      <c r="D4606" t="str">
        <f t="shared" si="212"/>
        <v>250</v>
      </c>
    </row>
    <row r="4607" spans="1:5" x14ac:dyDescent="0.25">
      <c r="A4607" t="str">
        <f>"41780123  "</f>
        <v xml:space="preserve">41780123  </v>
      </c>
      <c r="B4607" t="s">
        <v>4402</v>
      </c>
      <c r="C4607">
        <v>8.8000000000000007</v>
      </c>
      <c r="D4607" t="str">
        <f t="shared" si="212"/>
        <v>250</v>
      </c>
    </row>
    <row r="4608" spans="1:5" x14ac:dyDescent="0.25">
      <c r="A4608" t="str">
        <f>"41780131  "</f>
        <v xml:space="preserve">41780131  </v>
      </c>
      <c r="B4608" t="s">
        <v>4403</v>
      </c>
      <c r="C4608">
        <v>247.5</v>
      </c>
      <c r="D4608" t="str">
        <f t="shared" si="212"/>
        <v>250</v>
      </c>
    </row>
    <row r="4609" spans="1:5" x14ac:dyDescent="0.25">
      <c r="A4609" t="str">
        <f>"41780149  "</f>
        <v xml:space="preserve">41780149  </v>
      </c>
      <c r="B4609" t="s">
        <v>4404</v>
      </c>
      <c r="C4609">
        <v>93.5</v>
      </c>
      <c r="D4609" t="str">
        <f>"257"</f>
        <v>257</v>
      </c>
    </row>
    <row r="4610" spans="1:5" x14ac:dyDescent="0.25">
      <c r="A4610" t="str">
        <f>"41780156  "</f>
        <v xml:space="preserve">41780156  </v>
      </c>
      <c r="B4610" t="s">
        <v>4405</v>
      </c>
      <c r="C4610">
        <v>15.51</v>
      </c>
      <c r="D4610" t="str">
        <f t="shared" ref="D4610:D4625" si="213">"250"</f>
        <v>250</v>
      </c>
    </row>
    <row r="4611" spans="1:5" x14ac:dyDescent="0.25">
      <c r="A4611" t="str">
        <f>"41780164  "</f>
        <v xml:space="preserve">41780164  </v>
      </c>
      <c r="B4611" t="s">
        <v>4406</v>
      </c>
      <c r="C4611">
        <v>21.42</v>
      </c>
      <c r="D4611" t="str">
        <f t="shared" si="213"/>
        <v>250</v>
      </c>
    </row>
    <row r="4612" spans="1:5" x14ac:dyDescent="0.25">
      <c r="A4612" t="str">
        <f>"41780172  "</f>
        <v xml:space="preserve">41780172  </v>
      </c>
      <c r="B4612" t="s">
        <v>4407</v>
      </c>
      <c r="C4612">
        <v>23.21</v>
      </c>
      <c r="D4612" t="str">
        <f t="shared" si="213"/>
        <v>250</v>
      </c>
    </row>
    <row r="4613" spans="1:5" x14ac:dyDescent="0.25">
      <c r="A4613" t="str">
        <f>"41780180  "</f>
        <v xml:space="preserve">41780180  </v>
      </c>
      <c r="B4613" t="s">
        <v>4408</v>
      </c>
      <c r="C4613">
        <v>66</v>
      </c>
      <c r="D4613" t="str">
        <f t="shared" si="213"/>
        <v>250</v>
      </c>
    </row>
    <row r="4614" spans="1:5" x14ac:dyDescent="0.25">
      <c r="A4614" t="str">
        <f>"41780198  "</f>
        <v xml:space="preserve">41780198  </v>
      </c>
      <c r="B4614" t="s">
        <v>4409</v>
      </c>
      <c r="C4614">
        <v>990</v>
      </c>
      <c r="D4614" t="str">
        <f t="shared" si="213"/>
        <v>250</v>
      </c>
    </row>
    <row r="4615" spans="1:5" x14ac:dyDescent="0.25">
      <c r="A4615" t="str">
        <f>"41780200"</f>
        <v>41780200</v>
      </c>
      <c r="B4615" t="s">
        <v>4410</v>
      </c>
      <c r="C4615">
        <v>8.8000000000000007</v>
      </c>
      <c r="D4615" t="str">
        <f t="shared" si="213"/>
        <v>250</v>
      </c>
    </row>
    <row r="4616" spans="1:5" x14ac:dyDescent="0.25">
      <c r="A4616" t="str">
        <f>"41780201"</f>
        <v>41780201</v>
      </c>
      <c r="B4616" t="s">
        <v>4411</v>
      </c>
      <c r="C4616">
        <v>8.8000000000000007</v>
      </c>
      <c r="D4616" t="str">
        <f t="shared" si="213"/>
        <v>250</v>
      </c>
    </row>
    <row r="4617" spans="1:5" x14ac:dyDescent="0.25">
      <c r="A4617" t="str">
        <f>"41780661"</f>
        <v>41780661</v>
      </c>
      <c r="B4617" t="s">
        <v>4412</v>
      </c>
      <c r="C4617">
        <v>111.1</v>
      </c>
      <c r="D4617" t="str">
        <f t="shared" si="213"/>
        <v>250</v>
      </c>
    </row>
    <row r="4618" spans="1:5" x14ac:dyDescent="0.25">
      <c r="A4618" t="str">
        <f>"41781261  "</f>
        <v xml:space="preserve">41781261  </v>
      </c>
      <c r="B4618" t="s">
        <v>4413</v>
      </c>
      <c r="C4618">
        <v>14.56</v>
      </c>
      <c r="D4618" t="str">
        <f t="shared" si="213"/>
        <v>250</v>
      </c>
    </row>
    <row r="4619" spans="1:5" x14ac:dyDescent="0.25">
      <c r="A4619" t="str">
        <f>"41785403  "</f>
        <v xml:space="preserve">41785403  </v>
      </c>
      <c r="B4619" t="s">
        <v>4414</v>
      </c>
      <c r="C4619">
        <v>8.8000000000000007</v>
      </c>
      <c r="D4619" t="str">
        <f t="shared" si="213"/>
        <v>250</v>
      </c>
      <c r="E4619" t="str">
        <f>"J8499"</f>
        <v>J8499</v>
      </c>
    </row>
    <row r="4620" spans="1:5" x14ac:dyDescent="0.25">
      <c r="A4620" t="str">
        <f>"41786153  "</f>
        <v xml:space="preserve">41786153  </v>
      </c>
      <c r="B4620" t="s">
        <v>4415</v>
      </c>
      <c r="C4620">
        <v>7.7</v>
      </c>
      <c r="D4620" t="str">
        <f t="shared" si="213"/>
        <v>250</v>
      </c>
      <c r="E4620" t="str">
        <f>"J8499"</f>
        <v>J8499</v>
      </c>
    </row>
    <row r="4621" spans="1:5" x14ac:dyDescent="0.25">
      <c r="A4621" t="str">
        <f>"41786245  "</f>
        <v xml:space="preserve">41786245  </v>
      </c>
      <c r="B4621" t="s">
        <v>3637</v>
      </c>
      <c r="C4621">
        <v>107.8</v>
      </c>
      <c r="D4621" t="str">
        <f t="shared" si="213"/>
        <v>250</v>
      </c>
      <c r="E4621" t="str">
        <f>"J1956"</f>
        <v>J1956</v>
      </c>
    </row>
    <row r="4622" spans="1:5" x14ac:dyDescent="0.25">
      <c r="A4622" t="str">
        <f>"41786286  "</f>
        <v xml:space="preserve">41786286  </v>
      </c>
      <c r="B4622" t="s">
        <v>4416</v>
      </c>
      <c r="C4622">
        <v>14.14</v>
      </c>
      <c r="D4622" t="str">
        <f t="shared" si="213"/>
        <v>250</v>
      </c>
    </row>
    <row r="4623" spans="1:5" x14ac:dyDescent="0.25">
      <c r="A4623" t="str">
        <f>"41786500  "</f>
        <v xml:space="preserve">41786500  </v>
      </c>
      <c r="B4623" t="s">
        <v>4417</v>
      </c>
      <c r="C4623">
        <v>220</v>
      </c>
      <c r="D4623" t="str">
        <f t="shared" si="213"/>
        <v>250</v>
      </c>
      <c r="E4623" t="str">
        <f>"J3490"</f>
        <v>J3490</v>
      </c>
    </row>
    <row r="4624" spans="1:5" x14ac:dyDescent="0.25">
      <c r="A4624" t="str">
        <f>"41786518  "</f>
        <v xml:space="preserve">41786518  </v>
      </c>
      <c r="B4624" t="s">
        <v>4418</v>
      </c>
      <c r="C4624">
        <v>11</v>
      </c>
      <c r="D4624" t="str">
        <f t="shared" si="213"/>
        <v>250</v>
      </c>
      <c r="E4624" t="str">
        <f>"J8499"</f>
        <v>J8499</v>
      </c>
    </row>
    <row r="4625" spans="1:5" x14ac:dyDescent="0.25">
      <c r="A4625" t="str">
        <f>"41787094  "</f>
        <v xml:space="preserve">41787094  </v>
      </c>
      <c r="B4625" t="s">
        <v>4419</v>
      </c>
      <c r="C4625">
        <v>33</v>
      </c>
      <c r="D4625" t="str">
        <f t="shared" si="213"/>
        <v>250</v>
      </c>
    </row>
    <row r="4626" spans="1:5" x14ac:dyDescent="0.25">
      <c r="A4626" t="str">
        <f>"41787623  "</f>
        <v xml:space="preserve">41787623  </v>
      </c>
      <c r="B4626" t="s">
        <v>4420</v>
      </c>
      <c r="C4626">
        <v>28.6</v>
      </c>
      <c r="D4626" t="str">
        <f>"257"</f>
        <v>257</v>
      </c>
      <c r="E4626" t="str">
        <f>"J3490"</f>
        <v>J3490</v>
      </c>
    </row>
    <row r="4627" spans="1:5" x14ac:dyDescent="0.25">
      <c r="A4627" t="str">
        <f>"41788001  "</f>
        <v xml:space="preserve">41788001  </v>
      </c>
      <c r="B4627" t="s">
        <v>4421</v>
      </c>
      <c r="C4627">
        <v>179.03</v>
      </c>
      <c r="D4627" t="str">
        <f t="shared" ref="D4627:D4637" si="214">"250"</f>
        <v>250</v>
      </c>
    </row>
    <row r="4628" spans="1:5" x14ac:dyDescent="0.25">
      <c r="A4628" t="str">
        <f>"41788019  "</f>
        <v xml:space="preserve">41788019  </v>
      </c>
      <c r="B4628" t="s">
        <v>4422</v>
      </c>
      <c r="C4628">
        <v>48.98</v>
      </c>
      <c r="D4628" t="str">
        <f t="shared" si="214"/>
        <v>250</v>
      </c>
    </row>
    <row r="4629" spans="1:5" x14ac:dyDescent="0.25">
      <c r="A4629" t="str">
        <f>"41788027  "</f>
        <v xml:space="preserve">41788027  </v>
      </c>
      <c r="B4629" t="s">
        <v>4423</v>
      </c>
      <c r="C4629">
        <v>6.6</v>
      </c>
      <c r="D4629" t="str">
        <f t="shared" si="214"/>
        <v>250</v>
      </c>
    </row>
    <row r="4630" spans="1:5" x14ac:dyDescent="0.25">
      <c r="A4630" t="str">
        <f>"41788043  "</f>
        <v xml:space="preserve">41788043  </v>
      </c>
      <c r="B4630" t="s">
        <v>4424</v>
      </c>
      <c r="C4630" s="1">
        <v>4868.7</v>
      </c>
      <c r="D4630" t="str">
        <f t="shared" si="214"/>
        <v>250</v>
      </c>
    </row>
    <row r="4631" spans="1:5" x14ac:dyDescent="0.25">
      <c r="A4631" t="str">
        <f>"41788050  "</f>
        <v xml:space="preserve">41788050  </v>
      </c>
      <c r="B4631" t="s">
        <v>4425</v>
      </c>
      <c r="C4631">
        <v>13.93</v>
      </c>
      <c r="D4631" t="str">
        <f t="shared" si="214"/>
        <v>250</v>
      </c>
    </row>
    <row r="4632" spans="1:5" x14ac:dyDescent="0.25">
      <c r="A4632" t="str">
        <f>"41788068  "</f>
        <v xml:space="preserve">41788068  </v>
      </c>
      <c r="B4632" t="s">
        <v>4426</v>
      </c>
      <c r="C4632">
        <v>36.15</v>
      </c>
      <c r="D4632" t="str">
        <f t="shared" si="214"/>
        <v>250</v>
      </c>
    </row>
    <row r="4633" spans="1:5" x14ac:dyDescent="0.25">
      <c r="A4633" t="str">
        <f>"41788076  "</f>
        <v xml:space="preserve">41788076  </v>
      </c>
      <c r="B4633" t="s">
        <v>4427</v>
      </c>
      <c r="C4633">
        <v>286</v>
      </c>
      <c r="D4633" t="str">
        <f t="shared" si="214"/>
        <v>250</v>
      </c>
    </row>
    <row r="4634" spans="1:5" x14ac:dyDescent="0.25">
      <c r="A4634" t="str">
        <f>"41788084  "</f>
        <v xml:space="preserve">41788084  </v>
      </c>
      <c r="B4634" t="s">
        <v>4428</v>
      </c>
      <c r="C4634">
        <v>118.8</v>
      </c>
      <c r="D4634" t="str">
        <f t="shared" si="214"/>
        <v>250</v>
      </c>
    </row>
    <row r="4635" spans="1:5" x14ac:dyDescent="0.25">
      <c r="A4635" t="str">
        <f>"41788092  "</f>
        <v xml:space="preserve">41788092  </v>
      </c>
      <c r="B4635" t="s">
        <v>4429</v>
      </c>
      <c r="C4635">
        <v>291.5</v>
      </c>
      <c r="D4635" t="str">
        <f t="shared" si="214"/>
        <v>250</v>
      </c>
    </row>
    <row r="4636" spans="1:5" x14ac:dyDescent="0.25">
      <c r="A4636" t="str">
        <f>"41788183  "</f>
        <v xml:space="preserve">41788183  </v>
      </c>
      <c r="B4636" t="s">
        <v>4430</v>
      </c>
      <c r="C4636">
        <v>13.34</v>
      </c>
      <c r="D4636" t="str">
        <f t="shared" si="214"/>
        <v>250</v>
      </c>
    </row>
    <row r="4637" spans="1:5" x14ac:dyDescent="0.25">
      <c r="A4637" t="str">
        <f>"41788191  "</f>
        <v xml:space="preserve">41788191  </v>
      </c>
      <c r="B4637" t="s">
        <v>4431</v>
      </c>
      <c r="C4637">
        <v>6.6</v>
      </c>
      <c r="D4637" t="str">
        <f t="shared" si="214"/>
        <v>250</v>
      </c>
    </row>
    <row r="4638" spans="1:5" x14ac:dyDescent="0.25">
      <c r="A4638" t="str">
        <f>"41788800"</f>
        <v>41788800</v>
      </c>
      <c r="B4638" t="s">
        <v>4432</v>
      </c>
      <c r="C4638">
        <v>8.8000000000000007</v>
      </c>
      <c r="D4638" t="str">
        <f>"257"</f>
        <v>257</v>
      </c>
    </row>
    <row r="4639" spans="1:5" x14ac:dyDescent="0.25">
      <c r="A4639" t="str">
        <f>"41789000"</f>
        <v>41789000</v>
      </c>
      <c r="B4639" t="s">
        <v>4433</v>
      </c>
      <c r="C4639">
        <v>58.3</v>
      </c>
      <c r="D4639" t="str">
        <f>"250"</f>
        <v>250</v>
      </c>
    </row>
    <row r="4640" spans="1:5" x14ac:dyDescent="0.25">
      <c r="A4640" t="str">
        <f>"41789001"</f>
        <v>41789001</v>
      </c>
      <c r="B4640" t="s">
        <v>4434</v>
      </c>
      <c r="C4640">
        <v>104.94</v>
      </c>
      <c r="D4640" t="str">
        <f>"250"</f>
        <v>250</v>
      </c>
    </row>
    <row r="4641" spans="1:5" x14ac:dyDescent="0.25">
      <c r="A4641" t="str">
        <f>"41789007"</f>
        <v>41789007</v>
      </c>
      <c r="B4641" t="s">
        <v>4435</v>
      </c>
      <c r="C4641" s="1">
        <v>1312.3</v>
      </c>
      <c r="D4641" t="str">
        <f>"250"</f>
        <v>250</v>
      </c>
    </row>
    <row r="4642" spans="1:5" x14ac:dyDescent="0.25">
      <c r="A4642" t="str">
        <f>"41789700"</f>
        <v>41789700</v>
      </c>
      <c r="B4642" t="s">
        <v>4436</v>
      </c>
      <c r="C4642">
        <v>242.44</v>
      </c>
      <c r="D4642" t="str">
        <f>"257"</f>
        <v>257</v>
      </c>
    </row>
    <row r="4643" spans="1:5" x14ac:dyDescent="0.25">
      <c r="A4643" t="str">
        <f>"41789769  "</f>
        <v xml:space="preserve">41789769  </v>
      </c>
      <c r="B4643" t="s">
        <v>4437</v>
      </c>
      <c r="C4643">
        <v>8.8000000000000007</v>
      </c>
      <c r="D4643" t="str">
        <f>"250"</f>
        <v>250</v>
      </c>
      <c r="E4643" t="str">
        <f>"J8499"</f>
        <v>J8499</v>
      </c>
    </row>
    <row r="4644" spans="1:5" x14ac:dyDescent="0.25">
      <c r="A4644" t="str">
        <f>"41789890"</f>
        <v>41789890</v>
      </c>
      <c r="B4644" t="s">
        <v>4438</v>
      </c>
      <c r="C4644">
        <v>55</v>
      </c>
      <c r="D4644" t="str">
        <f>"250"</f>
        <v>250</v>
      </c>
    </row>
    <row r="4645" spans="1:5" x14ac:dyDescent="0.25">
      <c r="A4645" t="str">
        <f>"41790007  "</f>
        <v xml:space="preserve">41790007  </v>
      </c>
      <c r="B4645" t="s">
        <v>4439</v>
      </c>
      <c r="C4645">
        <v>15.4</v>
      </c>
      <c r="D4645" t="str">
        <f>"250"</f>
        <v>250</v>
      </c>
    </row>
    <row r="4646" spans="1:5" x14ac:dyDescent="0.25">
      <c r="A4646" t="str">
        <f>"41790015  "</f>
        <v xml:space="preserve">41790015  </v>
      </c>
      <c r="B4646" t="s">
        <v>4440</v>
      </c>
      <c r="C4646">
        <v>6.6</v>
      </c>
      <c r="D4646" t="str">
        <f>"257"</f>
        <v>257</v>
      </c>
    </row>
    <row r="4647" spans="1:5" x14ac:dyDescent="0.25">
      <c r="A4647" t="str">
        <f>"41790031  "</f>
        <v xml:space="preserve">41790031  </v>
      </c>
      <c r="B4647" t="s">
        <v>4441</v>
      </c>
      <c r="C4647">
        <v>14.47</v>
      </c>
      <c r="D4647" t="str">
        <f>"250"</f>
        <v>250</v>
      </c>
    </row>
    <row r="4648" spans="1:5" x14ac:dyDescent="0.25">
      <c r="A4648" t="str">
        <f>"41790049  "</f>
        <v xml:space="preserve">41790049  </v>
      </c>
      <c r="B4648" t="s">
        <v>4442</v>
      </c>
      <c r="C4648">
        <v>13.2</v>
      </c>
      <c r="D4648" t="str">
        <f>"250"</f>
        <v>250</v>
      </c>
    </row>
    <row r="4649" spans="1:5" x14ac:dyDescent="0.25">
      <c r="A4649" t="str">
        <f>"41790050"</f>
        <v>41790050</v>
      </c>
      <c r="B4649" t="s">
        <v>4443</v>
      </c>
      <c r="C4649">
        <v>66</v>
      </c>
      <c r="D4649" t="str">
        <f>"257"</f>
        <v>257</v>
      </c>
    </row>
    <row r="4650" spans="1:5" x14ac:dyDescent="0.25">
      <c r="A4650" t="str">
        <f>"41790106  "</f>
        <v xml:space="preserve">41790106  </v>
      </c>
      <c r="B4650" t="s">
        <v>4444</v>
      </c>
      <c r="C4650">
        <v>247.67</v>
      </c>
      <c r="D4650" t="str">
        <f t="shared" ref="D4650:D4660" si="215">"250"</f>
        <v>250</v>
      </c>
      <c r="E4650" t="str">
        <f>"J3490"</f>
        <v>J3490</v>
      </c>
    </row>
    <row r="4651" spans="1:5" x14ac:dyDescent="0.25">
      <c r="A4651" t="str">
        <f>"41790110"</f>
        <v>41790110</v>
      </c>
      <c r="B4651" t="s">
        <v>4445</v>
      </c>
      <c r="C4651">
        <v>13.2</v>
      </c>
      <c r="D4651" t="str">
        <f t="shared" si="215"/>
        <v>250</v>
      </c>
    </row>
    <row r="4652" spans="1:5" x14ac:dyDescent="0.25">
      <c r="A4652" t="str">
        <f>"41790114  "</f>
        <v xml:space="preserve">41790114  </v>
      </c>
      <c r="B4652" t="s">
        <v>4446</v>
      </c>
      <c r="C4652">
        <v>6.6</v>
      </c>
      <c r="D4652" t="str">
        <f t="shared" si="215"/>
        <v>250</v>
      </c>
      <c r="E4652" t="str">
        <f>"J8499"</f>
        <v>J8499</v>
      </c>
    </row>
    <row r="4653" spans="1:5" x14ac:dyDescent="0.25">
      <c r="A4653" t="str">
        <f>"41790130  "</f>
        <v xml:space="preserve">41790130  </v>
      </c>
      <c r="B4653" t="s">
        <v>4447</v>
      </c>
      <c r="C4653">
        <v>20.239999999999998</v>
      </c>
      <c r="D4653" t="str">
        <f t="shared" si="215"/>
        <v>250</v>
      </c>
    </row>
    <row r="4654" spans="1:5" x14ac:dyDescent="0.25">
      <c r="A4654" t="str">
        <f>"41790155  "</f>
        <v xml:space="preserve">41790155  </v>
      </c>
      <c r="B4654" t="s">
        <v>4448</v>
      </c>
      <c r="C4654">
        <v>27.5</v>
      </c>
      <c r="D4654" t="str">
        <f t="shared" si="215"/>
        <v>250</v>
      </c>
    </row>
    <row r="4655" spans="1:5" x14ac:dyDescent="0.25">
      <c r="A4655" t="str">
        <f>"41790163  "</f>
        <v xml:space="preserve">41790163  </v>
      </c>
      <c r="B4655" t="s">
        <v>4449</v>
      </c>
      <c r="C4655">
        <v>16.5</v>
      </c>
      <c r="D4655" t="str">
        <f t="shared" si="215"/>
        <v>250</v>
      </c>
    </row>
    <row r="4656" spans="1:5" x14ac:dyDescent="0.25">
      <c r="A4656" t="str">
        <f>"41790171  "</f>
        <v xml:space="preserve">41790171  </v>
      </c>
      <c r="B4656" t="s">
        <v>4450</v>
      </c>
      <c r="C4656">
        <v>12.1</v>
      </c>
      <c r="D4656" t="str">
        <f t="shared" si="215"/>
        <v>250</v>
      </c>
    </row>
    <row r="4657" spans="1:5" x14ac:dyDescent="0.25">
      <c r="A4657" t="str">
        <f>"41790189  "</f>
        <v xml:space="preserve">41790189  </v>
      </c>
      <c r="B4657" t="s">
        <v>4451</v>
      </c>
      <c r="C4657">
        <v>11</v>
      </c>
      <c r="D4657" t="str">
        <f t="shared" si="215"/>
        <v>250</v>
      </c>
    </row>
    <row r="4658" spans="1:5" x14ac:dyDescent="0.25">
      <c r="A4658" t="str">
        <f>"41790262  "</f>
        <v xml:space="preserve">41790262  </v>
      </c>
      <c r="B4658" t="s">
        <v>4452</v>
      </c>
      <c r="C4658">
        <v>30.25</v>
      </c>
      <c r="D4658" t="str">
        <f t="shared" si="215"/>
        <v>250</v>
      </c>
    </row>
    <row r="4659" spans="1:5" x14ac:dyDescent="0.25">
      <c r="A4659" t="str">
        <f>"41790772"</f>
        <v>41790772</v>
      </c>
      <c r="B4659" t="s">
        <v>4453</v>
      </c>
      <c r="C4659">
        <v>165</v>
      </c>
      <c r="D4659" t="str">
        <f t="shared" si="215"/>
        <v>250</v>
      </c>
    </row>
    <row r="4660" spans="1:5" x14ac:dyDescent="0.25">
      <c r="A4660" t="str">
        <f>"41791005  "</f>
        <v xml:space="preserve">41791005  </v>
      </c>
      <c r="B4660" t="s">
        <v>4454</v>
      </c>
      <c r="C4660">
        <v>56.85</v>
      </c>
      <c r="D4660" t="str">
        <f t="shared" si="215"/>
        <v>250</v>
      </c>
    </row>
    <row r="4661" spans="1:5" x14ac:dyDescent="0.25">
      <c r="A4661" t="str">
        <f>"41792003  "</f>
        <v xml:space="preserve">41792003  </v>
      </c>
      <c r="B4661" t="s">
        <v>4455</v>
      </c>
      <c r="C4661">
        <v>17.88</v>
      </c>
      <c r="D4661" t="str">
        <f>"257"</f>
        <v>257</v>
      </c>
    </row>
    <row r="4662" spans="1:5" x14ac:dyDescent="0.25">
      <c r="A4662" t="str">
        <f>"41792011  "</f>
        <v xml:space="preserve">41792011  </v>
      </c>
      <c r="B4662" t="s">
        <v>4456</v>
      </c>
      <c r="C4662">
        <v>12.82</v>
      </c>
      <c r="D4662" t="str">
        <f>"250"</f>
        <v>250</v>
      </c>
    </row>
    <row r="4663" spans="1:5" x14ac:dyDescent="0.25">
      <c r="A4663" t="str">
        <f>"41792730  "</f>
        <v xml:space="preserve">41792730  </v>
      </c>
      <c r="B4663" t="s">
        <v>3248</v>
      </c>
      <c r="C4663">
        <v>70.400000000000006</v>
      </c>
      <c r="D4663" t="str">
        <f>"257"</f>
        <v>257</v>
      </c>
      <c r="E4663" t="str">
        <f>"J3490"</f>
        <v>J3490</v>
      </c>
    </row>
    <row r="4664" spans="1:5" x14ac:dyDescent="0.25">
      <c r="A4664" t="str">
        <f>"41794001"</f>
        <v>41794001</v>
      </c>
      <c r="B4664" t="s">
        <v>4457</v>
      </c>
      <c r="C4664">
        <v>16.5</v>
      </c>
      <c r="D4664" t="str">
        <f>"250"</f>
        <v>250</v>
      </c>
    </row>
    <row r="4665" spans="1:5" x14ac:dyDescent="0.25">
      <c r="A4665" t="str">
        <f>"41794363  "</f>
        <v xml:space="preserve">41794363  </v>
      </c>
      <c r="B4665" t="s">
        <v>4458</v>
      </c>
      <c r="C4665">
        <v>11</v>
      </c>
      <c r="D4665" t="str">
        <f>"250"</f>
        <v>250</v>
      </c>
      <c r="E4665" t="str">
        <f>"J8499"</f>
        <v>J8499</v>
      </c>
    </row>
    <row r="4666" spans="1:5" x14ac:dyDescent="0.25">
      <c r="A4666" t="str">
        <f>"41797011"</f>
        <v>41797011</v>
      </c>
      <c r="B4666" t="s">
        <v>4459</v>
      </c>
      <c r="C4666">
        <v>66</v>
      </c>
      <c r="D4666" t="str">
        <f>"250"</f>
        <v>250</v>
      </c>
    </row>
    <row r="4667" spans="1:5" x14ac:dyDescent="0.25">
      <c r="A4667" t="str">
        <f>"41797654"</f>
        <v>41797654</v>
      </c>
      <c r="B4667" t="s">
        <v>4460</v>
      </c>
      <c r="C4667">
        <v>16.5</v>
      </c>
      <c r="D4667" t="str">
        <f>"250"</f>
        <v>250</v>
      </c>
    </row>
    <row r="4668" spans="1:5" x14ac:dyDescent="0.25">
      <c r="A4668" t="str">
        <f>"41797711"</f>
        <v>41797711</v>
      </c>
      <c r="B4668" t="s">
        <v>4461</v>
      </c>
      <c r="C4668">
        <v>26.35</v>
      </c>
      <c r="D4668" t="str">
        <f>"257"</f>
        <v>257</v>
      </c>
    </row>
    <row r="4669" spans="1:5" x14ac:dyDescent="0.25">
      <c r="A4669" t="str">
        <f>"41797846  "</f>
        <v xml:space="preserve">41797846  </v>
      </c>
      <c r="B4669" t="s">
        <v>4462</v>
      </c>
      <c r="C4669">
        <v>8.8000000000000007</v>
      </c>
      <c r="D4669" t="str">
        <f t="shared" ref="D4669:D4676" si="216">"250"</f>
        <v>250</v>
      </c>
      <c r="E4669" t="str">
        <f>"J8499"</f>
        <v>J8499</v>
      </c>
    </row>
    <row r="4670" spans="1:5" x14ac:dyDescent="0.25">
      <c r="A4670" t="str">
        <f>"41797853  "</f>
        <v xml:space="preserve">41797853  </v>
      </c>
      <c r="B4670" t="s">
        <v>4463</v>
      </c>
      <c r="C4670">
        <v>6.6</v>
      </c>
      <c r="D4670" t="str">
        <f t="shared" si="216"/>
        <v>250</v>
      </c>
      <c r="E4670" t="str">
        <f>"J8499"</f>
        <v>J8499</v>
      </c>
    </row>
    <row r="4671" spans="1:5" x14ac:dyDescent="0.25">
      <c r="A4671" t="str">
        <f>"41797861  "</f>
        <v xml:space="preserve">41797861  </v>
      </c>
      <c r="B4671" t="s">
        <v>4464</v>
      </c>
      <c r="C4671">
        <v>7.7</v>
      </c>
      <c r="D4671" t="str">
        <f t="shared" si="216"/>
        <v>250</v>
      </c>
      <c r="E4671" t="str">
        <f>"J8499"</f>
        <v>J8499</v>
      </c>
    </row>
    <row r="4672" spans="1:5" x14ac:dyDescent="0.25">
      <c r="A4672" t="str">
        <f>"41798000  "</f>
        <v xml:space="preserve">41798000  </v>
      </c>
      <c r="B4672" t="s">
        <v>4465</v>
      </c>
      <c r="C4672">
        <v>11</v>
      </c>
      <c r="D4672" t="str">
        <f t="shared" si="216"/>
        <v>250</v>
      </c>
    </row>
    <row r="4673" spans="1:5" x14ac:dyDescent="0.25">
      <c r="A4673" t="str">
        <f>"41798001"</f>
        <v>41798001</v>
      </c>
      <c r="B4673" t="s">
        <v>4466</v>
      </c>
      <c r="C4673">
        <v>503.8</v>
      </c>
      <c r="D4673" t="str">
        <f t="shared" si="216"/>
        <v>250</v>
      </c>
      <c r="E4673" t="str">
        <f>"J2916"</f>
        <v>J2916</v>
      </c>
    </row>
    <row r="4674" spans="1:5" x14ac:dyDescent="0.25">
      <c r="A4674" t="str">
        <f>"41798002"</f>
        <v>41798002</v>
      </c>
      <c r="B4674" t="s">
        <v>4467</v>
      </c>
      <c r="C4674">
        <v>16.5</v>
      </c>
      <c r="D4674" t="str">
        <f t="shared" si="216"/>
        <v>250</v>
      </c>
      <c r="E4674" t="str">
        <f>"J1815"</f>
        <v>J1815</v>
      </c>
    </row>
    <row r="4675" spans="1:5" x14ac:dyDescent="0.25">
      <c r="A4675" t="str">
        <f>"41798003"</f>
        <v>41798003</v>
      </c>
      <c r="B4675" t="s">
        <v>4468</v>
      </c>
      <c r="C4675">
        <v>11.34</v>
      </c>
      <c r="D4675" t="str">
        <f t="shared" si="216"/>
        <v>250</v>
      </c>
    </row>
    <row r="4676" spans="1:5" x14ac:dyDescent="0.25">
      <c r="A4676" t="str">
        <f>"41798004"</f>
        <v>41798004</v>
      </c>
      <c r="B4676" t="s">
        <v>4469</v>
      </c>
      <c r="C4676">
        <v>29.7</v>
      </c>
      <c r="D4676" t="str">
        <f t="shared" si="216"/>
        <v>250</v>
      </c>
    </row>
    <row r="4677" spans="1:5" x14ac:dyDescent="0.25">
      <c r="A4677" t="str">
        <f>"41798007"</f>
        <v>41798007</v>
      </c>
      <c r="B4677" t="s">
        <v>4470</v>
      </c>
      <c r="C4677">
        <v>25.67</v>
      </c>
      <c r="D4677" t="str">
        <f>"257"</f>
        <v>257</v>
      </c>
      <c r="E4677" t="str">
        <f>"J3490"</f>
        <v>J3490</v>
      </c>
    </row>
    <row r="4678" spans="1:5" x14ac:dyDescent="0.25">
      <c r="A4678" t="str">
        <f>"41798008"</f>
        <v>41798008</v>
      </c>
      <c r="B4678" t="s">
        <v>4471</v>
      </c>
      <c r="C4678">
        <v>45.1</v>
      </c>
      <c r="D4678" t="str">
        <f t="shared" ref="D4678:D4692" si="217">"250"</f>
        <v>250</v>
      </c>
      <c r="E4678" t="str">
        <f>"J0743"</f>
        <v>J0743</v>
      </c>
    </row>
    <row r="4679" spans="1:5" x14ac:dyDescent="0.25">
      <c r="A4679" t="str">
        <f>"41798009"</f>
        <v>41798009</v>
      </c>
      <c r="B4679" t="s">
        <v>2962</v>
      </c>
      <c r="C4679">
        <v>44</v>
      </c>
      <c r="D4679" t="str">
        <f t="shared" si="217"/>
        <v>250</v>
      </c>
      <c r="E4679" t="str">
        <f>"78499"</f>
        <v>78499</v>
      </c>
    </row>
    <row r="4680" spans="1:5" x14ac:dyDescent="0.25">
      <c r="A4680" t="str">
        <f>"41798010"</f>
        <v>41798010</v>
      </c>
      <c r="B4680" t="s">
        <v>4472</v>
      </c>
      <c r="C4680">
        <v>27.23</v>
      </c>
      <c r="D4680" t="str">
        <f t="shared" si="217"/>
        <v>250</v>
      </c>
      <c r="E4680" t="str">
        <f>"J3490"</f>
        <v>J3490</v>
      </c>
    </row>
    <row r="4681" spans="1:5" x14ac:dyDescent="0.25">
      <c r="A4681" t="str">
        <f>"41798011"</f>
        <v>41798011</v>
      </c>
      <c r="B4681" t="s">
        <v>4473</v>
      </c>
      <c r="C4681">
        <v>11</v>
      </c>
      <c r="D4681" t="str">
        <f t="shared" si="217"/>
        <v>250</v>
      </c>
      <c r="E4681" t="str">
        <f>"J8499"</f>
        <v>J8499</v>
      </c>
    </row>
    <row r="4682" spans="1:5" x14ac:dyDescent="0.25">
      <c r="A4682" t="str">
        <f>"41798012"</f>
        <v>41798012</v>
      </c>
      <c r="B4682" t="s">
        <v>4474</v>
      </c>
      <c r="C4682">
        <v>27.5</v>
      </c>
      <c r="D4682" t="str">
        <f t="shared" si="217"/>
        <v>250</v>
      </c>
      <c r="E4682" t="str">
        <f>"J3490"</f>
        <v>J3490</v>
      </c>
    </row>
    <row r="4683" spans="1:5" x14ac:dyDescent="0.25">
      <c r="A4683" t="str">
        <f>"41798013"</f>
        <v>41798013</v>
      </c>
      <c r="B4683" t="s">
        <v>4475</v>
      </c>
      <c r="C4683">
        <v>27.5</v>
      </c>
      <c r="D4683" t="str">
        <f t="shared" si="217"/>
        <v>250</v>
      </c>
      <c r="E4683" t="str">
        <f>"J3490"</f>
        <v>J3490</v>
      </c>
    </row>
    <row r="4684" spans="1:5" x14ac:dyDescent="0.25">
      <c r="A4684" t="str">
        <f>"41798015"</f>
        <v>41798015</v>
      </c>
      <c r="B4684" t="s">
        <v>4476</v>
      </c>
      <c r="C4684">
        <v>16.5</v>
      </c>
      <c r="D4684" t="str">
        <f t="shared" si="217"/>
        <v>250</v>
      </c>
    </row>
    <row r="4685" spans="1:5" x14ac:dyDescent="0.25">
      <c r="A4685" t="str">
        <f>"41798016"</f>
        <v>41798016</v>
      </c>
      <c r="B4685" t="s">
        <v>4477</v>
      </c>
      <c r="C4685">
        <v>66</v>
      </c>
      <c r="D4685" t="str">
        <f t="shared" si="217"/>
        <v>250</v>
      </c>
    </row>
    <row r="4686" spans="1:5" x14ac:dyDescent="0.25">
      <c r="A4686" t="str">
        <f>"41798017"</f>
        <v>41798017</v>
      </c>
      <c r="B4686" t="s">
        <v>4478</v>
      </c>
      <c r="C4686">
        <v>49.5</v>
      </c>
      <c r="D4686" t="str">
        <f t="shared" si="217"/>
        <v>250</v>
      </c>
    </row>
    <row r="4687" spans="1:5" x14ac:dyDescent="0.25">
      <c r="A4687" t="str">
        <f>"41798091  "</f>
        <v xml:space="preserve">41798091  </v>
      </c>
      <c r="B4687" t="s">
        <v>4479</v>
      </c>
      <c r="C4687">
        <v>79.2</v>
      </c>
      <c r="D4687" t="str">
        <f t="shared" si="217"/>
        <v>250</v>
      </c>
    </row>
    <row r="4688" spans="1:5" x14ac:dyDescent="0.25">
      <c r="A4688" t="str">
        <f>"41798724"</f>
        <v>41798724</v>
      </c>
      <c r="B4688" t="s">
        <v>4480</v>
      </c>
      <c r="C4688">
        <v>19.8</v>
      </c>
      <c r="D4688" t="str">
        <f t="shared" si="217"/>
        <v>250</v>
      </c>
    </row>
    <row r="4689" spans="1:5" x14ac:dyDescent="0.25">
      <c r="A4689" t="str">
        <f>"41798810"</f>
        <v>41798810</v>
      </c>
      <c r="B4689" t="s">
        <v>4481</v>
      </c>
      <c r="C4689">
        <v>6.6</v>
      </c>
      <c r="D4689" t="str">
        <f t="shared" si="217"/>
        <v>250</v>
      </c>
    </row>
    <row r="4690" spans="1:5" x14ac:dyDescent="0.25">
      <c r="A4690" t="str">
        <f>"41798820"</f>
        <v>41798820</v>
      </c>
      <c r="B4690" t="s">
        <v>4482</v>
      </c>
      <c r="C4690">
        <v>6.6</v>
      </c>
      <c r="D4690" t="str">
        <f t="shared" si="217"/>
        <v>250</v>
      </c>
    </row>
    <row r="4691" spans="1:5" x14ac:dyDescent="0.25">
      <c r="A4691" t="str">
        <f>"41799001"</f>
        <v>41799001</v>
      </c>
      <c r="B4691" t="s">
        <v>4280</v>
      </c>
      <c r="C4691">
        <v>16.5</v>
      </c>
      <c r="D4691" t="str">
        <f t="shared" si="217"/>
        <v>250</v>
      </c>
      <c r="E4691" t="str">
        <f>"J1815"</f>
        <v>J1815</v>
      </c>
    </row>
    <row r="4692" spans="1:5" x14ac:dyDescent="0.25">
      <c r="A4692" t="str">
        <f>"41799008  "</f>
        <v xml:space="preserve">41799008  </v>
      </c>
      <c r="B4692" t="s">
        <v>4483</v>
      </c>
      <c r="C4692">
        <v>90.43</v>
      </c>
      <c r="D4692" t="str">
        <f t="shared" si="217"/>
        <v>250</v>
      </c>
    </row>
    <row r="4693" spans="1:5" x14ac:dyDescent="0.25">
      <c r="A4693" t="str">
        <f>"41799009"</f>
        <v>41799009</v>
      </c>
      <c r="B4693" t="s">
        <v>4484</v>
      </c>
      <c r="C4693">
        <v>6.6</v>
      </c>
      <c r="D4693" t="str">
        <f>"257"</f>
        <v>257</v>
      </c>
    </row>
    <row r="4694" spans="1:5" x14ac:dyDescent="0.25">
      <c r="A4694" t="str">
        <f>"41799016  "</f>
        <v xml:space="preserve">41799016  </v>
      </c>
      <c r="B4694" t="s">
        <v>4485</v>
      </c>
      <c r="C4694">
        <v>255.2</v>
      </c>
      <c r="D4694" t="str">
        <f>"250"</f>
        <v>250</v>
      </c>
    </row>
    <row r="4695" spans="1:5" x14ac:dyDescent="0.25">
      <c r="A4695" t="str">
        <f>"41799032"</f>
        <v>41799032</v>
      </c>
      <c r="B4695" t="s">
        <v>4486</v>
      </c>
      <c r="C4695">
        <v>137.56</v>
      </c>
      <c r="D4695" t="str">
        <f>"250"</f>
        <v>250</v>
      </c>
    </row>
    <row r="4696" spans="1:5" x14ac:dyDescent="0.25">
      <c r="A4696" t="str">
        <f>"41799040"</f>
        <v>41799040</v>
      </c>
      <c r="B4696" t="s">
        <v>4487</v>
      </c>
      <c r="C4696" s="1">
        <v>1804</v>
      </c>
      <c r="D4696" t="str">
        <f>"250"</f>
        <v>250</v>
      </c>
    </row>
    <row r="4697" spans="1:5" x14ac:dyDescent="0.25">
      <c r="A4697" t="str">
        <f>"41799057  "</f>
        <v xml:space="preserve">41799057  </v>
      </c>
      <c r="B4697" t="s">
        <v>4488</v>
      </c>
      <c r="C4697">
        <v>50.6</v>
      </c>
      <c r="D4697" t="str">
        <f>"250"</f>
        <v>250</v>
      </c>
    </row>
    <row r="4698" spans="1:5" x14ac:dyDescent="0.25">
      <c r="A4698" t="str">
        <f>"41799065  "</f>
        <v xml:space="preserve">41799065  </v>
      </c>
      <c r="B4698" t="s">
        <v>4489</v>
      </c>
      <c r="C4698">
        <v>72.19</v>
      </c>
      <c r="D4698" t="str">
        <f>"270"</f>
        <v>270</v>
      </c>
    </row>
    <row r="4699" spans="1:5" x14ac:dyDescent="0.25">
      <c r="A4699" t="str">
        <f>"41799073  "</f>
        <v xml:space="preserve">41799073  </v>
      </c>
      <c r="B4699" t="s">
        <v>4490</v>
      </c>
      <c r="C4699">
        <v>10.95</v>
      </c>
      <c r="D4699" t="str">
        <f t="shared" ref="D4699:D4704" si="218">"250"</f>
        <v>250</v>
      </c>
    </row>
    <row r="4700" spans="1:5" x14ac:dyDescent="0.25">
      <c r="A4700" t="str">
        <f>"41799081  "</f>
        <v xml:space="preserve">41799081  </v>
      </c>
      <c r="B4700" t="s">
        <v>4491</v>
      </c>
      <c r="C4700">
        <v>699.6</v>
      </c>
      <c r="D4700" t="str">
        <f t="shared" si="218"/>
        <v>250</v>
      </c>
    </row>
    <row r="4701" spans="1:5" x14ac:dyDescent="0.25">
      <c r="A4701" t="str">
        <f>"41799099  "</f>
        <v xml:space="preserve">41799099  </v>
      </c>
      <c r="B4701" t="s">
        <v>4492</v>
      </c>
      <c r="C4701">
        <v>19.8</v>
      </c>
      <c r="D4701" t="str">
        <f t="shared" si="218"/>
        <v>250</v>
      </c>
    </row>
    <row r="4702" spans="1:5" x14ac:dyDescent="0.25">
      <c r="A4702" t="str">
        <f>"41799107"</f>
        <v>41799107</v>
      </c>
      <c r="B4702" t="s">
        <v>4493</v>
      </c>
      <c r="C4702">
        <v>11</v>
      </c>
      <c r="D4702" t="str">
        <f t="shared" si="218"/>
        <v>250</v>
      </c>
    </row>
    <row r="4703" spans="1:5" x14ac:dyDescent="0.25">
      <c r="A4703" t="str">
        <f>"41799115"</f>
        <v>41799115</v>
      </c>
      <c r="B4703" t="s">
        <v>4494</v>
      </c>
      <c r="C4703">
        <v>30.64</v>
      </c>
      <c r="D4703" t="str">
        <f t="shared" si="218"/>
        <v>250</v>
      </c>
    </row>
    <row r="4704" spans="1:5" x14ac:dyDescent="0.25">
      <c r="A4704" t="str">
        <f>"41799123  "</f>
        <v xml:space="preserve">41799123  </v>
      </c>
      <c r="B4704" t="s">
        <v>4495</v>
      </c>
      <c r="C4704">
        <v>16.95</v>
      </c>
      <c r="D4704" t="str">
        <f t="shared" si="218"/>
        <v>250</v>
      </c>
    </row>
    <row r="4705" spans="1:5" x14ac:dyDescent="0.25">
      <c r="A4705" t="str">
        <f>"41799131  "</f>
        <v xml:space="preserve">41799131  </v>
      </c>
      <c r="B4705" t="s">
        <v>4496</v>
      </c>
      <c r="C4705">
        <v>88</v>
      </c>
      <c r="D4705" t="str">
        <f>"257"</f>
        <v>257</v>
      </c>
    </row>
    <row r="4706" spans="1:5" x14ac:dyDescent="0.25">
      <c r="A4706" t="str">
        <f>"41799149  "</f>
        <v xml:space="preserve">41799149  </v>
      </c>
      <c r="B4706" t="s">
        <v>4497</v>
      </c>
      <c r="C4706">
        <v>52.8</v>
      </c>
      <c r="D4706" t="str">
        <f t="shared" ref="D4706:D4712" si="219">"250"</f>
        <v>250</v>
      </c>
    </row>
    <row r="4707" spans="1:5" x14ac:dyDescent="0.25">
      <c r="A4707" t="str">
        <f>"41799156"</f>
        <v>41799156</v>
      </c>
      <c r="B4707" t="s">
        <v>4498</v>
      </c>
      <c r="C4707">
        <v>9.68</v>
      </c>
      <c r="D4707" t="str">
        <f t="shared" si="219"/>
        <v>250</v>
      </c>
    </row>
    <row r="4708" spans="1:5" x14ac:dyDescent="0.25">
      <c r="A4708" t="str">
        <f>"41799164"</f>
        <v>41799164</v>
      </c>
      <c r="B4708" t="s">
        <v>4499</v>
      </c>
      <c r="C4708">
        <v>13.2</v>
      </c>
      <c r="D4708" t="str">
        <f t="shared" si="219"/>
        <v>250</v>
      </c>
    </row>
    <row r="4709" spans="1:5" x14ac:dyDescent="0.25">
      <c r="A4709" t="str">
        <f>"41799172"</f>
        <v>41799172</v>
      </c>
      <c r="B4709" t="s">
        <v>4500</v>
      </c>
      <c r="C4709">
        <v>8.8000000000000007</v>
      </c>
      <c r="D4709" t="str">
        <f t="shared" si="219"/>
        <v>250</v>
      </c>
    </row>
    <row r="4710" spans="1:5" x14ac:dyDescent="0.25">
      <c r="A4710" t="str">
        <f>"41799180"</f>
        <v>41799180</v>
      </c>
      <c r="B4710" t="s">
        <v>4501</v>
      </c>
      <c r="C4710">
        <v>45.1</v>
      </c>
      <c r="D4710" t="str">
        <f t="shared" si="219"/>
        <v>250</v>
      </c>
    </row>
    <row r="4711" spans="1:5" x14ac:dyDescent="0.25">
      <c r="A4711" t="str">
        <f>"41799198  "</f>
        <v xml:space="preserve">41799198  </v>
      </c>
      <c r="B4711" t="s">
        <v>4502</v>
      </c>
      <c r="C4711">
        <v>33</v>
      </c>
      <c r="D4711" t="str">
        <f t="shared" si="219"/>
        <v>250</v>
      </c>
    </row>
    <row r="4712" spans="1:5" x14ac:dyDescent="0.25">
      <c r="A4712" t="str">
        <f>"41799248  "</f>
        <v xml:space="preserve">41799248  </v>
      </c>
      <c r="B4712" t="s">
        <v>4503</v>
      </c>
      <c r="C4712">
        <v>18.920000000000002</v>
      </c>
      <c r="D4712" t="str">
        <f t="shared" si="219"/>
        <v>250</v>
      </c>
    </row>
    <row r="4713" spans="1:5" x14ac:dyDescent="0.25">
      <c r="A4713" t="str">
        <f>"41799374"</f>
        <v>41799374</v>
      </c>
      <c r="B4713" t="s">
        <v>4211</v>
      </c>
      <c r="C4713">
        <v>67.98</v>
      </c>
      <c r="D4713" t="str">
        <f>"257"</f>
        <v>257</v>
      </c>
    </row>
    <row r="4714" spans="1:5" x14ac:dyDescent="0.25">
      <c r="A4714" t="str">
        <f>"41799423"</f>
        <v>41799423</v>
      </c>
      <c r="B4714" t="s">
        <v>4504</v>
      </c>
      <c r="C4714" s="1">
        <v>1386</v>
      </c>
      <c r="D4714" t="str">
        <f>"250"</f>
        <v>250</v>
      </c>
    </row>
    <row r="4715" spans="1:5" x14ac:dyDescent="0.25">
      <c r="A4715" t="str">
        <f>"41799500"</f>
        <v>41799500</v>
      </c>
      <c r="B4715" t="s">
        <v>4505</v>
      </c>
      <c r="C4715">
        <v>63.8</v>
      </c>
      <c r="D4715" t="str">
        <f>"257"</f>
        <v>257</v>
      </c>
    </row>
    <row r="4716" spans="1:5" x14ac:dyDescent="0.25">
      <c r="A4716" t="str">
        <f>"41799543"</f>
        <v>41799543</v>
      </c>
      <c r="B4716" t="s">
        <v>4506</v>
      </c>
      <c r="C4716">
        <v>9.16</v>
      </c>
      <c r="D4716" t="str">
        <f>"250"</f>
        <v>250</v>
      </c>
    </row>
    <row r="4717" spans="1:5" x14ac:dyDescent="0.25">
      <c r="A4717" t="str">
        <f>"41799755"</f>
        <v>41799755</v>
      </c>
      <c r="B4717" t="s">
        <v>4507</v>
      </c>
      <c r="C4717">
        <v>12.65</v>
      </c>
      <c r="D4717" t="str">
        <f>"250"</f>
        <v>250</v>
      </c>
    </row>
    <row r="4718" spans="1:5" x14ac:dyDescent="0.25">
      <c r="A4718" t="str">
        <f>"41799770"</f>
        <v>41799770</v>
      </c>
      <c r="B4718" t="s">
        <v>4508</v>
      </c>
      <c r="C4718">
        <v>16.5</v>
      </c>
      <c r="D4718" t="str">
        <f>"250"</f>
        <v>250</v>
      </c>
      <c r="E4718" t="str">
        <f>"J1815"</f>
        <v>J1815</v>
      </c>
    </row>
    <row r="4719" spans="1:5" x14ac:dyDescent="0.25">
      <c r="A4719" t="str">
        <f>"41799771"</f>
        <v>41799771</v>
      </c>
      <c r="B4719" t="s">
        <v>4509</v>
      </c>
      <c r="C4719" s="1">
        <v>1643.4</v>
      </c>
      <c r="D4719" t="str">
        <f>"636"</f>
        <v>636</v>
      </c>
      <c r="E4719" t="str">
        <f>"90677"</f>
        <v>90677</v>
      </c>
    </row>
    <row r="4720" spans="1:5" x14ac:dyDescent="0.25">
      <c r="A4720" t="str">
        <f>"41799772"</f>
        <v>41799772</v>
      </c>
      <c r="B4720" t="s">
        <v>4508</v>
      </c>
      <c r="C4720">
        <v>22</v>
      </c>
      <c r="D4720" t="str">
        <f t="shared" ref="D4720:D4727" si="220">"250"</f>
        <v>250</v>
      </c>
    </row>
    <row r="4721" spans="1:5" x14ac:dyDescent="0.25">
      <c r="A4721" t="str">
        <f>"41799800"</f>
        <v>41799800</v>
      </c>
      <c r="B4721" t="s">
        <v>4510</v>
      </c>
      <c r="C4721">
        <v>11.88</v>
      </c>
      <c r="D4721" t="str">
        <f t="shared" si="220"/>
        <v>250</v>
      </c>
    </row>
    <row r="4722" spans="1:5" x14ac:dyDescent="0.25">
      <c r="A4722" t="str">
        <f>"41799801"</f>
        <v>41799801</v>
      </c>
      <c r="B4722" t="s">
        <v>4511</v>
      </c>
      <c r="C4722">
        <v>369.6</v>
      </c>
      <c r="D4722" t="str">
        <f t="shared" si="220"/>
        <v>250</v>
      </c>
    </row>
    <row r="4723" spans="1:5" x14ac:dyDescent="0.25">
      <c r="A4723" t="str">
        <f>"41799802"</f>
        <v>41799802</v>
      </c>
      <c r="B4723" t="s">
        <v>4512</v>
      </c>
      <c r="C4723">
        <v>38.5</v>
      </c>
      <c r="D4723" t="str">
        <f t="shared" si="220"/>
        <v>250</v>
      </c>
    </row>
    <row r="4724" spans="1:5" x14ac:dyDescent="0.25">
      <c r="A4724" t="str">
        <f>"41799803"</f>
        <v>41799803</v>
      </c>
      <c r="B4724" t="s">
        <v>4513</v>
      </c>
      <c r="C4724">
        <v>106.81</v>
      </c>
      <c r="D4724" t="str">
        <f t="shared" si="220"/>
        <v>250</v>
      </c>
    </row>
    <row r="4725" spans="1:5" x14ac:dyDescent="0.25">
      <c r="A4725" t="str">
        <f>"47198002"</f>
        <v>47198002</v>
      </c>
      <c r="B4725" t="s">
        <v>4467</v>
      </c>
      <c r="C4725">
        <v>16.5</v>
      </c>
      <c r="D4725" t="str">
        <f t="shared" si="220"/>
        <v>250</v>
      </c>
      <c r="E4725" t="str">
        <f>"J1815"</f>
        <v>J1815</v>
      </c>
    </row>
    <row r="4726" spans="1:5" x14ac:dyDescent="0.25">
      <c r="A4726" t="str">
        <f>"47198003"</f>
        <v>47198003</v>
      </c>
      <c r="B4726" t="s">
        <v>4514</v>
      </c>
      <c r="C4726">
        <v>111.65</v>
      </c>
      <c r="D4726" t="str">
        <f t="shared" si="220"/>
        <v>250</v>
      </c>
    </row>
    <row r="4727" spans="1:5" x14ac:dyDescent="0.25">
      <c r="A4727" t="str">
        <f>"47198004"</f>
        <v>47198004</v>
      </c>
      <c r="B4727" t="s">
        <v>4515</v>
      </c>
      <c r="C4727">
        <v>0</v>
      </c>
      <c r="D4727" t="str">
        <f t="shared" si="220"/>
        <v>250</v>
      </c>
      <c r="E4727" t="str">
        <f>"91301"</f>
        <v>91301</v>
      </c>
    </row>
    <row r="4728" spans="1:5" x14ac:dyDescent="0.25">
      <c r="A4728" t="str">
        <f>"47198005"</f>
        <v>47198005</v>
      </c>
      <c r="B4728" t="s">
        <v>4516</v>
      </c>
      <c r="C4728">
        <v>88</v>
      </c>
      <c r="D4728" t="str">
        <f>"771"</f>
        <v>771</v>
      </c>
      <c r="E4728" t="str">
        <f>"0011A"</f>
        <v>0011A</v>
      </c>
    </row>
    <row r="4729" spans="1:5" x14ac:dyDescent="0.25">
      <c r="A4729" t="str">
        <f>"47198006"</f>
        <v>47198006</v>
      </c>
      <c r="B4729" t="s">
        <v>4517</v>
      </c>
      <c r="C4729">
        <v>88</v>
      </c>
      <c r="D4729" t="str">
        <f>"771"</f>
        <v>771</v>
      </c>
      <c r="E4729" t="str">
        <f>"0012A"</f>
        <v>0012A</v>
      </c>
    </row>
    <row r="4730" spans="1:5" x14ac:dyDescent="0.25">
      <c r="A4730" t="str">
        <f>"47198007"</f>
        <v>47198007</v>
      </c>
      <c r="B4730" t="s">
        <v>4518</v>
      </c>
      <c r="C4730">
        <v>25.67</v>
      </c>
      <c r="D4730" t="str">
        <f>"257"</f>
        <v>257</v>
      </c>
      <c r="E4730" t="str">
        <f>"J3490"</f>
        <v>J3490</v>
      </c>
    </row>
    <row r="4731" spans="1:5" x14ac:dyDescent="0.25">
      <c r="A4731" t="str">
        <f>"47198010"</f>
        <v>47198010</v>
      </c>
      <c r="B4731" t="s">
        <v>4519</v>
      </c>
      <c r="C4731">
        <v>71.5</v>
      </c>
      <c r="D4731" t="str">
        <f>"250"</f>
        <v>250</v>
      </c>
    </row>
    <row r="4732" spans="1:5" x14ac:dyDescent="0.25">
      <c r="A4732" t="str">
        <f>"47198011"</f>
        <v>47198011</v>
      </c>
      <c r="B4732" t="s">
        <v>4520</v>
      </c>
      <c r="C4732">
        <v>88</v>
      </c>
      <c r="D4732" t="str">
        <f>"250"</f>
        <v>250</v>
      </c>
      <c r="E4732" t="str">
        <f>"0013A"</f>
        <v>0013A</v>
      </c>
    </row>
    <row r="4733" spans="1:5" x14ac:dyDescent="0.25">
      <c r="A4733" t="str">
        <f>"47198012"</f>
        <v>47198012</v>
      </c>
      <c r="B4733" t="s">
        <v>4521</v>
      </c>
      <c r="C4733">
        <v>88</v>
      </c>
      <c r="D4733" t="str">
        <f>"250"</f>
        <v>250</v>
      </c>
      <c r="E4733" t="str">
        <f>"0064A"</f>
        <v>0064A</v>
      </c>
    </row>
    <row r="4734" spans="1:5" x14ac:dyDescent="0.25">
      <c r="A4734" t="str">
        <f>"41800053  "</f>
        <v xml:space="preserve">41800053  </v>
      </c>
      <c r="B4734" t="s">
        <v>4522</v>
      </c>
      <c r="C4734">
        <v>60.5</v>
      </c>
      <c r="D4734" t="str">
        <f>"410"</f>
        <v>410</v>
      </c>
      <c r="E4734" t="str">
        <f>"A7015"</f>
        <v>A7015</v>
      </c>
    </row>
    <row r="4735" spans="1:5" x14ac:dyDescent="0.25">
      <c r="A4735" t="str">
        <f>"41800103  "</f>
        <v xml:space="preserve">41800103  </v>
      </c>
      <c r="B4735" t="s">
        <v>4523</v>
      </c>
      <c r="C4735">
        <v>24.2</v>
      </c>
      <c r="D4735" t="str">
        <f>"410"</f>
        <v>410</v>
      </c>
      <c r="E4735" t="str">
        <f>"A7015"</f>
        <v>A7015</v>
      </c>
    </row>
    <row r="4736" spans="1:5" x14ac:dyDescent="0.25">
      <c r="A4736" t="str">
        <f>"41800152  "</f>
        <v xml:space="preserve">41800152  </v>
      </c>
      <c r="B4736" t="s">
        <v>4524</v>
      </c>
      <c r="C4736">
        <v>60.5</v>
      </c>
      <c r="D4736" t="str">
        <f>"410"</f>
        <v>410</v>
      </c>
      <c r="E4736" t="str">
        <f>"E0572"</f>
        <v>E0572</v>
      </c>
    </row>
    <row r="4737" spans="1:5" x14ac:dyDescent="0.25">
      <c r="A4737" t="str">
        <f>"41800251  "</f>
        <v xml:space="preserve">41800251  </v>
      </c>
      <c r="B4737" t="s">
        <v>4525</v>
      </c>
      <c r="C4737">
        <v>40.700000000000003</v>
      </c>
      <c r="D4737" t="str">
        <f>"410"</f>
        <v>410</v>
      </c>
      <c r="E4737" t="str">
        <f>"94664"</f>
        <v>94664</v>
      </c>
    </row>
    <row r="4738" spans="1:5" x14ac:dyDescent="0.25">
      <c r="A4738" t="str">
        <f>"41800319  "</f>
        <v xml:space="preserve">41800319  </v>
      </c>
      <c r="B4738" t="s">
        <v>4526</v>
      </c>
      <c r="C4738">
        <v>9.9</v>
      </c>
      <c r="D4738" t="str">
        <f>"410"</f>
        <v>410</v>
      </c>
      <c r="E4738" t="str">
        <f>"94799"</f>
        <v>94799</v>
      </c>
    </row>
    <row r="4739" spans="1:5" x14ac:dyDescent="0.25">
      <c r="A4739" t="str">
        <f>"41800400  "</f>
        <v xml:space="preserve">41800400  </v>
      </c>
      <c r="B4739" t="s">
        <v>4527</v>
      </c>
      <c r="C4739">
        <v>24.2</v>
      </c>
      <c r="D4739" t="str">
        <f>"270"</f>
        <v>270</v>
      </c>
      <c r="E4739" t="str">
        <f>"A4615"</f>
        <v>A4615</v>
      </c>
    </row>
    <row r="4740" spans="1:5" x14ac:dyDescent="0.25">
      <c r="A4740" t="str">
        <f>"41800459  "</f>
        <v xml:space="preserve">41800459  </v>
      </c>
      <c r="B4740" t="s">
        <v>4528</v>
      </c>
      <c r="C4740">
        <v>61.6</v>
      </c>
      <c r="D4740" t="str">
        <f t="shared" ref="D4740:D4752" si="221">"410"</f>
        <v>410</v>
      </c>
      <c r="E4740" t="str">
        <f>"E0455"</f>
        <v>E0455</v>
      </c>
    </row>
    <row r="4741" spans="1:5" x14ac:dyDescent="0.25">
      <c r="A4741" t="str">
        <f>"41800509  "</f>
        <v xml:space="preserve">41800509  </v>
      </c>
      <c r="B4741" t="s">
        <v>4529</v>
      </c>
      <c r="C4741">
        <v>24.2</v>
      </c>
      <c r="D4741" t="str">
        <f t="shared" si="221"/>
        <v>410</v>
      </c>
      <c r="E4741" t="str">
        <f>"94799"</f>
        <v>94799</v>
      </c>
    </row>
    <row r="4742" spans="1:5" x14ac:dyDescent="0.25">
      <c r="A4742" t="str">
        <f>"41800558  "</f>
        <v xml:space="preserve">41800558  </v>
      </c>
      <c r="B4742" t="s">
        <v>4530</v>
      </c>
      <c r="C4742">
        <v>20.9</v>
      </c>
      <c r="D4742" t="str">
        <f t="shared" si="221"/>
        <v>410</v>
      </c>
      <c r="E4742" t="str">
        <f>"A4616"</f>
        <v>A4616</v>
      </c>
    </row>
    <row r="4743" spans="1:5" x14ac:dyDescent="0.25">
      <c r="A4743" t="str">
        <f>"41800707  "</f>
        <v xml:space="preserve">41800707  </v>
      </c>
      <c r="B4743" t="s">
        <v>4531</v>
      </c>
      <c r="C4743">
        <v>64.900000000000006</v>
      </c>
      <c r="D4743" t="str">
        <f t="shared" si="221"/>
        <v>410</v>
      </c>
      <c r="E4743" t="str">
        <f>"E0455"</f>
        <v>E0455</v>
      </c>
    </row>
    <row r="4744" spans="1:5" x14ac:dyDescent="0.25">
      <c r="A4744" t="str">
        <f>"41800756  "</f>
        <v xml:space="preserve">41800756  </v>
      </c>
      <c r="B4744" t="s">
        <v>4532</v>
      </c>
      <c r="C4744">
        <v>93.5</v>
      </c>
      <c r="D4744" t="str">
        <f t="shared" si="221"/>
        <v>410</v>
      </c>
      <c r="E4744" t="str">
        <f>"E0450"</f>
        <v>E0450</v>
      </c>
    </row>
    <row r="4745" spans="1:5" x14ac:dyDescent="0.25">
      <c r="A4745" t="str">
        <f>"41800806  "</f>
        <v xml:space="preserve">41800806  </v>
      </c>
      <c r="B4745" t="s">
        <v>4533</v>
      </c>
      <c r="C4745">
        <v>30.8</v>
      </c>
      <c r="D4745" t="str">
        <f t="shared" si="221"/>
        <v>410</v>
      </c>
      <c r="E4745" t="str">
        <f>"94799"</f>
        <v>94799</v>
      </c>
    </row>
    <row r="4746" spans="1:5" x14ac:dyDescent="0.25">
      <c r="A4746" t="str">
        <f>"41800855  "</f>
        <v xml:space="preserve">41800855  </v>
      </c>
      <c r="B4746" t="s">
        <v>4534</v>
      </c>
      <c r="C4746">
        <v>60.5</v>
      </c>
      <c r="D4746" t="str">
        <f t="shared" si="221"/>
        <v>410</v>
      </c>
      <c r="E4746" t="str">
        <f>"E0575"</f>
        <v>E0575</v>
      </c>
    </row>
    <row r="4747" spans="1:5" x14ac:dyDescent="0.25">
      <c r="A4747" t="str">
        <f>"41801010  "</f>
        <v xml:space="preserve">41801010  </v>
      </c>
      <c r="B4747" t="s">
        <v>4535</v>
      </c>
      <c r="C4747">
        <v>38.5</v>
      </c>
      <c r="D4747" t="str">
        <f t="shared" si="221"/>
        <v>410</v>
      </c>
      <c r="E4747" t="str">
        <f>"94002"</f>
        <v>94002</v>
      </c>
    </row>
    <row r="4748" spans="1:5" x14ac:dyDescent="0.25">
      <c r="A4748" t="str">
        <f>"41801028  "</f>
        <v xml:space="preserve">41801028  </v>
      </c>
      <c r="B4748" t="s">
        <v>4536</v>
      </c>
      <c r="C4748">
        <v>37.4</v>
      </c>
      <c r="D4748" t="str">
        <f t="shared" si="221"/>
        <v>410</v>
      </c>
      <c r="E4748" t="str">
        <f>"94003"</f>
        <v>94003</v>
      </c>
    </row>
    <row r="4749" spans="1:5" x14ac:dyDescent="0.25">
      <c r="A4749" t="str">
        <f>"41801036  "</f>
        <v xml:space="preserve">41801036  </v>
      </c>
      <c r="B4749" t="s">
        <v>4537</v>
      </c>
      <c r="C4749">
        <v>67.099999999999994</v>
      </c>
      <c r="D4749" t="str">
        <f t="shared" si="221"/>
        <v>410</v>
      </c>
      <c r="E4749" t="str">
        <f>"E0601"</f>
        <v>E0601</v>
      </c>
    </row>
    <row r="4750" spans="1:5" x14ac:dyDescent="0.25">
      <c r="A4750" t="str">
        <f>"41801044  "</f>
        <v xml:space="preserve">41801044  </v>
      </c>
      <c r="B4750" t="s">
        <v>4538</v>
      </c>
      <c r="C4750">
        <v>8.8000000000000007</v>
      </c>
      <c r="D4750" t="str">
        <f t="shared" si="221"/>
        <v>410</v>
      </c>
      <c r="E4750" t="str">
        <f>"94660"</f>
        <v>94660</v>
      </c>
    </row>
    <row r="4751" spans="1:5" x14ac:dyDescent="0.25">
      <c r="A4751" t="str">
        <f>"41801051  "</f>
        <v xml:space="preserve">41801051  </v>
      </c>
      <c r="B4751" t="s">
        <v>4539</v>
      </c>
      <c r="C4751">
        <v>24.2</v>
      </c>
      <c r="D4751" t="str">
        <f t="shared" si="221"/>
        <v>410</v>
      </c>
      <c r="E4751" t="str">
        <f>"94640"</f>
        <v>94640</v>
      </c>
    </row>
    <row r="4752" spans="1:5" x14ac:dyDescent="0.25">
      <c r="A4752" t="str">
        <f>"41801051  "</f>
        <v xml:space="preserve">41801051  </v>
      </c>
      <c r="B4752" t="s">
        <v>4539</v>
      </c>
      <c r="C4752">
        <v>24.2</v>
      </c>
      <c r="D4752" t="str">
        <f t="shared" si="221"/>
        <v>410</v>
      </c>
      <c r="E4752" t="str">
        <f>"94799"</f>
        <v>94799</v>
      </c>
    </row>
    <row r="4753" spans="1:5" x14ac:dyDescent="0.25">
      <c r="A4753" t="str">
        <f>"41801093  "</f>
        <v xml:space="preserve">41801093  </v>
      </c>
      <c r="B4753" t="s">
        <v>4540</v>
      </c>
      <c r="C4753">
        <v>177.1</v>
      </c>
      <c r="D4753" t="str">
        <f>"460"</f>
        <v>460</v>
      </c>
      <c r="E4753" t="str">
        <f>"L8501"</f>
        <v>L8501</v>
      </c>
    </row>
    <row r="4754" spans="1:5" x14ac:dyDescent="0.25">
      <c r="A4754" t="str">
        <f>"41801101  "</f>
        <v xml:space="preserve">41801101  </v>
      </c>
      <c r="B4754" t="s">
        <v>4541</v>
      </c>
      <c r="C4754">
        <v>26.4</v>
      </c>
      <c r="D4754" t="str">
        <f t="shared" ref="D4754:D4761" si="222">"410"</f>
        <v>410</v>
      </c>
      <c r="E4754" t="str">
        <f>"94640"</f>
        <v>94640</v>
      </c>
    </row>
    <row r="4755" spans="1:5" x14ac:dyDescent="0.25">
      <c r="A4755" t="str">
        <f>"41801101  "</f>
        <v xml:space="preserve">41801101  </v>
      </c>
      <c r="B4755" t="s">
        <v>4541</v>
      </c>
      <c r="C4755">
        <v>26.4</v>
      </c>
      <c r="D4755" t="str">
        <f t="shared" si="222"/>
        <v>410</v>
      </c>
    </row>
    <row r="4756" spans="1:5" x14ac:dyDescent="0.25">
      <c r="A4756" t="str">
        <f>"41801150  "</f>
        <v xml:space="preserve">41801150  </v>
      </c>
      <c r="B4756" t="s">
        <v>4542</v>
      </c>
      <c r="C4756">
        <v>16.5</v>
      </c>
      <c r="D4756" t="str">
        <f t="shared" si="222"/>
        <v>410</v>
      </c>
      <c r="E4756" t="str">
        <f>"94002"</f>
        <v>94002</v>
      </c>
    </row>
    <row r="4757" spans="1:5" x14ac:dyDescent="0.25">
      <c r="A4757" t="str">
        <f>"41801200  "</f>
        <v xml:space="preserve">41801200  </v>
      </c>
      <c r="B4757" t="s">
        <v>4543</v>
      </c>
      <c r="C4757">
        <v>0</v>
      </c>
      <c r="D4757" t="str">
        <f t="shared" si="222"/>
        <v>410</v>
      </c>
      <c r="E4757" t="str">
        <f>"E0450"</f>
        <v>E0450</v>
      </c>
    </row>
    <row r="4758" spans="1:5" x14ac:dyDescent="0.25">
      <c r="A4758" t="str">
        <f>"41801309  "</f>
        <v xml:space="preserve">41801309  </v>
      </c>
      <c r="B4758" t="s">
        <v>4544</v>
      </c>
      <c r="C4758">
        <v>31.9</v>
      </c>
      <c r="D4758" t="str">
        <f t="shared" si="222"/>
        <v>410</v>
      </c>
      <c r="E4758" t="str">
        <f>"94799"</f>
        <v>94799</v>
      </c>
    </row>
    <row r="4759" spans="1:5" x14ac:dyDescent="0.25">
      <c r="A4759" t="str">
        <f>"41801358  "</f>
        <v xml:space="preserve">41801358  </v>
      </c>
      <c r="B4759" t="s">
        <v>4545</v>
      </c>
      <c r="C4759">
        <v>60.5</v>
      </c>
      <c r="D4759" t="str">
        <f t="shared" si="222"/>
        <v>410</v>
      </c>
      <c r="E4759" t="str">
        <f>"A4618"</f>
        <v>A4618</v>
      </c>
    </row>
    <row r="4760" spans="1:5" x14ac:dyDescent="0.25">
      <c r="A4760" t="str">
        <f>"41801408  "</f>
        <v xml:space="preserve">41801408  </v>
      </c>
      <c r="B4760" t="s">
        <v>4546</v>
      </c>
      <c r="C4760">
        <v>50.6</v>
      </c>
      <c r="D4760" t="str">
        <f t="shared" si="222"/>
        <v>410</v>
      </c>
      <c r="E4760" t="str">
        <f>"TC"</f>
        <v>TC</v>
      </c>
    </row>
    <row r="4761" spans="1:5" x14ac:dyDescent="0.25">
      <c r="A4761" t="str">
        <f>"41801457  "</f>
        <v xml:space="preserve">41801457  </v>
      </c>
      <c r="B4761" t="s">
        <v>4547</v>
      </c>
      <c r="C4761">
        <v>47.3</v>
      </c>
      <c r="D4761" t="str">
        <f t="shared" si="222"/>
        <v>410</v>
      </c>
      <c r="E4761" t="str">
        <f>"TC"</f>
        <v>TC</v>
      </c>
    </row>
    <row r="4762" spans="1:5" x14ac:dyDescent="0.25">
      <c r="A4762" t="str">
        <f>"41801606  "</f>
        <v xml:space="preserve">41801606  </v>
      </c>
      <c r="B4762" t="s">
        <v>2034</v>
      </c>
      <c r="C4762">
        <v>24.2</v>
      </c>
      <c r="D4762" t="str">
        <f>"270"</f>
        <v>270</v>
      </c>
    </row>
    <row r="4763" spans="1:5" x14ac:dyDescent="0.25">
      <c r="A4763" t="str">
        <f>"41801655  "</f>
        <v xml:space="preserve">41801655  </v>
      </c>
      <c r="B4763" t="s">
        <v>4548</v>
      </c>
      <c r="C4763">
        <v>9.9</v>
      </c>
      <c r="D4763" t="str">
        <f t="shared" ref="D4763:D4783" si="223">"410"</f>
        <v>410</v>
      </c>
    </row>
    <row r="4764" spans="1:5" x14ac:dyDescent="0.25">
      <c r="A4764" t="str">
        <f>"41801705  "</f>
        <v xml:space="preserve">41801705  </v>
      </c>
      <c r="B4764" t="s">
        <v>4549</v>
      </c>
      <c r="C4764">
        <v>47.3</v>
      </c>
      <c r="D4764" t="str">
        <f t="shared" si="223"/>
        <v>410</v>
      </c>
      <c r="E4764" t="str">
        <f>"94640"</f>
        <v>94640</v>
      </c>
    </row>
    <row r="4765" spans="1:5" x14ac:dyDescent="0.25">
      <c r="A4765" t="str">
        <f>"41801754  "</f>
        <v xml:space="preserve">41801754  </v>
      </c>
      <c r="B4765" t="s">
        <v>4550</v>
      </c>
      <c r="C4765">
        <v>47.3</v>
      </c>
      <c r="D4765" t="str">
        <f t="shared" si="223"/>
        <v>410</v>
      </c>
      <c r="E4765" t="str">
        <f>"94667"</f>
        <v>94667</v>
      </c>
    </row>
    <row r="4766" spans="1:5" x14ac:dyDescent="0.25">
      <c r="A4766" t="str">
        <f>"41801804  "</f>
        <v xml:space="preserve">41801804  </v>
      </c>
      <c r="B4766" t="s">
        <v>4551</v>
      </c>
      <c r="C4766">
        <v>47.3</v>
      </c>
      <c r="D4766" t="str">
        <f t="shared" si="223"/>
        <v>410</v>
      </c>
      <c r="E4766" t="str">
        <f>"94003"</f>
        <v>94003</v>
      </c>
    </row>
    <row r="4767" spans="1:5" x14ac:dyDescent="0.25">
      <c r="A4767" t="str">
        <f>"41801853  "</f>
        <v xml:space="preserve">41801853  </v>
      </c>
      <c r="B4767" t="s">
        <v>4552</v>
      </c>
      <c r="C4767">
        <v>34.1</v>
      </c>
      <c r="D4767" t="str">
        <f t="shared" si="223"/>
        <v>410</v>
      </c>
      <c r="E4767" t="str">
        <f>"94664"</f>
        <v>94664</v>
      </c>
    </row>
    <row r="4768" spans="1:5" x14ac:dyDescent="0.25">
      <c r="A4768" t="str">
        <f>"41801952  "</f>
        <v xml:space="preserve">41801952  </v>
      </c>
      <c r="B4768" t="s">
        <v>4553</v>
      </c>
      <c r="C4768">
        <v>24.2</v>
      </c>
      <c r="D4768" t="str">
        <f t="shared" si="223"/>
        <v>410</v>
      </c>
      <c r="E4768" t="str">
        <f>"A4620"</f>
        <v>A4620</v>
      </c>
    </row>
    <row r="4769" spans="1:5" x14ac:dyDescent="0.25">
      <c r="A4769" t="str">
        <f>"41802000  "</f>
        <v xml:space="preserve">41802000  </v>
      </c>
      <c r="B4769" t="s">
        <v>4554</v>
      </c>
      <c r="C4769">
        <v>105.6</v>
      </c>
      <c r="D4769" t="str">
        <f t="shared" si="223"/>
        <v>410</v>
      </c>
      <c r="E4769" t="str">
        <f>"92950"</f>
        <v>92950</v>
      </c>
    </row>
    <row r="4770" spans="1:5" x14ac:dyDescent="0.25">
      <c r="A4770" t="str">
        <f>"41802059  "</f>
        <v xml:space="preserve">41802059  </v>
      </c>
      <c r="B4770" t="s">
        <v>4555</v>
      </c>
      <c r="C4770">
        <v>93.5</v>
      </c>
      <c r="D4770" t="str">
        <f t="shared" si="223"/>
        <v>410</v>
      </c>
      <c r="E4770" t="str">
        <f>"92950"</f>
        <v>92950</v>
      </c>
    </row>
    <row r="4771" spans="1:5" x14ac:dyDescent="0.25">
      <c r="A4771" t="str">
        <f>"41802158  "</f>
        <v xml:space="preserve">41802158  </v>
      </c>
      <c r="B4771" t="s">
        <v>4556</v>
      </c>
      <c r="C4771">
        <v>93.5</v>
      </c>
      <c r="D4771" t="str">
        <f t="shared" si="223"/>
        <v>410</v>
      </c>
      <c r="E4771" t="str">
        <f>"94799"</f>
        <v>94799</v>
      </c>
    </row>
    <row r="4772" spans="1:5" x14ac:dyDescent="0.25">
      <c r="A4772" t="str">
        <f>"41802208  "</f>
        <v xml:space="preserve">41802208  </v>
      </c>
      <c r="B4772" t="s">
        <v>4557</v>
      </c>
      <c r="C4772">
        <v>47.3</v>
      </c>
      <c r="D4772" t="str">
        <f t="shared" si="223"/>
        <v>410</v>
      </c>
      <c r="E4772" t="str">
        <f>"94799"</f>
        <v>94799</v>
      </c>
    </row>
    <row r="4773" spans="1:5" x14ac:dyDescent="0.25">
      <c r="A4773" t="str">
        <f>"41802307  "</f>
        <v xml:space="preserve">41802307  </v>
      </c>
      <c r="B4773" t="s">
        <v>4558</v>
      </c>
      <c r="C4773">
        <v>64.900000000000006</v>
      </c>
      <c r="D4773" t="str">
        <f t="shared" si="223"/>
        <v>410</v>
      </c>
      <c r="E4773" t="str">
        <f>"94640"</f>
        <v>94640</v>
      </c>
    </row>
    <row r="4774" spans="1:5" x14ac:dyDescent="0.25">
      <c r="A4774" t="str">
        <f>"41802356  "</f>
        <v xml:space="preserve">41802356  </v>
      </c>
      <c r="B4774" t="s">
        <v>4559</v>
      </c>
      <c r="C4774">
        <v>44</v>
      </c>
      <c r="D4774" t="str">
        <f t="shared" si="223"/>
        <v>410</v>
      </c>
      <c r="E4774" t="str">
        <f>"94799"</f>
        <v>94799</v>
      </c>
    </row>
    <row r="4775" spans="1:5" x14ac:dyDescent="0.25">
      <c r="A4775" t="str">
        <f>"41802356  "</f>
        <v xml:space="preserve">41802356  </v>
      </c>
      <c r="B4775" t="s">
        <v>4559</v>
      </c>
      <c r="C4775">
        <v>44</v>
      </c>
      <c r="D4775" t="str">
        <f t="shared" si="223"/>
        <v>410</v>
      </c>
      <c r="E4775" t="str">
        <f>"A4625"</f>
        <v>A4625</v>
      </c>
    </row>
    <row r="4776" spans="1:5" x14ac:dyDescent="0.25">
      <c r="A4776" t="str">
        <f>"41802455  "</f>
        <v xml:space="preserve">41802455  </v>
      </c>
      <c r="B4776" t="s">
        <v>4560</v>
      </c>
      <c r="C4776">
        <v>16.5</v>
      </c>
      <c r="D4776" t="str">
        <f t="shared" si="223"/>
        <v>410</v>
      </c>
      <c r="E4776" t="str">
        <f>"94799"</f>
        <v>94799</v>
      </c>
    </row>
    <row r="4777" spans="1:5" x14ac:dyDescent="0.25">
      <c r="A4777" t="str">
        <f>"41802505  "</f>
        <v xml:space="preserve">41802505  </v>
      </c>
      <c r="B4777" t="s">
        <v>4561</v>
      </c>
      <c r="C4777">
        <v>24.2</v>
      </c>
      <c r="D4777" t="str">
        <f t="shared" si="223"/>
        <v>410</v>
      </c>
      <c r="E4777" t="str">
        <f>"A4620"</f>
        <v>A4620</v>
      </c>
    </row>
    <row r="4778" spans="1:5" x14ac:dyDescent="0.25">
      <c r="A4778" t="str">
        <f>"41802752  "</f>
        <v xml:space="preserve">41802752  </v>
      </c>
      <c r="B4778" t="s">
        <v>4562</v>
      </c>
      <c r="C4778">
        <v>38.5</v>
      </c>
      <c r="D4778" t="str">
        <f t="shared" si="223"/>
        <v>410</v>
      </c>
      <c r="E4778" t="str">
        <f>"94640"</f>
        <v>94640</v>
      </c>
    </row>
    <row r="4779" spans="1:5" x14ac:dyDescent="0.25">
      <c r="A4779" t="str">
        <f>"41802786  "</f>
        <v xml:space="preserve">41802786  </v>
      </c>
      <c r="B4779" t="s">
        <v>4563</v>
      </c>
      <c r="C4779">
        <v>26.4</v>
      </c>
      <c r="D4779" t="str">
        <f t="shared" si="223"/>
        <v>410</v>
      </c>
      <c r="E4779" t="str">
        <f>"A4618"</f>
        <v>A4618</v>
      </c>
    </row>
    <row r="4780" spans="1:5" x14ac:dyDescent="0.25">
      <c r="A4780" t="str">
        <f>"41802786  "</f>
        <v xml:space="preserve">41802786  </v>
      </c>
      <c r="B4780" t="s">
        <v>4563</v>
      </c>
      <c r="C4780">
        <v>26.4</v>
      </c>
      <c r="D4780" t="str">
        <f t="shared" si="223"/>
        <v>410</v>
      </c>
      <c r="E4780" t="str">
        <f>"94640"</f>
        <v>94640</v>
      </c>
    </row>
    <row r="4781" spans="1:5" x14ac:dyDescent="0.25">
      <c r="A4781" t="str">
        <f>"41802802  "</f>
        <v xml:space="preserve">41802802  </v>
      </c>
      <c r="B4781" t="s">
        <v>4564</v>
      </c>
      <c r="C4781">
        <v>47.3</v>
      </c>
      <c r="D4781" t="str">
        <f t="shared" si="223"/>
        <v>410</v>
      </c>
      <c r="E4781" t="str">
        <f>"94640"</f>
        <v>94640</v>
      </c>
    </row>
    <row r="4782" spans="1:5" x14ac:dyDescent="0.25">
      <c r="A4782" t="str">
        <f>"41802828  "</f>
        <v xml:space="preserve">41802828  </v>
      </c>
      <c r="B4782" t="s">
        <v>4565</v>
      </c>
      <c r="C4782">
        <v>13.2</v>
      </c>
      <c r="D4782" t="str">
        <f t="shared" si="223"/>
        <v>410</v>
      </c>
      <c r="E4782" t="str">
        <f>"94640"</f>
        <v>94640</v>
      </c>
    </row>
    <row r="4783" spans="1:5" x14ac:dyDescent="0.25">
      <c r="A4783" t="str">
        <f>"41803008  "</f>
        <v xml:space="preserve">41803008  </v>
      </c>
      <c r="B4783" t="s">
        <v>4566</v>
      </c>
      <c r="C4783">
        <v>38.5</v>
      </c>
      <c r="D4783" t="str">
        <f t="shared" si="223"/>
        <v>410</v>
      </c>
      <c r="E4783" t="str">
        <f>"94799"</f>
        <v>94799</v>
      </c>
    </row>
    <row r="4784" spans="1:5" x14ac:dyDescent="0.25">
      <c r="A4784" t="str">
        <f>"41803016  "</f>
        <v xml:space="preserve">41803016  </v>
      </c>
      <c r="B4784" t="s">
        <v>4567</v>
      </c>
      <c r="C4784">
        <v>52.8</v>
      </c>
      <c r="D4784" t="str">
        <f>"460"</f>
        <v>460</v>
      </c>
      <c r="E4784" t="str">
        <f>"94799"</f>
        <v>94799</v>
      </c>
    </row>
    <row r="4785" spans="1:5" x14ac:dyDescent="0.25">
      <c r="A4785" t="str">
        <f>"41803024  "</f>
        <v xml:space="preserve">41803024  </v>
      </c>
      <c r="B4785" t="s">
        <v>4568</v>
      </c>
      <c r="C4785">
        <v>47.3</v>
      </c>
      <c r="D4785" t="str">
        <f>"410"</f>
        <v>410</v>
      </c>
      <c r="E4785" t="str">
        <f>"94640"</f>
        <v>94640</v>
      </c>
    </row>
    <row r="4786" spans="1:5" x14ac:dyDescent="0.25">
      <c r="A4786" t="str">
        <f>"41803032  "</f>
        <v xml:space="preserve">41803032  </v>
      </c>
      <c r="B4786" t="s">
        <v>4569</v>
      </c>
      <c r="C4786">
        <v>15.4</v>
      </c>
      <c r="D4786" t="str">
        <f>"460"</f>
        <v>460</v>
      </c>
      <c r="E4786" t="str">
        <f>"94664"</f>
        <v>94664</v>
      </c>
    </row>
    <row r="4787" spans="1:5" x14ac:dyDescent="0.25">
      <c r="A4787" t="str">
        <f>"41803040  "</f>
        <v xml:space="preserve">41803040  </v>
      </c>
      <c r="B4787" t="s">
        <v>4570</v>
      </c>
      <c r="C4787">
        <v>47.3</v>
      </c>
      <c r="D4787" t="str">
        <f>"460"</f>
        <v>460</v>
      </c>
      <c r="E4787" t="str">
        <f>"94799"</f>
        <v>94799</v>
      </c>
    </row>
    <row r="4788" spans="1:5" x14ac:dyDescent="0.25">
      <c r="A4788" t="str">
        <f>"41803057  "</f>
        <v xml:space="preserve">41803057  </v>
      </c>
      <c r="B4788" t="s">
        <v>4571</v>
      </c>
      <c r="C4788">
        <v>30.8</v>
      </c>
      <c r="D4788" t="str">
        <f>"460"</f>
        <v>460</v>
      </c>
      <c r="E4788" t="str">
        <f>"94799"</f>
        <v>94799</v>
      </c>
    </row>
    <row r="4789" spans="1:5" x14ac:dyDescent="0.25">
      <c r="A4789" t="str">
        <f>"41803461  "</f>
        <v xml:space="preserve">41803461  </v>
      </c>
      <c r="B4789" t="s">
        <v>4572</v>
      </c>
      <c r="C4789">
        <v>24.2</v>
      </c>
      <c r="D4789" t="str">
        <f t="shared" ref="D4789:D4801" si="224">"410"</f>
        <v>410</v>
      </c>
    </row>
    <row r="4790" spans="1:5" x14ac:dyDescent="0.25">
      <c r="A4790" t="str">
        <f>"41804006  "</f>
        <v xml:space="preserve">41804006  </v>
      </c>
      <c r="B4790" t="s">
        <v>4573</v>
      </c>
      <c r="C4790">
        <v>39.6</v>
      </c>
      <c r="D4790" t="str">
        <f t="shared" si="224"/>
        <v>410</v>
      </c>
      <c r="E4790" t="str">
        <f>"94799"</f>
        <v>94799</v>
      </c>
    </row>
    <row r="4791" spans="1:5" x14ac:dyDescent="0.25">
      <c r="A4791" t="str">
        <f>"41804014  "</f>
        <v xml:space="preserve">41804014  </v>
      </c>
      <c r="B4791" t="s">
        <v>4574</v>
      </c>
      <c r="C4791">
        <v>67.099999999999994</v>
      </c>
      <c r="D4791" t="str">
        <f t="shared" si="224"/>
        <v>410</v>
      </c>
      <c r="E4791" t="str">
        <f>"94799"</f>
        <v>94799</v>
      </c>
    </row>
    <row r="4792" spans="1:5" x14ac:dyDescent="0.25">
      <c r="A4792" t="str">
        <f>"41804022  "</f>
        <v xml:space="preserve">41804022  </v>
      </c>
      <c r="B4792" t="s">
        <v>4575</v>
      </c>
      <c r="C4792">
        <v>22</v>
      </c>
      <c r="D4792" t="str">
        <f t="shared" si="224"/>
        <v>410</v>
      </c>
      <c r="E4792" t="str">
        <f>"A4627"</f>
        <v>A4627</v>
      </c>
    </row>
    <row r="4793" spans="1:5" x14ac:dyDescent="0.25">
      <c r="A4793" t="str">
        <f>"41804030  "</f>
        <v xml:space="preserve">41804030  </v>
      </c>
      <c r="B4793" t="s">
        <v>4576</v>
      </c>
      <c r="C4793">
        <v>67.099999999999994</v>
      </c>
      <c r="D4793" t="str">
        <f t="shared" si="224"/>
        <v>410</v>
      </c>
      <c r="E4793" t="str">
        <f t="shared" ref="E4793:E4798" si="225">"94799"</f>
        <v>94799</v>
      </c>
    </row>
    <row r="4794" spans="1:5" x14ac:dyDescent="0.25">
      <c r="A4794" t="str">
        <f>"41804048  "</f>
        <v xml:space="preserve">41804048  </v>
      </c>
      <c r="B4794" t="s">
        <v>4577</v>
      </c>
      <c r="C4794">
        <v>26.4</v>
      </c>
      <c r="D4794" t="str">
        <f t="shared" si="224"/>
        <v>410</v>
      </c>
      <c r="E4794" t="str">
        <f t="shared" si="225"/>
        <v>94799</v>
      </c>
    </row>
    <row r="4795" spans="1:5" x14ac:dyDescent="0.25">
      <c r="A4795" t="str">
        <f>"41804055  "</f>
        <v xml:space="preserve">41804055  </v>
      </c>
      <c r="B4795" t="s">
        <v>4578</v>
      </c>
      <c r="C4795">
        <v>26.4</v>
      </c>
      <c r="D4795" t="str">
        <f t="shared" si="224"/>
        <v>410</v>
      </c>
      <c r="E4795" t="str">
        <f t="shared" si="225"/>
        <v>94799</v>
      </c>
    </row>
    <row r="4796" spans="1:5" x14ac:dyDescent="0.25">
      <c r="A4796" t="str">
        <f>"41804063  "</f>
        <v xml:space="preserve">41804063  </v>
      </c>
      <c r="B4796" t="s">
        <v>4579</v>
      </c>
      <c r="C4796">
        <v>13.2</v>
      </c>
      <c r="D4796" t="str">
        <f t="shared" si="224"/>
        <v>410</v>
      </c>
      <c r="E4796" t="str">
        <f t="shared" si="225"/>
        <v>94799</v>
      </c>
    </row>
    <row r="4797" spans="1:5" x14ac:dyDescent="0.25">
      <c r="A4797" t="str">
        <f>"41809005  "</f>
        <v xml:space="preserve">41809005  </v>
      </c>
      <c r="B4797" t="s">
        <v>4580</v>
      </c>
      <c r="C4797">
        <v>26.4</v>
      </c>
      <c r="D4797" t="str">
        <f t="shared" si="224"/>
        <v>410</v>
      </c>
      <c r="E4797" t="str">
        <f t="shared" si="225"/>
        <v>94799</v>
      </c>
    </row>
    <row r="4798" spans="1:5" x14ac:dyDescent="0.25">
      <c r="A4798" t="str">
        <f>"41810003  "</f>
        <v xml:space="preserve">41810003  </v>
      </c>
      <c r="B4798" t="s">
        <v>4581</v>
      </c>
      <c r="C4798">
        <v>24.2</v>
      </c>
      <c r="D4798" t="str">
        <f t="shared" si="224"/>
        <v>410</v>
      </c>
      <c r="E4798" t="str">
        <f t="shared" si="225"/>
        <v>94799</v>
      </c>
    </row>
    <row r="4799" spans="1:5" x14ac:dyDescent="0.25">
      <c r="A4799" t="str">
        <f>"41820010  "</f>
        <v xml:space="preserve">41820010  </v>
      </c>
      <c r="B4799" t="s">
        <v>4582</v>
      </c>
      <c r="C4799">
        <v>35.200000000000003</v>
      </c>
      <c r="D4799" t="str">
        <f t="shared" si="224"/>
        <v>410</v>
      </c>
      <c r="E4799" t="str">
        <f>"A4624"</f>
        <v>A4624</v>
      </c>
    </row>
    <row r="4800" spans="1:5" x14ac:dyDescent="0.25">
      <c r="A4800" t="str">
        <f>"41820028  "</f>
        <v xml:space="preserve">41820028  </v>
      </c>
      <c r="B4800" t="s">
        <v>4583</v>
      </c>
      <c r="C4800">
        <v>13.2</v>
      </c>
      <c r="D4800" t="str">
        <f t="shared" si="224"/>
        <v>410</v>
      </c>
      <c r="E4800" t="str">
        <f>"E0455"</f>
        <v>E0455</v>
      </c>
    </row>
    <row r="4801" spans="1:5" x14ac:dyDescent="0.25">
      <c r="A4801" t="str">
        <f>"41870007  "</f>
        <v xml:space="preserve">41870007  </v>
      </c>
      <c r="B4801" t="s">
        <v>4584</v>
      </c>
      <c r="C4801">
        <v>495</v>
      </c>
      <c r="D4801" t="str">
        <f t="shared" si="224"/>
        <v>410</v>
      </c>
      <c r="E4801" t="str">
        <f>"31500"</f>
        <v>31500</v>
      </c>
    </row>
    <row r="4802" spans="1:5" x14ac:dyDescent="0.25">
      <c r="A4802" t="str">
        <f>"41900002  "</f>
        <v xml:space="preserve">41900002  </v>
      </c>
      <c r="B4802" t="s">
        <v>4585</v>
      </c>
      <c r="C4802" s="1">
        <v>1100</v>
      </c>
      <c r="D4802" t="str">
        <f t="shared" ref="D4802:D4819" si="226">"800"</f>
        <v>800</v>
      </c>
      <c r="E4802" t="str">
        <f>"90935"</f>
        <v>90935</v>
      </c>
    </row>
    <row r="4803" spans="1:5" x14ac:dyDescent="0.25">
      <c r="A4803" t="str">
        <f>"41900051  "</f>
        <v xml:space="preserve">41900051  </v>
      </c>
      <c r="B4803" t="s">
        <v>4586</v>
      </c>
      <c r="C4803">
        <v>0</v>
      </c>
      <c r="D4803" t="str">
        <f t="shared" si="226"/>
        <v>800</v>
      </c>
    </row>
    <row r="4804" spans="1:5" x14ac:dyDescent="0.25">
      <c r="A4804" t="str">
        <f>"41900101  "</f>
        <v xml:space="preserve">41900101  </v>
      </c>
      <c r="B4804" t="s">
        <v>4587</v>
      </c>
      <c r="C4804">
        <v>0</v>
      </c>
      <c r="D4804" t="str">
        <f t="shared" si="226"/>
        <v>800</v>
      </c>
    </row>
    <row r="4805" spans="1:5" x14ac:dyDescent="0.25">
      <c r="A4805" t="str">
        <f>"41900150  "</f>
        <v xml:space="preserve">41900150  </v>
      </c>
      <c r="B4805" t="s">
        <v>4588</v>
      </c>
      <c r="C4805">
        <v>0</v>
      </c>
      <c r="D4805" t="str">
        <f t="shared" si="226"/>
        <v>800</v>
      </c>
    </row>
    <row r="4806" spans="1:5" x14ac:dyDescent="0.25">
      <c r="A4806" t="str">
        <f>"41900200  "</f>
        <v xml:space="preserve">41900200  </v>
      </c>
      <c r="B4806" t="s">
        <v>4589</v>
      </c>
      <c r="C4806">
        <v>0</v>
      </c>
      <c r="D4806" t="str">
        <f t="shared" si="226"/>
        <v>800</v>
      </c>
    </row>
    <row r="4807" spans="1:5" x14ac:dyDescent="0.25">
      <c r="A4807" t="str">
        <f>"41900259  "</f>
        <v xml:space="preserve">41900259  </v>
      </c>
      <c r="B4807" t="s">
        <v>4590</v>
      </c>
      <c r="C4807">
        <v>0</v>
      </c>
      <c r="D4807" t="str">
        <f t="shared" si="226"/>
        <v>800</v>
      </c>
    </row>
    <row r="4808" spans="1:5" x14ac:dyDescent="0.25">
      <c r="A4808" t="str">
        <f>"41900309  "</f>
        <v xml:space="preserve">41900309  </v>
      </c>
      <c r="B4808" t="s">
        <v>4591</v>
      </c>
      <c r="C4808">
        <v>0</v>
      </c>
      <c r="D4808" t="str">
        <f t="shared" si="226"/>
        <v>800</v>
      </c>
    </row>
    <row r="4809" spans="1:5" x14ac:dyDescent="0.25">
      <c r="A4809" t="str">
        <f>"41900358  "</f>
        <v xml:space="preserve">41900358  </v>
      </c>
      <c r="B4809" t="s">
        <v>4592</v>
      </c>
      <c r="C4809">
        <v>0</v>
      </c>
      <c r="D4809" t="str">
        <f t="shared" si="226"/>
        <v>800</v>
      </c>
    </row>
    <row r="4810" spans="1:5" x14ac:dyDescent="0.25">
      <c r="A4810" t="str">
        <f>"41901000  "</f>
        <v xml:space="preserve">41901000  </v>
      </c>
      <c r="B4810" t="s">
        <v>4593</v>
      </c>
      <c r="C4810" s="1">
        <v>1246.3</v>
      </c>
      <c r="D4810" t="str">
        <f t="shared" si="226"/>
        <v>800</v>
      </c>
    </row>
    <row r="4811" spans="1:5" x14ac:dyDescent="0.25">
      <c r="A4811" t="str">
        <f>"41901075  "</f>
        <v xml:space="preserve">41901075  </v>
      </c>
      <c r="B4811" t="s">
        <v>4594</v>
      </c>
      <c r="C4811" s="1">
        <v>1335.4</v>
      </c>
      <c r="D4811" t="str">
        <f t="shared" si="226"/>
        <v>800</v>
      </c>
    </row>
    <row r="4812" spans="1:5" x14ac:dyDescent="0.25">
      <c r="A4812" t="str">
        <f>"41901109  "</f>
        <v xml:space="preserve">41901109  </v>
      </c>
      <c r="B4812" t="s">
        <v>4595</v>
      </c>
      <c r="C4812" s="1">
        <v>1489.4</v>
      </c>
      <c r="D4812" t="str">
        <f t="shared" si="226"/>
        <v>800</v>
      </c>
    </row>
    <row r="4813" spans="1:5" x14ac:dyDescent="0.25">
      <c r="A4813" t="str">
        <f>"41901158  "</f>
        <v xml:space="preserve">41901158  </v>
      </c>
      <c r="B4813" t="s">
        <v>4596</v>
      </c>
      <c r="C4813">
        <v>270.60000000000002</v>
      </c>
      <c r="D4813" t="str">
        <f t="shared" si="226"/>
        <v>800</v>
      </c>
    </row>
    <row r="4814" spans="1:5" x14ac:dyDescent="0.25">
      <c r="A4814" t="str">
        <f>"41901208  "</f>
        <v xml:space="preserve">41901208  </v>
      </c>
      <c r="B4814" t="s">
        <v>4597</v>
      </c>
      <c r="C4814">
        <v>469.7</v>
      </c>
      <c r="D4814" t="str">
        <f t="shared" si="226"/>
        <v>800</v>
      </c>
    </row>
    <row r="4815" spans="1:5" x14ac:dyDescent="0.25">
      <c r="A4815" t="str">
        <f>"41901257  "</f>
        <v xml:space="preserve">41901257  </v>
      </c>
      <c r="B4815" t="s">
        <v>4598</v>
      </c>
      <c r="C4815">
        <v>270.60000000000002</v>
      </c>
      <c r="D4815" t="str">
        <f t="shared" si="226"/>
        <v>800</v>
      </c>
    </row>
    <row r="4816" spans="1:5" x14ac:dyDescent="0.25">
      <c r="A4816" t="str">
        <f>"41901307  "</f>
        <v xml:space="preserve">41901307  </v>
      </c>
      <c r="B4816" t="s">
        <v>733</v>
      </c>
      <c r="C4816">
        <v>270.60000000000002</v>
      </c>
      <c r="D4816" t="str">
        <f t="shared" si="226"/>
        <v>800</v>
      </c>
    </row>
    <row r="4817" spans="1:5" x14ac:dyDescent="0.25">
      <c r="A4817" t="str">
        <f>"41901356  "</f>
        <v xml:space="preserve">41901356  </v>
      </c>
      <c r="B4817" t="s">
        <v>4599</v>
      </c>
      <c r="C4817">
        <v>161.69999999999999</v>
      </c>
      <c r="D4817" t="str">
        <f t="shared" si="226"/>
        <v>800</v>
      </c>
    </row>
    <row r="4818" spans="1:5" x14ac:dyDescent="0.25">
      <c r="A4818" t="str">
        <f>"41901505  "</f>
        <v xml:space="preserve">41901505  </v>
      </c>
      <c r="B4818" t="s">
        <v>4600</v>
      </c>
      <c r="C4818">
        <v>0</v>
      </c>
      <c r="D4818" t="str">
        <f t="shared" si="226"/>
        <v>800</v>
      </c>
    </row>
    <row r="4819" spans="1:5" x14ac:dyDescent="0.25">
      <c r="A4819" t="str">
        <f>"41905001  "</f>
        <v xml:space="preserve">41905001  </v>
      </c>
      <c r="B4819" t="s">
        <v>4601</v>
      </c>
      <c r="C4819">
        <v>742.5</v>
      </c>
      <c r="D4819" t="str">
        <f t="shared" si="226"/>
        <v>800</v>
      </c>
      <c r="E4819" t="str">
        <f>"90935"</f>
        <v>90935</v>
      </c>
    </row>
    <row r="4820" spans="1:5" x14ac:dyDescent="0.25">
      <c r="A4820" t="str">
        <f>"42000109  "</f>
        <v xml:space="preserve">42000109  </v>
      </c>
      <c r="B4820" t="s">
        <v>4602</v>
      </c>
      <c r="C4820">
        <v>71.5</v>
      </c>
      <c r="D4820" t="str">
        <f t="shared" ref="D4820:D4834" si="227">"420"</f>
        <v>420</v>
      </c>
      <c r="E4820" t="str">
        <f>"97010"</f>
        <v>97010</v>
      </c>
    </row>
    <row r="4821" spans="1:5" x14ac:dyDescent="0.25">
      <c r="A4821" t="str">
        <f>"42000117  "</f>
        <v xml:space="preserve">42000117  </v>
      </c>
      <c r="B4821" t="s">
        <v>4603</v>
      </c>
      <c r="C4821">
        <v>62.7</v>
      </c>
      <c r="D4821" t="str">
        <f t="shared" si="227"/>
        <v>420</v>
      </c>
      <c r="E4821" t="str">
        <f>"97012"</f>
        <v>97012</v>
      </c>
    </row>
    <row r="4822" spans="1:5" x14ac:dyDescent="0.25">
      <c r="A4822" t="str">
        <f>"42000125  "</f>
        <v xml:space="preserve">42000125  </v>
      </c>
      <c r="B4822" t="s">
        <v>4604</v>
      </c>
      <c r="C4822">
        <v>38.5</v>
      </c>
      <c r="D4822" t="str">
        <f t="shared" si="227"/>
        <v>420</v>
      </c>
      <c r="E4822" t="str">
        <f>"G0283"</f>
        <v>G0283</v>
      </c>
    </row>
    <row r="4823" spans="1:5" x14ac:dyDescent="0.25">
      <c r="A4823" t="str">
        <f>"42000158  "</f>
        <v xml:space="preserve">42000158  </v>
      </c>
      <c r="B4823" t="s">
        <v>4605</v>
      </c>
      <c r="C4823">
        <v>62.7</v>
      </c>
      <c r="D4823" t="str">
        <f t="shared" si="227"/>
        <v>420</v>
      </c>
      <c r="E4823" t="str">
        <f>"97024"</f>
        <v>97024</v>
      </c>
    </row>
    <row r="4824" spans="1:5" x14ac:dyDescent="0.25">
      <c r="A4824" t="str">
        <f>"42000190  "</f>
        <v xml:space="preserve">42000190  </v>
      </c>
      <c r="B4824" t="s">
        <v>4606</v>
      </c>
      <c r="C4824">
        <v>72.599999999999994</v>
      </c>
      <c r="D4824" t="str">
        <f t="shared" si="227"/>
        <v>420</v>
      </c>
      <c r="E4824" t="str">
        <f>"97110"</f>
        <v>97110</v>
      </c>
    </row>
    <row r="4825" spans="1:5" x14ac:dyDescent="0.25">
      <c r="A4825" t="str">
        <f>"42000216  "</f>
        <v xml:space="preserve">42000216  </v>
      </c>
      <c r="B4825" t="s">
        <v>4607</v>
      </c>
      <c r="C4825">
        <v>64.900000000000006</v>
      </c>
      <c r="D4825" t="str">
        <f t="shared" si="227"/>
        <v>420</v>
      </c>
      <c r="E4825" t="str">
        <f>"97022"</f>
        <v>97022</v>
      </c>
    </row>
    <row r="4826" spans="1:5" x14ac:dyDescent="0.25">
      <c r="A4826" t="str">
        <f>"42000232  "</f>
        <v xml:space="preserve">42000232  </v>
      </c>
      <c r="B4826" t="s">
        <v>4608</v>
      </c>
      <c r="C4826">
        <v>71.5</v>
      </c>
      <c r="D4826" t="str">
        <f t="shared" si="227"/>
        <v>420</v>
      </c>
      <c r="E4826" t="str">
        <f>"97035"</f>
        <v>97035</v>
      </c>
    </row>
    <row r="4827" spans="1:5" x14ac:dyDescent="0.25">
      <c r="A4827" t="str">
        <f>"42000240  "</f>
        <v xml:space="preserve">42000240  </v>
      </c>
      <c r="B4827" t="s">
        <v>4609</v>
      </c>
      <c r="C4827">
        <v>86.9</v>
      </c>
      <c r="D4827" t="str">
        <f t="shared" si="227"/>
        <v>420</v>
      </c>
      <c r="E4827" t="str">
        <f>"97034"</f>
        <v>97034</v>
      </c>
    </row>
    <row r="4828" spans="1:5" x14ac:dyDescent="0.25">
      <c r="A4828" t="str">
        <f>"42000257  "</f>
        <v xml:space="preserve">42000257  </v>
      </c>
      <c r="B4828" t="s">
        <v>4610</v>
      </c>
      <c r="C4828">
        <v>60.5</v>
      </c>
      <c r="D4828" t="str">
        <f t="shared" si="227"/>
        <v>420</v>
      </c>
      <c r="E4828" t="str">
        <f>"97124"</f>
        <v>97124</v>
      </c>
    </row>
    <row r="4829" spans="1:5" x14ac:dyDescent="0.25">
      <c r="A4829" t="str">
        <f>"42000265  "</f>
        <v xml:space="preserve">42000265  </v>
      </c>
      <c r="B4829" t="s">
        <v>4611</v>
      </c>
      <c r="C4829">
        <v>86.9</v>
      </c>
      <c r="D4829" t="str">
        <f t="shared" si="227"/>
        <v>420</v>
      </c>
      <c r="E4829" t="str">
        <f>"97033"</f>
        <v>97033</v>
      </c>
    </row>
    <row r="4830" spans="1:5" x14ac:dyDescent="0.25">
      <c r="A4830" t="str">
        <f>"42000281  "</f>
        <v xml:space="preserve">42000281  </v>
      </c>
      <c r="B4830" t="s">
        <v>4612</v>
      </c>
      <c r="C4830">
        <v>62.7</v>
      </c>
      <c r="D4830" t="str">
        <f t="shared" si="227"/>
        <v>420</v>
      </c>
      <c r="E4830" t="str">
        <f>"97116"</f>
        <v>97116</v>
      </c>
    </row>
    <row r="4831" spans="1:5" x14ac:dyDescent="0.25">
      <c r="A4831" t="str">
        <f>"42000299  "</f>
        <v xml:space="preserve">42000299  </v>
      </c>
      <c r="B4831" t="s">
        <v>4613</v>
      </c>
      <c r="C4831">
        <v>67.099999999999994</v>
      </c>
      <c r="D4831" t="str">
        <f t="shared" si="227"/>
        <v>420</v>
      </c>
      <c r="E4831" t="str">
        <f>"97530"</f>
        <v>97530</v>
      </c>
    </row>
    <row r="4832" spans="1:5" x14ac:dyDescent="0.25">
      <c r="A4832" t="str">
        <f>"42000307  "</f>
        <v xml:space="preserve">42000307  </v>
      </c>
      <c r="B4832" t="s">
        <v>4614</v>
      </c>
      <c r="C4832">
        <v>55</v>
      </c>
      <c r="D4832" t="str">
        <f t="shared" si="227"/>
        <v>420</v>
      </c>
      <c r="E4832" t="str">
        <f>"97112"</f>
        <v>97112</v>
      </c>
    </row>
    <row r="4833" spans="1:5" x14ac:dyDescent="0.25">
      <c r="A4833" t="str">
        <f>"42000315  "</f>
        <v xml:space="preserve">42000315  </v>
      </c>
      <c r="B4833" t="s">
        <v>4615</v>
      </c>
      <c r="C4833">
        <v>72.599999999999994</v>
      </c>
      <c r="D4833" t="str">
        <f t="shared" si="227"/>
        <v>420</v>
      </c>
      <c r="E4833" t="str">
        <f>"97110"</f>
        <v>97110</v>
      </c>
    </row>
    <row r="4834" spans="1:5" x14ac:dyDescent="0.25">
      <c r="A4834" t="str">
        <f>"42000406  "</f>
        <v xml:space="preserve">42000406  </v>
      </c>
      <c r="B4834" t="s">
        <v>4616</v>
      </c>
      <c r="C4834">
        <v>38.5</v>
      </c>
      <c r="D4834" t="str">
        <f t="shared" si="227"/>
        <v>420</v>
      </c>
      <c r="E4834" t="str">
        <f>"97014"</f>
        <v>97014</v>
      </c>
    </row>
    <row r="4835" spans="1:5" x14ac:dyDescent="0.25">
      <c r="A4835" t="str">
        <f>"42000430  "</f>
        <v xml:space="preserve">42000430  </v>
      </c>
      <c r="B4835" t="s">
        <v>4617</v>
      </c>
      <c r="C4835">
        <v>154</v>
      </c>
      <c r="D4835" t="str">
        <f>"424"</f>
        <v>424</v>
      </c>
      <c r="E4835" t="str">
        <f>"97001"</f>
        <v>97001</v>
      </c>
    </row>
    <row r="4836" spans="1:5" x14ac:dyDescent="0.25">
      <c r="A4836" t="str">
        <f>"42000737  "</f>
        <v xml:space="preserve">42000737  </v>
      </c>
      <c r="B4836" t="s">
        <v>4618</v>
      </c>
      <c r="C4836">
        <v>113.3</v>
      </c>
      <c r="D4836" t="str">
        <f t="shared" ref="D4836:D4858" si="228">"420"</f>
        <v>420</v>
      </c>
      <c r="E4836" t="str">
        <f>"E0910"</f>
        <v>E0910</v>
      </c>
    </row>
    <row r="4837" spans="1:5" x14ac:dyDescent="0.25">
      <c r="A4837" t="str">
        <f>"42001107  "</f>
        <v xml:space="preserve">42001107  </v>
      </c>
      <c r="B4837" t="s">
        <v>4619</v>
      </c>
      <c r="C4837">
        <v>60.5</v>
      </c>
      <c r="D4837" t="str">
        <f t="shared" si="228"/>
        <v>420</v>
      </c>
      <c r="E4837" t="str">
        <f>"97110"</f>
        <v>97110</v>
      </c>
    </row>
    <row r="4838" spans="1:5" x14ac:dyDescent="0.25">
      <c r="A4838" t="str">
        <f>"42004093  "</f>
        <v xml:space="preserve">42004093  </v>
      </c>
      <c r="B4838" t="s">
        <v>4620</v>
      </c>
      <c r="C4838">
        <v>55</v>
      </c>
      <c r="D4838" t="str">
        <f t="shared" si="228"/>
        <v>420</v>
      </c>
      <c r="E4838" t="str">
        <f>"97762"</f>
        <v>97762</v>
      </c>
    </row>
    <row r="4839" spans="1:5" x14ac:dyDescent="0.25">
      <c r="A4839" t="str">
        <f>"42005009  "</f>
        <v xml:space="preserve">42005009  </v>
      </c>
      <c r="B4839" t="s">
        <v>4621</v>
      </c>
      <c r="C4839">
        <v>99</v>
      </c>
      <c r="D4839" t="str">
        <f t="shared" si="228"/>
        <v>420</v>
      </c>
      <c r="E4839" t="str">
        <f>"00099"</f>
        <v>00099</v>
      </c>
    </row>
    <row r="4840" spans="1:5" x14ac:dyDescent="0.25">
      <c r="A4840" t="str">
        <f>"42005017  "</f>
        <v xml:space="preserve">42005017  </v>
      </c>
      <c r="B4840" t="s">
        <v>4622</v>
      </c>
      <c r="C4840">
        <v>60.5</v>
      </c>
      <c r="D4840" t="str">
        <f t="shared" si="228"/>
        <v>420</v>
      </c>
      <c r="E4840" t="str">
        <f>"00099"</f>
        <v>00099</v>
      </c>
    </row>
    <row r="4841" spans="1:5" x14ac:dyDescent="0.25">
      <c r="A4841" t="str">
        <f>"42006007  "</f>
        <v xml:space="preserve">42006007  </v>
      </c>
      <c r="B4841" t="s">
        <v>4623</v>
      </c>
      <c r="C4841">
        <v>66</v>
      </c>
      <c r="D4841" t="str">
        <f t="shared" si="228"/>
        <v>420</v>
      </c>
      <c r="E4841" t="str">
        <f>"97002"</f>
        <v>97002</v>
      </c>
    </row>
    <row r="4842" spans="1:5" x14ac:dyDescent="0.25">
      <c r="A4842" t="str">
        <f>"42010025  "</f>
        <v xml:space="preserve">42010025  </v>
      </c>
      <c r="B4842" t="s">
        <v>4624</v>
      </c>
      <c r="C4842">
        <v>27.5</v>
      </c>
      <c r="D4842" t="str">
        <f t="shared" si="228"/>
        <v>420</v>
      </c>
      <c r="E4842" t="str">
        <f>"A4556"</f>
        <v>A4556</v>
      </c>
    </row>
    <row r="4843" spans="1:5" x14ac:dyDescent="0.25">
      <c r="A4843" t="str">
        <f>"42020008  "</f>
        <v xml:space="preserve">42020008  </v>
      </c>
      <c r="B4843" t="s">
        <v>4625</v>
      </c>
      <c r="C4843">
        <v>27.5</v>
      </c>
      <c r="D4843" t="str">
        <f t="shared" si="228"/>
        <v>420</v>
      </c>
      <c r="E4843" t="str">
        <f>"97018"</f>
        <v>97018</v>
      </c>
    </row>
    <row r="4844" spans="1:5" x14ac:dyDescent="0.25">
      <c r="A4844" t="str">
        <f>"42020010"</f>
        <v>42020010</v>
      </c>
      <c r="B4844" t="s">
        <v>4626</v>
      </c>
      <c r="C4844">
        <v>1.1000000000000001</v>
      </c>
      <c r="D4844" t="str">
        <f t="shared" si="228"/>
        <v>420</v>
      </c>
      <c r="E4844" t="str">
        <f>"G8978"</f>
        <v>G8978</v>
      </c>
    </row>
    <row r="4845" spans="1:5" x14ac:dyDescent="0.25">
      <c r="A4845" t="str">
        <f>"42020015"</f>
        <v>42020015</v>
      </c>
      <c r="B4845" t="s">
        <v>4627</v>
      </c>
      <c r="C4845">
        <v>1.1000000000000001</v>
      </c>
      <c r="D4845" t="str">
        <f t="shared" si="228"/>
        <v>420</v>
      </c>
      <c r="E4845" t="str">
        <f>"G8991"</f>
        <v>G8991</v>
      </c>
    </row>
    <row r="4846" spans="1:5" x14ac:dyDescent="0.25">
      <c r="A4846" t="str">
        <f>"42020016  "</f>
        <v xml:space="preserve">42020016  </v>
      </c>
      <c r="B4846" t="s">
        <v>4628</v>
      </c>
      <c r="C4846">
        <v>55</v>
      </c>
      <c r="D4846" t="str">
        <f t="shared" si="228"/>
        <v>420</v>
      </c>
      <c r="E4846" t="str">
        <f>"97140"</f>
        <v>97140</v>
      </c>
    </row>
    <row r="4847" spans="1:5" x14ac:dyDescent="0.25">
      <c r="A4847" t="str">
        <f>"42020020"</f>
        <v>42020020</v>
      </c>
      <c r="B4847" t="s">
        <v>4629</v>
      </c>
      <c r="C4847">
        <v>1.1000000000000001</v>
      </c>
      <c r="D4847" t="str">
        <f t="shared" si="228"/>
        <v>420</v>
      </c>
      <c r="E4847" t="str">
        <f>"G8979"</f>
        <v>G8979</v>
      </c>
    </row>
    <row r="4848" spans="1:5" x14ac:dyDescent="0.25">
      <c r="A4848" t="str">
        <f>"42020024  "</f>
        <v xml:space="preserve">42020024  </v>
      </c>
      <c r="B4848" t="s">
        <v>4630</v>
      </c>
      <c r="C4848">
        <v>55</v>
      </c>
      <c r="D4848" t="str">
        <f t="shared" si="228"/>
        <v>420</v>
      </c>
      <c r="E4848" t="str">
        <f>"97140"</f>
        <v>97140</v>
      </c>
    </row>
    <row r="4849" spans="1:5" x14ac:dyDescent="0.25">
      <c r="A4849" t="str">
        <f>"42020025"</f>
        <v>42020025</v>
      </c>
      <c r="B4849" t="s">
        <v>4631</v>
      </c>
      <c r="C4849">
        <v>1.1000000000000001</v>
      </c>
      <c r="D4849" t="str">
        <f t="shared" si="228"/>
        <v>420</v>
      </c>
      <c r="E4849" t="str">
        <f>"G8995"</f>
        <v>G8995</v>
      </c>
    </row>
    <row r="4850" spans="1:5" x14ac:dyDescent="0.25">
      <c r="A4850" t="str">
        <f>"42020030"</f>
        <v>42020030</v>
      </c>
      <c r="B4850" t="s">
        <v>4632</v>
      </c>
      <c r="C4850">
        <v>1.1000000000000001</v>
      </c>
      <c r="D4850" t="str">
        <f t="shared" si="228"/>
        <v>420</v>
      </c>
      <c r="E4850" t="str">
        <f>"G8980"</f>
        <v>G8980</v>
      </c>
    </row>
    <row r="4851" spans="1:5" x14ac:dyDescent="0.25">
      <c r="A4851" t="str">
        <f>"42020032  "</f>
        <v xml:space="preserve">42020032  </v>
      </c>
      <c r="B4851" t="s">
        <v>4633</v>
      </c>
      <c r="C4851">
        <v>27.5</v>
      </c>
      <c r="D4851" t="str">
        <f t="shared" si="228"/>
        <v>420</v>
      </c>
      <c r="E4851" t="str">
        <f>"99070"</f>
        <v>99070</v>
      </c>
    </row>
    <row r="4852" spans="1:5" x14ac:dyDescent="0.25">
      <c r="A4852" t="str">
        <f>"42020040  "</f>
        <v xml:space="preserve">42020040  </v>
      </c>
      <c r="B4852" t="s">
        <v>4634</v>
      </c>
      <c r="C4852">
        <v>27.5</v>
      </c>
      <c r="D4852" t="str">
        <f t="shared" si="228"/>
        <v>420</v>
      </c>
      <c r="E4852" t="str">
        <f>"99071"</f>
        <v>99071</v>
      </c>
    </row>
    <row r="4853" spans="1:5" x14ac:dyDescent="0.25">
      <c r="A4853" t="str">
        <f>"42020050"</f>
        <v>42020050</v>
      </c>
      <c r="B4853" t="s">
        <v>4635</v>
      </c>
      <c r="C4853">
        <v>1.1000000000000001</v>
      </c>
      <c r="D4853" t="str">
        <f t="shared" si="228"/>
        <v>420</v>
      </c>
      <c r="E4853" t="str">
        <f>"G8982"</f>
        <v>G8982</v>
      </c>
    </row>
    <row r="4854" spans="1:5" x14ac:dyDescent="0.25">
      <c r="A4854" t="str">
        <f>"42020057  "</f>
        <v xml:space="preserve">42020057  </v>
      </c>
      <c r="B4854" t="s">
        <v>4636</v>
      </c>
      <c r="C4854">
        <v>71.5</v>
      </c>
      <c r="D4854" t="str">
        <f t="shared" si="228"/>
        <v>420</v>
      </c>
      <c r="E4854" t="str">
        <f>"90901"</f>
        <v>90901</v>
      </c>
    </row>
    <row r="4855" spans="1:5" x14ac:dyDescent="0.25">
      <c r="A4855" t="str">
        <f>"42020060"</f>
        <v>42020060</v>
      </c>
      <c r="B4855" t="s">
        <v>4637</v>
      </c>
      <c r="C4855">
        <v>1.1000000000000001</v>
      </c>
      <c r="D4855" t="str">
        <f t="shared" si="228"/>
        <v>420</v>
      </c>
      <c r="E4855" t="str">
        <f>"G8983"</f>
        <v>G8983</v>
      </c>
    </row>
    <row r="4856" spans="1:5" x14ac:dyDescent="0.25">
      <c r="A4856" t="str">
        <f>"42020070"</f>
        <v>42020070</v>
      </c>
      <c r="B4856" t="s">
        <v>4638</v>
      </c>
      <c r="C4856">
        <v>1.1000000000000001</v>
      </c>
      <c r="D4856" t="str">
        <f t="shared" si="228"/>
        <v>420</v>
      </c>
      <c r="E4856" t="str">
        <f>"G8984"</f>
        <v>G8984</v>
      </c>
    </row>
    <row r="4857" spans="1:5" x14ac:dyDescent="0.25">
      <c r="A4857" t="str">
        <f>"42020080"</f>
        <v>42020080</v>
      </c>
      <c r="B4857" t="s">
        <v>4639</v>
      </c>
      <c r="C4857">
        <v>1.1000000000000001</v>
      </c>
      <c r="D4857" t="str">
        <f t="shared" si="228"/>
        <v>420</v>
      </c>
      <c r="E4857" t="str">
        <f>"G8985"</f>
        <v>G8985</v>
      </c>
    </row>
    <row r="4858" spans="1:5" x14ac:dyDescent="0.25">
      <c r="A4858" t="str">
        <f>"42020090"</f>
        <v>42020090</v>
      </c>
      <c r="B4858" t="s">
        <v>4640</v>
      </c>
      <c r="C4858">
        <v>1.1000000000000001</v>
      </c>
      <c r="D4858" t="str">
        <f t="shared" si="228"/>
        <v>420</v>
      </c>
      <c r="E4858" t="str">
        <f>"G8986"</f>
        <v>G8986</v>
      </c>
    </row>
    <row r="4859" spans="1:5" x14ac:dyDescent="0.25">
      <c r="A4859" t="str">
        <f>"42020099  "</f>
        <v xml:space="preserve">42020099  </v>
      </c>
      <c r="B4859" t="s">
        <v>4641</v>
      </c>
      <c r="C4859">
        <v>16.5</v>
      </c>
      <c r="D4859" t="str">
        <f>"271"</f>
        <v>271</v>
      </c>
    </row>
    <row r="4860" spans="1:5" x14ac:dyDescent="0.25">
      <c r="A4860" t="str">
        <f>"42030007  "</f>
        <v xml:space="preserve">42030007  </v>
      </c>
      <c r="B4860" t="s">
        <v>4642</v>
      </c>
      <c r="C4860">
        <v>25.3</v>
      </c>
      <c r="D4860" t="str">
        <f t="shared" ref="D4860:D4866" si="229">"420"</f>
        <v>420</v>
      </c>
      <c r="E4860" t="str">
        <f>"E0910"</f>
        <v>E0910</v>
      </c>
    </row>
    <row r="4861" spans="1:5" x14ac:dyDescent="0.25">
      <c r="A4861" t="str">
        <f>"42060004  "</f>
        <v xml:space="preserve">42060004  </v>
      </c>
      <c r="B4861" t="s">
        <v>4643</v>
      </c>
      <c r="C4861">
        <v>72.599999999999994</v>
      </c>
      <c r="D4861" t="str">
        <f t="shared" si="229"/>
        <v>420</v>
      </c>
      <c r="E4861" t="str">
        <f>"97140"</f>
        <v>97140</v>
      </c>
    </row>
    <row r="4862" spans="1:5" x14ac:dyDescent="0.25">
      <c r="A4862" t="str">
        <f>"42080051  "</f>
        <v xml:space="preserve">42080051  </v>
      </c>
      <c r="B4862" t="s">
        <v>4644</v>
      </c>
      <c r="C4862">
        <v>60.5</v>
      </c>
      <c r="D4862" t="str">
        <f t="shared" si="229"/>
        <v>420</v>
      </c>
      <c r="E4862" t="str">
        <f>"97032"</f>
        <v>97032</v>
      </c>
    </row>
    <row r="4863" spans="1:5" x14ac:dyDescent="0.25">
      <c r="A4863" t="str">
        <f>"47750005  "</f>
        <v xml:space="preserve">47750005  </v>
      </c>
      <c r="B4863" t="s">
        <v>4607</v>
      </c>
      <c r="C4863">
        <v>64.900000000000006</v>
      </c>
      <c r="D4863" t="str">
        <f t="shared" si="229"/>
        <v>420</v>
      </c>
      <c r="E4863" t="str">
        <f>"97022"</f>
        <v>97022</v>
      </c>
    </row>
    <row r="4864" spans="1:5" x14ac:dyDescent="0.25">
      <c r="A4864" t="str">
        <f>"47750013  "</f>
        <v xml:space="preserve">47750013  </v>
      </c>
      <c r="B4864" t="s">
        <v>4645</v>
      </c>
      <c r="C4864">
        <v>82.5</v>
      </c>
      <c r="D4864" t="str">
        <f t="shared" si="229"/>
        <v>420</v>
      </c>
      <c r="E4864" t="str">
        <f>"97530"</f>
        <v>97530</v>
      </c>
    </row>
    <row r="4865" spans="1:5" x14ac:dyDescent="0.25">
      <c r="A4865" t="str">
        <f>"47750021  "</f>
        <v xml:space="preserve">47750021  </v>
      </c>
      <c r="B4865" t="s">
        <v>4646</v>
      </c>
      <c r="C4865">
        <v>71.5</v>
      </c>
      <c r="D4865" t="str">
        <f t="shared" si="229"/>
        <v>420</v>
      </c>
      <c r="E4865" t="str">
        <f>"97010"</f>
        <v>97010</v>
      </c>
    </row>
    <row r="4866" spans="1:5" x14ac:dyDescent="0.25">
      <c r="A4866" t="str">
        <f>"47750039  "</f>
        <v xml:space="preserve">47750039  </v>
      </c>
      <c r="B4866" t="s">
        <v>4604</v>
      </c>
      <c r="C4866">
        <v>82.5</v>
      </c>
      <c r="D4866" t="str">
        <f t="shared" si="229"/>
        <v>420</v>
      </c>
      <c r="E4866" t="str">
        <f>"97032"</f>
        <v>97032</v>
      </c>
    </row>
    <row r="4867" spans="1:5" x14ac:dyDescent="0.25">
      <c r="A4867" t="str">
        <f>"47750047  "</f>
        <v xml:space="preserve">47750047  </v>
      </c>
      <c r="B4867" t="s">
        <v>4647</v>
      </c>
      <c r="C4867">
        <v>58.3</v>
      </c>
      <c r="D4867" t="str">
        <f>"270"</f>
        <v>270</v>
      </c>
    </row>
    <row r="4868" spans="1:5" x14ac:dyDescent="0.25">
      <c r="A4868" t="str">
        <f>"47750054  "</f>
        <v xml:space="preserve">47750054  </v>
      </c>
      <c r="B4868" t="s">
        <v>4648</v>
      </c>
      <c r="C4868">
        <v>27.5</v>
      </c>
      <c r="D4868" t="str">
        <f>"270"</f>
        <v>270</v>
      </c>
      <c r="E4868" t="str">
        <f>"A4556"</f>
        <v>A4556</v>
      </c>
    </row>
    <row r="4869" spans="1:5" x14ac:dyDescent="0.25">
      <c r="A4869" t="str">
        <f>"47750062  "</f>
        <v xml:space="preserve">47750062  </v>
      </c>
      <c r="B4869" t="s">
        <v>4649</v>
      </c>
      <c r="C4869">
        <v>302.5</v>
      </c>
      <c r="D4869" t="str">
        <f>"420"</f>
        <v>420</v>
      </c>
      <c r="E4869" t="str">
        <f>"97799"</f>
        <v>97799</v>
      </c>
    </row>
    <row r="4870" spans="1:5" x14ac:dyDescent="0.25">
      <c r="A4870" t="str">
        <f>"42200006  "</f>
        <v xml:space="preserve">42200006  </v>
      </c>
      <c r="B4870" t="s">
        <v>4650</v>
      </c>
      <c r="C4870">
        <v>412.5</v>
      </c>
      <c r="D4870" t="str">
        <f>"905"</f>
        <v>905</v>
      </c>
      <c r="E4870" t="str">
        <f>"S9480"</f>
        <v>S9480</v>
      </c>
    </row>
    <row r="4871" spans="1:5" x14ac:dyDescent="0.25">
      <c r="A4871" t="str">
        <f>"42200006  "</f>
        <v xml:space="preserve">42200006  </v>
      </c>
      <c r="B4871" t="s">
        <v>4650</v>
      </c>
      <c r="C4871">
        <v>412.5</v>
      </c>
      <c r="D4871" t="str">
        <f>"905"</f>
        <v>905</v>
      </c>
      <c r="E4871" t="str">
        <f>"90853"</f>
        <v>90853</v>
      </c>
    </row>
    <row r="4872" spans="1:5" x14ac:dyDescent="0.25">
      <c r="A4872" t="str">
        <f>"42200014  "</f>
        <v xml:space="preserve">42200014  </v>
      </c>
      <c r="B4872" t="s">
        <v>4651</v>
      </c>
      <c r="C4872">
        <v>880</v>
      </c>
      <c r="D4872" t="str">
        <f>"913"</f>
        <v>913</v>
      </c>
    </row>
    <row r="4873" spans="1:5" x14ac:dyDescent="0.25">
      <c r="A4873" t="str">
        <f>"42200022  "</f>
        <v xml:space="preserve">42200022  </v>
      </c>
      <c r="B4873" t="s">
        <v>4652</v>
      </c>
      <c r="C4873">
        <v>550</v>
      </c>
      <c r="D4873" t="str">
        <f>"912"</f>
        <v>912</v>
      </c>
    </row>
    <row r="4874" spans="1:5" x14ac:dyDescent="0.25">
      <c r="A4874" t="str">
        <f>"41440009  "</f>
        <v xml:space="preserve">41440009  </v>
      </c>
      <c r="B4874" t="s">
        <v>4653</v>
      </c>
      <c r="C4874">
        <v>467.5</v>
      </c>
      <c r="D4874" t="str">
        <f t="shared" ref="D4874:D4879" si="230">"921"</f>
        <v>921</v>
      </c>
      <c r="E4874" t="str">
        <f>"93880"</f>
        <v>93880</v>
      </c>
    </row>
    <row r="4875" spans="1:5" x14ac:dyDescent="0.25">
      <c r="A4875" t="str">
        <f>"41440017  "</f>
        <v xml:space="preserve">41440017  </v>
      </c>
      <c r="B4875" t="s">
        <v>4654</v>
      </c>
      <c r="C4875">
        <v>467.5</v>
      </c>
      <c r="D4875" t="str">
        <f t="shared" si="230"/>
        <v>921</v>
      </c>
      <c r="E4875" t="str">
        <f>"93880"</f>
        <v>93880</v>
      </c>
    </row>
    <row r="4876" spans="1:5" x14ac:dyDescent="0.25">
      <c r="A4876" t="str">
        <f>"41440025  "</f>
        <v xml:space="preserve">41440025  </v>
      </c>
      <c r="B4876" t="s">
        <v>4655</v>
      </c>
      <c r="C4876">
        <v>412.5</v>
      </c>
      <c r="D4876" t="str">
        <f t="shared" si="230"/>
        <v>921</v>
      </c>
      <c r="E4876" t="str">
        <f>"93923"</f>
        <v>93923</v>
      </c>
    </row>
    <row r="4877" spans="1:5" x14ac:dyDescent="0.25">
      <c r="A4877" t="str">
        <f>"41440041  "</f>
        <v xml:space="preserve">41440041  </v>
      </c>
      <c r="B4877" t="s">
        <v>4656</v>
      </c>
      <c r="C4877">
        <v>412.5</v>
      </c>
      <c r="D4877" t="str">
        <f t="shared" si="230"/>
        <v>921</v>
      </c>
      <c r="E4877" t="str">
        <f>"93925"</f>
        <v>93925</v>
      </c>
    </row>
    <row r="4878" spans="1:5" x14ac:dyDescent="0.25">
      <c r="A4878" t="str">
        <f>"41440058  "</f>
        <v xml:space="preserve">41440058  </v>
      </c>
      <c r="B4878" t="s">
        <v>4657</v>
      </c>
      <c r="C4878">
        <v>440</v>
      </c>
      <c r="D4878" t="str">
        <f t="shared" si="230"/>
        <v>921</v>
      </c>
      <c r="E4878" t="str">
        <f>"93965"</f>
        <v>93965</v>
      </c>
    </row>
    <row r="4879" spans="1:5" x14ac:dyDescent="0.25">
      <c r="A4879" t="str">
        <f>"41440066  "</f>
        <v xml:space="preserve">41440066  </v>
      </c>
      <c r="B4879" t="s">
        <v>4658</v>
      </c>
      <c r="C4879">
        <v>440</v>
      </c>
      <c r="D4879" t="str">
        <f t="shared" si="230"/>
        <v>921</v>
      </c>
      <c r="E4879" t="str">
        <f>"93970"</f>
        <v>93970</v>
      </c>
    </row>
    <row r="4880" spans="1:5" x14ac:dyDescent="0.25">
      <c r="A4880" t="str">
        <f>"42500058  "</f>
        <v xml:space="preserve">42500058  </v>
      </c>
      <c r="B4880" t="s">
        <v>4659</v>
      </c>
      <c r="C4880">
        <v>412.5</v>
      </c>
      <c r="D4880" t="str">
        <f>"400"</f>
        <v>400</v>
      </c>
      <c r="E4880" t="str">
        <f>"76700"</f>
        <v>76700</v>
      </c>
    </row>
    <row r="4881" spans="1:5" x14ac:dyDescent="0.25">
      <c r="A4881" t="str">
        <f>"42500108  "</f>
        <v xml:space="preserve">42500108  </v>
      </c>
      <c r="B4881" t="s">
        <v>4660</v>
      </c>
      <c r="C4881">
        <v>412.5</v>
      </c>
      <c r="D4881" t="str">
        <f>"400"</f>
        <v>400</v>
      </c>
      <c r="E4881" t="str">
        <f>"76705"</f>
        <v>76705</v>
      </c>
    </row>
    <row r="4882" spans="1:5" x14ac:dyDescent="0.25">
      <c r="A4882" t="str">
        <f>"42500341"</f>
        <v>42500341</v>
      </c>
      <c r="B4882" t="s">
        <v>4661</v>
      </c>
      <c r="C4882">
        <v>390.5</v>
      </c>
      <c r="D4882" t="str">
        <f>"402"</f>
        <v>402</v>
      </c>
      <c r="E4882" t="str">
        <f>"93971"</f>
        <v>93971</v>
      </c>
    </row>
    <row r="4883" spans="1:5" x14ac:dyDescent="0.25">
      <c r="A4883" t="str">
        <f>"4250059"</f>
        <v>4250059</v>
      </c>
      <c r="B4883" t="s">
        <v>4662</v>
      </c>
      <c r="C4883">
        <v>412.5</v>
      </c>
      <c r="D4883" t="str">
        <f>"400"</f>
        <v>400</v>
      </c>
      <c r="E4883" t="str">
        <f>"49083"</f>
        <v>49083</v>
      </c>
    </row>
    <row r="4884" spans="1:5" x14ac:dyDescent="0.25">
      <c r="A4884" t="str">
        <f>"42500603  "</f>
        <v xml:space="preserve">42500603  </v>
      </c>
      <c r="B4884" t="s">
        <v>4663</v>
      </c>
      <c r="C4884">
        <v>401.5</v>
      </c>
      <c r="D4884" t="str">
        <f>"400"</f>
        <v>400</v>
      </c>
      <c r="E4884" t="str">
        <f>"76805"</f>
        <v>76805</v>
      </c>
    </row>
    <row r="4885" spans="1:5" x14ac:dyDescent="0.25">
      <c r="A4885" t="str">
        <f>"42500702  "</f>
        <v xml:space="preserve">42500702  </v>
      </c>
      <c r="B4885" t="s">
        <v>4664</v>
      </c>
      <c r="C4885">
        <v>358.6</v>
      </c>
      <c r="D4885" t="str">
        <f t="shared" ref="D4885:D4898" si="231">"402"</f>
        <v>402</v>
      </c>
      <c r="E4885" t="str">
        <f>"76770"</f>
        <v>76770</v>
      </c>
    </row>
    <row r="4886" spans="1:5" x14ac:dyDescent="0.25">
      <c r="A4886" t="str">
        <f>"42500751  "</f>
        <v xml:space="preserve">42500751  </v>
      </c>
      <c r="B4886" t="s">
        <v>4665</v>
      </c>
      <c r="C4886">
        <v>358.6</v>
      </c>
      <c r="D4886" t="str">
        <f t="shared" si="231"/>
        <v>402</v>
      </c>
      <c r="E4886" t="str">
        <f>"76700"</f>
        <v>76700</v>
      </c>
    </row>
    <row r="4887" spans="1:5" x14ac:dyDescent="0.25">
      <c r="A4887" t="str">
        <f>"42500801  "</f>
        <v xml:space="preserve">42500801  </v>
      </c>
      <c r="B4887" t="s">
        <v>4666</v>
      </c>
      <c r="C4887">
        <v>358.6</v>
      </c>
      <c r="D4887" t="str">
        <f t="shared" si="231"/>
        <v>402</v>
      </c>
      <c r="E4887" t="str">
        <f>"76700"</f>
        <v>76700</v>
      </c>
    </row>
    <row r="4888" spans="1:5" x14ac:dyDescent="0.25">
      <c r="A4888" t="str">
        <f>"42500827  "</f>
        <v xml:space="preserve">42500827  </v>
      </c>
      <c r="B4888" t="s">
        <v>4667</v>
      </c>
      <c r="C4888">
        <v>358.6</v>
      </c>
      <c r="D4888" t="str">
        <f t="shared" si="231"/>
        <v>402</v>
      </c>
      <c r="E4888" t="str">
        <f>"76536"</f>
        <v>76536</v>
      </c>
    </row>
    <row r="4889" spans="1:5" x14ac:dyDescent="0.25">
      <c r="A4889" t="str">
        <f>"42500850  "</f>
        <v xml:space="preserve">42500850  </v>
      </c>
      <c r="B4889" t="s">
        <v>4668</v>
      </c>
      <c r="C4889">
        <v>358.6</v>
      </c>
      <c r="D4889" t="str">
        <f t="shared" si="231"/>
        <v>402</v>
      </c>
      <c r="E4889" t="str">
        <f>"76700"</f>
        <v>76700</v>
      </c>
    </row>
    <row r="4890" spans="1:5" x14ac:dyDescent="0.25">
      <c r="A4890" t="str">
        <f>"42500900  "</f>
        <v xml:space="preserve">42500900  </v>
      </c>
      <c r="B4890" t="s">
        <v>4669</v>
      </c>
      <c r="C4890">
        <v>365.2</v>
      </c>
      <c r="D4890" t="str">
        <f t="shared" si="231"/>
        <v>402</v>
      </c>
      <c r="E4890" t="str">
        <f>"76856"</f>
        <v>76856</v>
      </c>
    </row>
    <row r="4891" spans="1:5" x14ac:dyDescent="0.25">
      <c r="A4891" t="str">
        <f>"42501007  "</f>
        <v xml:space="preserve">42501007  </v>
      </c>
      <c r="B4891" t="s">
        <v>4670</v>
      </c>
      <c r="C4891">
        <v>358.6</v>
      </c>
      <c r="D4891" t="str">
        <f t="shared" si="231"/>
        <v>402</v>
      </c>
      <c r="E4891" t="str">
        <f>"76700"</f>
        <v>76700</v>
      </c>
    </row>
    <row r="4892" spans="1:5" x14ac:dyDescent="0.25">
      <c r="A4892" t="str">
        <f>"42501056  "</f>
        <v xml:space="preserve">42501056  </v>
      </c>
      <c r="B4892" t="s">
        <v>4671</v>
      </c>
      <c r="C4892">
        <v>330</v>
      </c>
      <c r="D4892" t="str">
        <f t="shared" si="231"/>
        <v>402</v>
      </c>
      <c r="E4892" t="str">
        <f>"76770"</f>
        <v>76770</v>
      </c>
    </row>
    <row r="4893" spans="1:5" x14ac:dyDescent="0.25">
      <c r="A4893" t="str">
        <f>"42501106  "</f>
        <v xml:space="preserve">42501106  </v>
      </c>
      <c r="B4893" t="s">
        <v>4672</v>
      </c>
      <c r="C4893">
        <v>137.5</v>
      </c>
      <c r="D4893" t="str">
        <f t="shared" si="231"/>
        <v>402</v>
      </c>
      <c r="E4893" t="str">
        <f>"76999"</f>
        <v>76999</v>
      </c>
    </row>
    <row r="4894" spans="1:5" x14ac:dyDescent="0.25">
      <c r="A4894" t="str">
        <f>"42501114  "</f>
        <v xml:space="preserve">42501114  </v>
      </c>
      <c r="B4894" t="s">
        <v>4673</v>
      </c>
      <c r="C4894">
        <v>154</v>
      </c>
      <c r="D4894" t="str">
        <f t="shared" si="231"/>
        <v>402</v>
      </c>
    </row>
    <row r="4895" spans="1:5" x14ac:dyDescent="0.25">
      <c r="A4895" t="str">
        <f>"42501155  "</f>
        <v xml:space="preserve">42501155  </v>
      </c>
      <c r="B4895" t="s">
        <v>4674</v>
      </c>
      <c r="C4895">
        <v>358.6</v>
      </c>
      <c r="D4895" t="str">
        <f t="shared" si="231"/>
        <v>402</v>
      </c>
      <c r="E4895" t="str">
        <f>"76770"</f>
        <v>76770</v>
      </c>
    </row>
    <row r="4896" spans="1:5" x14ac:dyDescent="0.25">
      <c r="A4896" t="str">
        <f>"42501163  "</f>
        <v xml:space="preserve">42501163  </v>
      </c>
      <c r="B4896" t="s">
        <v>4675</v>
      </c>
      <c r="C4896">
        <v>358.6</v>
      </c>
      <c r="D4896" t="str">
        <f t="shared" si="231"/>
        <v>402</v>
      </c>
      <c r="E4896" t="str">
        <f>"76870"</f>
        <v>76870</v>
      </c>
    </row>
    <row r="4897" spans="1:5" x14ac:dyDescent="0.25">
      <c r="A4897" t="str">
        <f>"42501171  "</f>
        <v xml:space="preserve">42501171  </v>
      </c>
      <c r="B4897" t="s">
        <v>4676</v>
      </c>
      <c r="C4897">
        <v>324.5</v>
      </c>
      <c r="D4897" t="str">
        <f t="shared" si="231"/>
        <v>402</v>
      </c>
      <c r="E4897" t="str">
        <f>"76881"</f>
        <v>76881</v>
      </c>
    </row>
    <row r="4898" spans="1:5" x14ac:dyDescent="0.25">
      <c r="A4898" t="str">
        <f>"42501205  "</f>
        <v xml:space="preserve">42501205  </v>
      </c>
      <c r="B4898" t="s">
        <v>4677</v>
      </c>
      <c r="C4898">
        <v>324.5</v>
      </c>
      <c r="D4898" t="str">
        <f t="shared" si="231"/>
        <v>402</v>
      </c>
      <c r="E4898" t="str">
        <f>"76536"</f>
        <v>76536</v>
      </c>
    </row>
    <row r="4899" spans="1:5" x14ac:dyDescent="0.25">
      <c r="A4899" t="str">
        <f>"42505503  "</f>
        <v xml:space="preserve">42505503  </v>
      </c>
      <c r="B4899" t="s">
        <v>4678</v>
      </c>
      <c r="C4899">
        <v>0</v>
      </c>
      <c r="D4899" t="str">
        <f>"360"</f>
        <v>360</v>
      </c>
    </row>
    <row r="4900" spans="1:5" x14ac:dyDescent="0.25">
      <c r="A4900" t="str">
        <f>"42506055  "</f>
        <v xml:space="preserve">42506055  </v>
      </c>
      <c r="B4900" t="s">
        <v>4679</v>
      </c>
      <c r="C4900">
        <v>946</v>
      </c>
      <c r="D4900" t="str">
        <f>"400"</f>
        <v>400</v>
      </c>
      <c r="E4900" t="str">
        <f>"93923"</f>
        <v>93923</v>
      </c>
    </row>
    <row r="4901" spans="1:5" x14ac:dyDescent="0.25">
      <c r="A4901" t="str">
        <f>"42506105  "</f>
        <v xml:space="preserve">42506105  </v>
      </c>
      <c r="B4901" t="s">
        <v>4680</v>
      </c>
      <c r="C4901">
        <v>720.5</v>
      </c>
      <c r="D4901" t="str">
        <f>"400"</f>
        <v>400</v>
      </c>
      <c r="E4901" t="str">
        <f>"93970"</f>
        <v>93970</v>
      </c>
    </row>
    <row r="4902" spans="1:5" x14ac:dyDescent="0.25">
      <c r="A4902" t="str">
        <f>"42506154  "</f>
        <v xml:space="preserve">42506154  </v>
      </c>
      <c r="B4902" t="s">
        <v>4681</v>
      </c>
      <c r="C4902">
        <v>720.5</v>
      </c>
      <c r="D4902" t="str">
        <f>"402"</f>
        <v>402</v>
      </c>
      <c r="E4902" t="str">
        <f>"76881"</f>
        <v>76881</v>
      </c>
    </row>
    <row r="4903" spans="1:5" x14ac:dyDescent="0.25">
      <c r="A4903" t="str">
        <f>"42506204  "</f>
        <v xml:space="preserve">42506204  </v>
      </c>
      <c r="B4903" t="s">
        <v>4682</v>
      </c>
      <c r="C4903">
        <v>720.5</v>
      </c>
      <c r="D4903" t="str">
        <f>"402"</f>
        <v>402</v>
      </c>
      <c r="E4903" t="str">
        <f>"76881"</f>
        <v>76881</v>
      </c>
    </row>
    <row r="4904" spans="1:5" x14ac:dyDescent="0.25">
      <c r="A4904" t="str">
        <f>"42506303  "</f>
        <v xml:space="preserve">42506303  </v>
      </c>
      <c r="B4904" t="s">
        <v>4683</v>
      </c>
      <c r="C4904">
        <v>510.4</v>
      </c>
      <c r="D4904" t="str">
        <f>"921"</f>
        <v>921</v>
      </c>
      <c r="E4904" t="str">
        <f>"93895"</f>
        <v>93895</v>
      </c>
    </row>
    <row r="4905" spans="1:5" x14ac:dyDescent="0.25">
      <c r="A4905" t="str">
        <f>"42506352  "</f>
        <v xml:space="preserve">42506352  </v>
      </c>
      <c r="B4905" t="s">
        <v>4684</v>
      </c>
      <c r="C4905">
        <v>154</v>
      </c>
      <c r="D4905" t="str">
        <f>"400"</f>
        <v>400</v>
      </c>
    </row>
    <row r="4906" spans="1:5" x14ac:dyDescent="0.25">
      <c r="A4906" t="str">
        <f>"42506451  "</f>
        <v xml:space="preserve">42506451  </v>
      </c>
      <c r="B4906" t="s">
        <v>4685</v>
      </c>
      <c r="C4906">
        <v>135.30000000000001</v>
      </c>
      <c r="D4906" t="str">
        <f>"400"</f>
        <v>400</v>
      </c>
    </row>
    <row r="4907" spans="1:5" x14ac:dyDescent="0.25">
      <c r="A4907" t="str">
        <f>"42506501  "</f>
        <v xml:space="preserve">42506501  </v>
      </c>
      <c r="B4907" t="s">
        <v>4686</v>
      </c>
      <c r="C4907">
        <v>135.30000000000001</v>
      </c>
      <c r="D4907" t="str">
        <f>"400"</f>
        <v>400</v>
      </c>
    </row>
    <row r="4908" spans="1:5" x14ac:dyDescent="0.25">
      <c r="A4908" t="str">
        <f>"42506550  "</f>
        <v xml:space="preserve">42506550  </v>
      </c>
      <c r="B4908" t="s">
        <v>4687</v>
      </c>
      <c r="C4908">
        <v>103.4</v>
      </c>
      <c r="D4908" t="str">
        <f>"400"</f>
        <v>400</v>
      </c>
    </row>
    <row r="4909" spans="1:5" x14ac:dyDescent="0.25">
      <c r="A4909" t="str">
        <f>"42506600  "</f>
        <v xml:space="preserve">42506600  </v>
      </c>
      <c r="B4909" t="s">
        <v>4688</v>
      </c>
      <c r="C4909">
        <v>242</v>
      </c>
      <c r="D4909" t="str">
        <f>"402"</f>
        <v>402</v>
      </c>
      <c r="E4909" t="str">
        <f>"76641"</f>
        <v>76641</v>
      </c>
    </row>
    <row r="4910" spans="1:5" x14ac:dyDescent="0.25">
      <c r="A4910" t="str">
        <f>"42506659  "</f>
        <v xml:space="preserve">42506659  </v>
      </c>
      <c r="B4910" t="s">
        <v>4689</v>
      </c>
      <c r="C4910">
        <v>346.5</v>
      </c>
      <c r="D4910" t="str">
        <f>"402"</f>
        <v>402</v>
      </c>
      <c r="E4910" t="str">
        <f>"76641"</f>
        <v>76641</v>
      </c>
    </row>
    <row r="4911" spans="1:5" x14ac:dyDescent="0.25">
      <c r="A4911" t="str">
        <f>"42512345"</f>
        <v>42512345</v>
      </c>
      <c r="B4911" t="s">
        <v>4690</v>
      </c>
      <c r="C4911">
        <v>390.5</v>
      </c>
      <c r="D4911" t="str">
        <f>"402"</f>
        <v>402</v>
      </c>
      <c r="E4911" t="str">
        <f>"93971"</f>
        <v>93971</v>
      </c>
    </row>
    <row r="4912" spans="1:5" x14ac:dyDescent="0.25">
      <c r="A4912" t="str">
        <f>"42541000"</f>
        <v>42541000</v>
      </c>
      <c r="B4912" t="s">
        <v>4691</v>
      </c>
      <c r="C4912">
        <v>808.5</v>
      </c>
      <c r="D4912" t="str">
        <f>"921"</f>
        <v>921</v>
      </c>
      <c r="E4912" t="str">
        <f>"76873"</f>
        <v>76873</v>
      </c>
    </row>
    <row r="4913" spans="1:5" x14ac:dyDescent="0.25">
      <c r="A4913" t="str">
        <f>"42544320"</f>
        <v>42544320</v>
      </c>
      <c r="B4913" t="s">
        <v>4692</v>
      </c>
      <c r="C4913">
        <v>390.5</v>
      </c>
      <c r="D4913" t="str">
        <f t="shared" ref="D4913:D4920" si="232">"402"</f>
        <v>402</v>
      </c>
      <c r="E4913" t="str">
        <f>"93922"</f>
        <v>93922</v>
      </c>
    </row>
    <row r="4914" spans="1:5" x14ac:dyDescent="0.25">
      <c r="A4914" t="str">
        <f>"42555712"</f>
        <v>42555712</v>
      </c>
      <c r="B4914" t="s">
        <v>4693</v>
      </c>
      <c r="C4914">
        <v>390.5</v>
      </c>
      <c r="D4914" t="str">
        <f t="shared" si="232"/>
        <v>402</v>
      </c>
      <c r="E4914" t="str">
        <f>"93922"</f>
        <v>93922</v>
      </c>
    </row>
    <row r="4915" spans="1:5" x14ac:dyDescent="0.25">
      <c r="A4915" t="str">
        <f>"42570009"</f>
        <v>42570009</v>
      </c>
      <c r="B4915" t="s">
        <v>4694</v>
      </c>
      <c r="C4915">
        <v>412.5</v>
      </c>
      <c r="D4915" t="str">
        <f t="shared" si="232"/>
        <v>402</v>
      </c>
      <c r="E4915" t="str">
        <f>"76830"</f>
        <v>76830</v>
      </c>
    </row>
    <row r="4916" spans="1:5" x14ac:dyDescent="0.25">
      <c r="A4916" t="str">
        <f>"42570010"</f>
        <v>42570010</v>
      </c>
      <c r="B4916" t="s">
        <v>4695</v>
      </c>
      <c r="C4916">
        <v>358.6</v>
      </c>
      <c r="D4916" t="str">
        <f t="shared" si="232"/>
        <v>402</v>
      </c>
      <c r="E4916" t="str">
        <f>"76882"</f>
        <v>76882</v>
      </c>
    </row>
    <row r="4917" spans="1:5" x14ac:dyDescent="0.25">
      <c r="A4917" t="str">
        <f>"42571005"</f>
        <v>42571005</v>
      </c>
      <c r="B4917" t="s">
        <v>4696</v>
      </c>
      <c r="C4917">
        <v>412.5</v>
      </c>
      <c r="D4917" t="str">
        <f t="shared" si="232"/>
        <v>402</v>
      </c>
      <c r="E4917" t="str">
        <f>"76604"</f>
        <v>76604</v>
      </c>
    </row>
    <row r="4918" spans="1:5" x14ac:dyDescent="0.25">
      <c r="A4918" t="str">
        <f>"42571006"</f>
        <v>42571006</v>
      </c>
      <c r="B4918" t="s">
        <v>4697</v>
      </c>
      <c r="C4918">
        <v>550</v>
      </c>
      <c r="D4918" t="str">
        <f t="shared" si="232"/>
        <v>402</v>
      </c>
      <c r="E4918" t="str">
        <f>"76942"</f>
        <v>76942</v>
      </c>
    </row>
    <row r="4919" spans="1:5" x14ac:dyDescent="0.25">
      <c r="A4919" t="str">
        <f>"42571006"</f>
        <v>42571006</v>
      </c>
      <c r="B4919" t="s">
        <v>4697</v>
      </c>
      <c r="C4919">
        <v>550</v>
      </c>
      <c r="D4919" t="str">
        <f t="shared" si="232"/>
        <v>402</v>
      </c>
      <c r="E4919" t="str">
        <f>"76942"</f>
        <v>76942</v>
      </c>
    </row>
    <row r="4920" spans="1:5" x14ac:dyDescent="0.25">
      <c r="A4920" t="str">
        <f>"42571007"</f>
        <v>42571007</v>
      </c>
      <c r="B4920" t="s">
        <v>4698</v>
      </c>
      <c r="C4920">
        <v>550</v>
      </c>
      <c r="D4920" t="str">
        <f t="shared" si="232"/>
        <v>402</v>
      </c>
      <c r="E4920" t="str">
        <f>"76942"</f>
        <v>76942</v>
      </c>
    </row>
    <row r="4921" spans="1:5" x14ac:dyDescent="0.25">
      <c r="A4921" t="str">
        <f>"42601013  "</f>
        <v xml:space="preserve">42601013  </v>
      </c>
      <c r="B4921" t="s">
        <v>4699</v>
      </c>
      <c r="C4921">
        <v>143</v>
      </c>
      <c r="D4921" t="str">
        <f t="shared" ref="D4921:D4930" si="233">"915"</f>
        <v>915</v>
      </c>
      <c r="E4921" t="str">
        <f t="shared" ref="E4921:E4928" si="234">"90853"</f>
        <v>90853</v>
      </c>
    </row>
    <row r="4922" spans="1:5" x14ac:dyDescent="0.25">
      <c r="A4922" t="str">
        <f>"42601021  "</f>
        <v xml:space="preserve">42601021  </v>
      </c>
      <c r="B4922" t="s">
        <v>4700</v>
      </c>
      <c r="C4922">
        <v>143</v>
      </c>
      <c r="D4922" t="str">
        <f t="shared" si="233"/>
        <v>915</v>
      </c>
      <c r="E4922" t="str">
        <f t="shared" si="234"/>
        <v>90853</v>
      </c>
    </row>
    <row r="4923" spans="1:5" x14ac:dyDescent="0.25">
      <c r="A4923" t="str">
        <f>"42601039  "</f>
        <v xml:space="preserve">42601039  </v>
      </c>
      <c r="B4923" t="s">
        <v>4701</v>
      </c>
      <c r="C4923">
        <v>143</v>
      </c>
      <c r="D4923" t="str">
        <f t="shared" si="233"/>
        <v>915</v>
      </c>
      <c r="E4923" t="str">
        <f t="shared" si="234"/>
        <v>90853</v>
      </c>
    </row>
    <row r="4924" spans="1:5" x14ac:dyDescent="0.25">
      <c r="A4924" t="str">
        <f>"42601054  "</f>
        <v xml:space="preserve">42601054  </v>
      </c>
      <c r="B4924" t="s">
        <v>4702</v>
      </c>
      <c r="C4924">
        <v>143</v>
      </c>
      <c r="D4924" t="str">
        <f t="shared" si="233"/>
        <v>915</v>
      </c>
      <c r="E4924" t="str">
        <f t="shared" si="234"/>
        <v>90853</v>
      </c>
    </row>
    <row r="4925" spans="1:5" x14ac:dyDescent="0.25">
      <c r="A4925" t="str">
        <f>"42601062  "</f>
        <v xml:space="preserve">42601062  </v>
      </c>
      <c r="B4925" t="s">
        <v>4703</v>
      </c>
      <c r="C4925">
        <v>143</v>
      </c>
      <c r="D4925" t="str">
        <f t="shared" si="233"/>
        <v>915</v>
      </c>
      <c r="E4925" t="str">
        <f t="shared" si="234"/>
        <v>90853</v>
      </c>
    </row>
    <row r="4926" spans="1:5" x14ac:dyDescent="0.25">
      <c r="A4926" t="str">
        <f>"42601070  "</f>
        <v xml:space="preserve">42601070  </v>
      </c>
      <c r="B4926" t="s">
        <v>4704</v>
      </c>
      <c r="C4926">
        <v>143</v>
      </c>
      <c r="D4926" t="str">
        <f t="shared" si="233"/>
        <v>915</v>
      </c>
      <c r="E4926" t="str">
        <f t="shared" si="234"/>
        <v>90853</v>
      </c>
    </row>
    <row r="4927" spans="1:5" x14ac:dyDescent="0.25">
      <c r="A4927" t="str">
        <f>"42601088  "</f>
        <v xml:space="preserve">42601088  </v>
      </c>
      <c r="B4927" t="s">
        <v>4705</v>
      </c>
      <c r="C4927">
        <v>143</v>
      </c>
      <c r="D4927" t="str">
        <f t="shared" si="233"/>
        <v>915</v>
      </c>
      <c r="E4927" t="str">
        <f t="shared" si="234"/>
        <v>90853</v>
      </c>
    </row>
    <row r="4928" spans="1:5" x14ac:dyDescent="0.25">
      <c r="A4928" t="str">
        <f>"42601096  "</f>
        <v xml:space="preserve">42601096  </v>
      </c>
      <c r="B4928" t="s">
        <v>4706</v>
      </c>
      <c r="C4928">
        <v>143</v>
      </c>
      <c r="D4928" t="str">
        <f t="shared" si="233"/>
        <v>915</v>
      </c>
      <c r="E4928" t="str">
        <f t="shared" si="234"/>
        <v>90853</v>
      </c>
    </row>
    <row r="4929" spans="1:5" x14ac:dyDescent="0.25">
      <c r="A4929" t="str">
        <f>"42601104  "</f>
        <v xml:space="preserve">42601104  </v>
      </c>
      <c r="B4929" t="s">
        <v>4707</v>
      </c>
      <c r="C4929">
        <v>93.5</v>
      </c>
      <c r="D4929" t="str">
        <f t="shared" si="233"/>
        <v>915</v>
      </c>
    </row>
    <row r="4930" spans="1:5" x14ac:dyDescent="0.25">
      <c r="A4930" t="str">
        <f>"42601112  "</f>
        <v xml:space="preserve">42601112  </v>
      </c>
      <c r="B4930" t="s">
        <v>4708</v>
      </c>
      <c r="C4930">
        <v>143</v>
      </c>
      <c r="D4930" t="str">
        <f t="shared" si="233"/>
        <v>915</v>
      </c>
      <c r="E4930" t="str">
        <f>"90853"</f>
        <v>90853</v>
      </c>
    </row>
    <row r="4931" spans="1:5" x14ac:dyDescent="0.25">
      <c r="A4931" t="str">
        <f>"42601120  "</f>
        <v xml:space="preserve">42601120  </v>
      </c>
      <c r="B4931" t="s">
        <v>4709</v>
      </c>
      <c r="C4931">
        <v>192.5</v>
      </c>
      <c r="D4931" t="str">
        <f>"914"</f>
        <v>914</v>
      </c>
      <c r="E4931" t="str">
        <f>"90801"</f>
        <v>90801</v>
      </c>
    </row>
    <row r="4932" spans="1:5" x14ac:dyDescent="0.25">
      <c r="A4932" t="str">
        <f>"42601138  "</f>
        <v xml:space="preserve">42601138  </v>
      </c>
      <c r="B4932" t="s">
        <v>4710</v>
      </c>
      <c r="C4932">
        <v>385</v>
      </c>
      <c r="D4932" t="str">
        <f t="shared" ref="D4932:D4946" si="235">"915"</f>
        <v>915</v>
      </c>
      <c r="E4932" t="str">
        <f t="shared" ref="E4932:E4946" si="236">"90853"</f>
        <v>90853</v>
      </c>
    </row>
    <row r="4933" spans="1:5" x14ac:dyDescent="0.25">
      <c r="A4933" t="str">
        <f>"42601146  "</f>
        <v xml:space="preserve">42601146  </v>
      </c>
      <c r="B4933" t="s">
        <v>4711</v>
      </c>
      <c r="C4933">
        <v>143</v>
      </c>
      <c r="D4933" t="str">
        <f t="shared" si="235"/>
        <v>915</v>
      </c>
      <c r="E4933" t="str">
        <f t="shared" si="236"/>
        <v>90853</v>
      </c>
    </row>
    <row r="4934" spans="1:5" x14ac:dyDescent="0.25">
      <c r="A4934" t="str">
        <f>"42601153  "</f>
        <v xml:space="preserve">42601153  </v>
      </c>
      <c r="B4934" t="s">
        <v>4712</v>
      </c>
      <c r="C4934">
        <v>143</v>
      </c>
      <c r="D4934" t="str">
        <f t="shared" si="235"/>
        <v>915</v>
      </c>
      <c r="E4934" t="str">
        <f t="shared" si="236"/>
        <v>90853</v>
      </c>
    </row>
    <row r="4935" spans="1:5" x14ac:dyDescent="0.25">
      <c r="A4935" t="str">
        <f>"42601161  "</f>
        <v xml:space="preserve">42601161  </v>
      </c>
      <c r="B4935" t="s">
        <v>4713</v>
      </c>
      <c r="C4935">
        <v>143</v>
      </c>
      <c r="D4935" t="str">
        <f t="shared" si="235"/>
        <v>915</v>
      </c>
      <c r="E4935" t="str">
        <f t="shared" si="236"/>
        <v>90853</v>
      </c>
    </row>
    <row r="4936" spans="1:5" x14ac:dyDescent="0.25">
      <c r="A4936" t="str">
        <f>"42601179  "</f>
        <v xml:space="preserve">42601179  </v>
      </c>
      <c r="B4936" t="s">
        <v>4714</v>
      </c>
      <c r="C4936">
        <v>143</v>
      </c>
      <c r="D4936" t="str">
        <f t="shared" si="235"/>
        <v>915</v>
      </c>
      <c r="E4936" t="str">
        <f t="shared" si="236"/>
        <v>90853</v>
      </c>
    </row>
    <row r="4937" spans="1:5" x14ac:dyDescent="0.25">
      <c r="A4937" t="str">
        <f>"42601187  "</f>
        <v xml:space="preserve">42601187  </v>
      </c>
      <c r="B4937" t="s">
        <v>4715</v>
      </c>
      <c r="C4937">
        <v>110</v>
      </c>
      <c r="D4937" t="str">
        <f t="shared" si="235"/>
        <v>915</v>
      </c>
      <c r="E4937" t="str">
        <f t="shared" si="236"/>
        <v>90853</v>
      </c>
    </row>
    <row r="4938" spans="1:5" x14ac:dyDescent="0.25">
      <c r="A4938" t="str">
        <f>"42601195  "</f>
        <v xml:space="preserve">42601195  </v>
      </c>
      <c r="B4938" t="s">
        <v>4716</v>
      </c>
      <c r="C4938">
        <v>143</v>
      </c>
      <c r="D4938" t="str">
        <f t="shared" si="235"/>
        <v>915</v>
      </c>
      <c r="E4938" t="str">
        <f t="shared" si="236"/>
        <v>90853</v>
      </c>
    </row>
    <row r="4939" spans="1:5" x14ac:dyDescent="0.25">
      <c r="A4939" t="str">
        <f>"42601203  "</f>
        <v xml:space="preserve">42601203  </v>
      </c>
      <c r="B4939" t="s">
        <v>4717</v>
      </c>
      <c r="C4939">
        <v>143</v>
      </c>
      <c r="D4939" t="str">
        <f t="shared" si="235"/>
        <v>915</v>
      </c>
      <c r="E4939" t="str">
        <f t="shared" si="236"/>
        <v>90853</v>
      </c>
    </row>
    <row r="4940" spans="1:5" x14ac:dyDescent="0.25">
      <c r="A4940" t="str">
        <f>"42601211  "</f>
        <v xml:space="preserve">42601211  </v>
      </c>
      <c r="B4940" t="s">
        <v>4718</v>
      </c>
      <c r="C4940">
        <v>143</v>
      </c>
      <c r="D4940" t="str">
        <f t="shared" si="235"/>
        <v>915</v>
      </c>
      <c r="E4940" t="str">
        <f t="shared" si="236"/>
        <v>90853</v>
      </c>
    </row>
    <row r="4941" spans="1:5" x14ac:dyDescent="0.25">
      <c r="A4941" t="str">
        <f>"42601229  "</f>
        <v xml:space="preserve">42601229  </v>
      </c>
      <c r="B4941" t="s">
        <v>4719</v>
      </c>
      <c r="C4941">
        <v>143</v>
      </c>
      <c r="D4941" t="str">
        <f t="shared" si="235"/>
        <v>915</v>
      </c>
      <c r="E4941" t="str">
        <f t="shared" si="236"/>
        <v>90853</v>
      </c>
    </row>
    <row r="4942" spans="1:5" x14ac:dyDescent="0.25">
      <c r="A4942" t="str">
        <f>"42612309  "</f>
        <v xml:space="preserve">42612309  </v>
      </c>
      <c r="B4942" t="s">
        <v>4720</v>
      </c>
      <c r="C4942">
        <v>143</v>
      </c>
      <c r="D4942" t="str">
        <f t="shared" si="235"/>
        <v>915</v>
      </c>
      <c r="E4942" t="str">
        <f t="shared" si="236"/>
        <v>90853</v>
      </c>
    </row>
    <row r="4943" spans="1:5" x14ac:dyDescent="0.25">
      <c r="A4943" t="str">
        <f>"42612317  "</f>
        <v xml:space="preserve">42612317  </v>
      </c>
      <c r="B4943" t="s">
        <v>4721</v>
      </c>
      <c r="C4943">
        <v>143</v>
      </c>
      <c r="D4943" t="str">
        <f t="shared" si="235"/>
        <v>915</v>
      </c>
      <c r="E4943" t="str">
        <f t="shared" si="236"/>
        <v>90853</v>
      </c>
    </row>
    <row r="4944" spans="1:5" x14ac:dyDescent="0.25">
      <c r="A4944" t="str">
        <f>"42612325  "</f>
        <v xml:space="preserve">42612325  </v>
      </c>
      <c r="B4944" t="s">
        <v>4722</v>
      </c>
      <c r="C4944">
        <v>143</v>
      </c>
      <c r="D4944" t="str">
        <f t="shared" si="235"/>
        <v>915</v>
      </c>
      <c r="E4944" t="str">
        <f t="shared" si="236"/>
        <v>90853</v>
      </c>
    </row>
    <row r="4945" spans="1:5" x14ac:dyDescent="0.25">
      <c r="A4945" t="str">
        <f>"42612333  "</f>
        <v xml:space="preserve">42612333  </v>
      </c>
      <c r="B4945" t="s">
        <v>4723</v>
      </c>
      <c r="C4945">
        <v>143</v>
      </c>
      <c r="D4945" t="str">
        <f t="shared" si="235"/>
        <v>915</v>
      </c>
      <c r="E4945" t="str">
        <f t="shared" si="236"/>
        <v>90853</v>
      </c>
    </row>
    <row r="4946" spans="1:5" x14ac:dyDescent="0.25">
      <c r="A4946" t="str">
        <f>"42612341  "</f>
        <v xml:space="preserve">42612341  </v>
      </c>
      <c r="B4946" t="s">
        <v>4724</v>
      </c>
      <c r="C4946">
        <v>143</v>
      </c>
      <c r="D4946" t="str">
        <f t="shared" si="235"/>
        <v>915</v>
      </c>
      <c r="E4946" t="str">
        <f t="shared" si="236"/>
        <v>90853</v>
      </c>
    </row>
    <row r="4947" spans="1:5" x14ac:dyDescent="0.25">
      <c r="A4947" t="str">
        <f>"44100014  "</f>
        <v xml:space="preserve">44100014  </v>
      </c>
      <c r="B4947" t="s">
        <v>4725</v>
      </c>
      <c r="C4947">
        <v>55</v>
      </c>
      <c r="D4947" t="str">
        <f>"433"</f>
        <v>433</v>
      </c>
      <c r="E4947" t="str">
        <f>"97003"</f>
        <v>97003</v>
      </c>
    </row>
    <row r="4948" spans="1:5" x14ac:dyDescent="0.25">
      <c r="A4948" t="str">
        <f>"44101004  "</f>
        <v xml:space="preserve">44101004  </v>
      </c>
      <c r="B4948" t="s">
        <v>4726</v>
      </c>
      <c r="C4948">
        <v>60.5</v>
      </c>
      <c r="D4948" t="str">
        <f>"433"</f>
        <v>433</v>
      </c>
      <c r="E4948" t="str">
        <f>"97003"</f>
        <v>97003</v>
      </c>
    </row>
    <row r="4949" spans="1:5" x14ac:dyDescent="0.25">
      <c r="A4949" t="str">
        <f>"41409087  "</f>
        <v xml:space="preserve">41409087  </v>
      </c>
      <c r="B4949" t="s">
        <v>4727</v>
      </c>
      <c r="C4949" s="1">
        <v>1186.9000000000001</v>
      </c>
      <c r="D4949" t="str">
        <f t="shared" ref="D4949:D4959" si="237">"350"</f>
        <v>350</v>
      </c>
      <c r="E4949" t="str">
        <f>"72194"</f>
        <v>72194</v>
      </c>
    </row>
    <row r="4950" spans="1:5" x14ac:dyDescent="0.25">
      <c r="A4950" t="str">
        <f>"44200053  "</f>
        <v xml:space="preserve">44200053  </v>
      </c>
      <c r="B4950" t="s">
        <v>4728</v>
      </c>
      <c r="C4950" s="1">
        <v>1157.2</v>
      </c>
      <c r="D4950" t="str">
        <f t="shared" si="237"/>
        <v>350</v>
      </c>
      <c r="E4950" t="str">
        <f>"74150"</f>
        <v>74150</v>
      </c>
    </row>
    <row r="4951" spans="1:5" x14ac:dyDescent="0.25">
      <c r="A4951" t="str">
        <f>"44200103  "</f>
        <v xml:space="preserve">44200103  </v>
      </c>
      <c r="B4951" t="s">
        <v>4729</v>
      </c>
      <c r="C4951" s="1">
        <v>1186.9000000000001</v>
      </c>
      <c r="D4951" t="str">
        <f t="shared" si="237"/>
        <v>350</v>
      </c>
      <c r="E4951" t="str">
        <f>"74160"</f>
        <v>74160</v>
      </c>
    </row>
    <row r="4952" spans="1:5" x14ac:dyDescent="0.25">
      <c r="A4952" t="str">
        <f>"44200111  "</f>
        <v xml:space="preserve">44200111  </v>
      </c>
      <c r="B4952" t="s">
        <v>4730</v>
      </c>
      <c r="C4952">
        <v>748</v>
      </c>
      <c r="D4952" t="str">
        <f t="shared" si="237"/>
        <v>350</v>
      </c>
      <c r="E4952" t="str">
        <f>"70480"</f>
        <v>70480</v>
      </c>
    </row>
    <row r="4953" spans="1:5" x14ac:dyDescent="0.25">
      <c r="A4953" t="str">
        <f>"442001137"</f>
        <v>442001137</v>
      </c>
      <c r="B4953" t="s">
        <v>4731</v>
      </c>
      <c r="C4953" s="1">
        <v>1100</v>
      </c>
      <c r="D4953" t="str">
        <f t="shared" si="237"/>
        <v>350</v>
      </c>
      <c r="E4953" t="str">
        <f>"73700"</f>
        <v>73700</v>
      </c>
    </row>
    <row r="4954" spans="1:5" x14ac:dyDescent="0.25">
      <c r="A4954" t="str">
        <f>"44200152  "</f>
        <v xml:space="preserve">44200152  </v>
      </c>
      <c r="B4954" t="s">
        <v>4732</v>
      </c>
      <c r="C4954" s="1">
        <v>1186.9000000000001</v>
      </c>
      <c r="D4954" t="str">
        <f t="shared" si="237"/>
        <v>350</v>
      </c>
      <c r="E4954" t="str">
        <f>"74170"</f>
        <v>74170</v>
      </c>
    </row>
    <row r="4955" spans="1:5" x14ac:dyDescent="0.25">
      <c r="A4955" t="str">
        <f>"44200202  "</f>
        <v xml:space="preserve">44200202  </v>
      </c>
      <c r="B4955" t="s">
        <v>4733</v>
      </c>
      <c r="C4955" s="1">
        <v>1186.9000000000001</v>
      </c>
      <c r="D4955" t="str">
        <f t="shared" si="237"/>
        <v>350</v>
      </c>
      <c r="E4955" t="str">
        <f>"71270"</f>
        <v>71270</v>
      </c>
    </row>
    <row r="4956" spans="1:5" x14ac:dyDescent="0.25">
      <c r="A4956" t="str">
        <f>"44200251  "</f>
        <v xml:space="preserve">44200251  </v>
      </c>
      <c r="B4956" t="s">
        <v>4734</v>
      </c>
      <c r="C4956" s="1">
        <v>1186.9000000000001</v>
      </c>
      <c r="D4956" t="str">
        <f t="shared" si="237"/>
        <v>350</v>
      </c>
      <c r="E4956" t="str">
        <f>"71260"</f>
        <v>71260</v>
      </c>
    </row>
    <row r="4957" spans="1:5" x14ac:dyDescent="0.25">
      <c r="A4957" t="str">
        <f>"44200301  "</f>
        <v xml:space="preserve">44200301  </v>
      </c>
      <c r="B4957" t="s">
        <v>4735</v>
      </c>
      <c r="C4957" s="1">
        <v>1067</v>
      </c>
      <c r="D4957" t="str">
        <f t="shared" si="237"/>
        <v>350</v>
      </c>
      <c r="E4957" t="str">
        <f>"71250"</f>
        <v>71250</v>
      </c>
    </row>
    <row r="4958" spans="1:5" x14ac:dyDescent="0.25">
      <c r="A4958" t="str">
        <f>"44200319  "</f>
        <v xml:space="preserve">44200319  </v>
      </c>
      <c r="B4958" t="s">
        <v>4736</v>
      </c>
      <c r="C4958">
        <v>666.6</v>
      </c>
      <c r="D4958" t="str">
        <f t="shared" si="237"/>
        <v>350</v>
      </c>
      <c r="E4958" t="str">
        <f>"73700"</f>
        <v>73700</v>
      </c>
    </row>
    <row r="4959" spans="1:5" x14ac:dyDescent="0.25">
      <c r="A4959" t="str">
        <f>"44200350  "</f>
        <v xml:space="preserve">44200350  </v>
      </c>
      <c r="B4959" t="s">
        <v>4737</v>
      </c>
      <c r="C4959" s="1">
        <v>1035.0999999999999</v>
      </c>
      <c r="D4959" t="str">
        <f t="shared" si="237"/>
        <v>350</v>
      </c>
      <c r="E4959" t="str">
        <f>"70470"</f>
        <v>70470</v>
      </c>
    </row>
    <row r="4960" spans="1:5" x14ac:dyDescent="0.25">
      <c r="A4960" t="str">
        <f>"44200400  "</f>
        <v xml:space="preserve">44200400  </v>
      </c>
      <c r="B4960" t="s">
        <v>4738</v>
      </c>
      <c r="C4960">
        <v>959.2</v>
      </c>
      <c r="D4960" t="str">
        <f>"351"</f>
        <v>351</v>
      </c>
      <c r="E4960" t="str">
        <f>"70460"</f>
        <v>70460</v>
      </c>
    </row>
    <row r="4961" spans="1:5" x14ac:dyDescent="0.25">
      <c r="A4961" t="str">
        <f>"44200459  "</f>
        <v xml:space="preserve">44200459  </v>
      </c>
      <c r="B4961" t="s">
        <v>4739</v>
      </c>
      <c r="C4961">
        <v>970.2</v>
      </c>
      <c r="D4961" t="str">
        <f>"351"</f>
        <v>351</v>
      </c>
      <c r="E4961" t="str">
        <f>"70450"</f>
        <v>70450</v>
      </c>
    </row>
    <row r="4962" spans="1:5" x14ac:dyDescent="0.25">
      <c r="A4962" t="str">
        <f>"4420050"</f>
        <v>4420050</v>
      </c>
      <c r="B4962" t="s">
        <v>4740</v>
      </c>
      <c r="C4962" s="1">
        <v>1320</v>
      </c>
      <c r="D4962" t="str">
        <f t="shared" ref="D4962:D4992" si="238">"350"</f>
        <v>350</v>
      </c>
      <c r="E4962" t="str">
        <f>"72129"</f>
        <v>72129</v>
      </c>
    </row>
    <row r="4963" spans="1:5" x14ac:dyDescent="0.25">
      <c r="A4963" t="str">
        <f>"44200558  "</f>
        <v xml:space="preserve">44200558  </v>
      </c>
      <c r="B4963" t="s">
        <v>4741</v>
      </c>
      <c r="C4963" s="1">
        <v>1186.9000000000001</v>
      </c>
      <c r="D4963" t="str">
        <f t="shared" si="238"/>
        <v>350</v>
      </c>
      <c r="E4963" t="str">
        <f>"72193"</f>
        <v>72193</v>
      </c>
    </row>
    <row r="4964" spans="1:5" x14ac:dyDescent="0.25">
      <c r="A4964" t="str">
        <f>"44200608  "</f>
        <v xml:space="preserve">44200608  </v>
      </c>
      <c r="B4964" t="s">
        <v>4742</v>
      </c>
      <c r="C4964" s="1">
        <v>1157.2</v>
      </c>
      <c r="D4964" t="str">
        <f t="shared" si="238"/>
        <v>350</v>
      </c>
      <c r="E4964" t="str">
        <f>"72192"</f>
        <v>72192</v>
      </c>
    </row>
    <row r="4965" spans="1:5" x14ac:dyDescent="0.25">
      <c r="A4965" t="str">
        <f>"44200657  "</f>
        <v xml:space="preserve">44200657  </v>
      </c>
      <c r="B4965" t="s">
        <v>4743</v>
      </c>
      <c r="C4965" s="1">
        <v>1315.6</v>
      </c>
      <c r="D4965" t="str">
        <f t="shared" si="238"/>
        <v>350</v>
      </c>
      <c r="E4965" t="str">
        <f>"72131"</f>
        <v>72131</v>
      </c>
    </row>
    <row r="4966" spans="1:5" x14ac:dyDescent="0.25">
      <c r="A4966" t="str">
        <f>"44200699  "</f>
        <v xml:space="preserve">44200699  </v>
      </c>
      <c r="B4966" t="s">
        <v>4744</v>
      </c>
      <c r="C4966">
        <v>918.5</v>
      </c>
      <c r="D4966" t="str">
        <f t="shared" si="238"/>
        <v>350</v>
      </c>
      <c r="E4966" t="str">
        <f>"70460"</f>
        <v>70460</v>
      </c>
    </row>
    <row r="4967" spans="1:5" x14ac:dyDescent="0.25">
      <c r="A4967" t="str">
        <f>"44200707  "</f>
        <v xml:space="preserve">44200707  </v>
      </c>
      <c r="B4967" t="s">
        <v>4745</v>
      </c>
      <c r="C4967">
        <v>965.8</v>
      </c>
      <c r="D4967" t="str">
        <f t="shared" si="238"/>
        <v>350</v>
      </c>
      <c r="E4967" t="str">
        <f>"70490"</f>
        <v>70490</v>
      </c>
    </row>
    <row r="4968" spans="1:5" x14ac:dyDescent="0.25">
      <c r="A4968" t="str">
        <f>"44200715  "</f>
        <v xml:space="preserve">44200715  </v>
      </c>
      <c r="B4968" t="s">
        <v>4746</v>
      </c>
      <c r="C4968" s="1">
        <v>1090.0999999999999</v>
      </c>
      <c r="D4968" t="str">
        <f t="shared" si="238"/>
        <v>350</v>
      </c>
      <c r="E4968" t="str">
        <f>"72126"</f>
        <v>72126</v>
      </c>
    </row>
    <row r="4969" spans="1:5" x14ac:dyDescent="0.25">
      <c r="A4969" t="str">
        <f>"44200723  "</f>
        <v xml:space="preserve">44200723  </v>
      </c>
      <c r="B4969" t="s">
        <v>4747</v>
      </c>
      <c r="C4969" s="1">
        <v>1026.3</v>
      </c>
      <c r="D4969" t="str">
        <f t="shared" si="238"/>
        <v>350</v>
      </c>
      <c r="E4969" t="str">
        <f>"72125"</f>
        <v>72125</v>
      </c>
    </row>
    <row r="4970" spans="1:5" x14ac:dyDescent="0.25">
      <c r="A4970" t="str">
        <f>"44200749  "</f>
        <v xml:space="preserve">44200749  </v>
      </c>
      <c r="B4970" t="s">
        <v>4748</v>
      </c>
      <c r="C4970" s="1">
        <v>1090.0999999999999</v>
      </c>
      <c r="D4970" t="str">
        <f t="shared" si="238"/>
        <v>350</v>
      </c>
      <c r="E4970" t="str">
        <f>"72128"</f>
        <v>72128</v>
      </c>
    </row>
    <row r="4971" spans="1:5" x14ac:dyDescent="0.25">
      <c r="A4971" t="str">
        <f>"44200764  "</f>
        <v xml:space="preserve">44200764  </v>
      </c>
      <c r="B4971" t="s">
        <v>4749</v>
      </c>
      <c r="C4971" s="1">
        <v>1056</v>
      </c>
      <c r="D4971" t="str">
        <f t="shared" si="238"/>
        <v>350</v>
      </c>
      <c r="E4971" t="str">
        <f>"72131"</f>
        <v>72131</v>
      </c>
    </row>
    <row r="4972" spans="1:5" x14ac:dyDescent="0.25">
      <c r="A4972" t="str">
        <f>"44200765"</f>
        <v>44200765</v>
      </c>
      <c r="B4972" t="s">
        <v>4750</v>
      </c>
      <c r="C4972" s="1">
        <v>1320</v>
      </c>
      <c r="D4972" t="str">
        <f t="shared" si="238"/>
        <v>350</v>
      </c>
      <c r="E4972" t="str">
        <f>"72132"</f>
        <v>72132</v>
      </c>
    </row>
    <row r="4973" spans="1:5" x14ac:dyDescent="0.25">
      <c r="A4973" t="str">
        <f>"44200772  "</f>
        <v xml:space="preserve">44200772  </v>
      </c>
      <c r="B4973" t="s">
        <v>4751</v>
      </c>
      <c r="C4973">
        <v>847</v>
      </c>
      <c r="D4973" t="str">
        <f t="shared" si="238"/>
        <v>350</v>
      </c>
      <c r="E4973" t="str">
        <f>"73700"</f>
        <v>73700</v>
      </c>
    </row>
    <row r="4974" spans="1:5" x14ac:dyDescent="0.25">
      <c r="A4974" t="str">
        <f>"44200814  "</f>
        <v xml:space="preserve">44200814  </v>
      </c>
      <c r="B4974" t="s">
        <v>4752</v>
      </c>
      <c r="C4974" s="1">
        <v>1224.3</v>
      </c>
      <c r="D4974" t="str">
        <f t="shared" si="238"/>
        <v>350</v>
      </c>
      <c r="E4974" t="str">
        <f>"77012"</f>
        <v>77012</v>
      </c>
    </row>
    <row r="4975" spans="1:5" x14ac:dyDescent="0.25">
      <c r="A4975" t="str">
        <f>"44200905  "</f>
        <v xml:space="preserve">44200905  </v>
      </c>
      <c r="B4975" t="s">
        <v>4753</v>
      </c>
      <c r="C4975">
        <v>918.5</v>
      </c>
      <c r="D4975" t="str">
        <f t="shared" si="238"/>
        <v>350</v>
      </c>
      <c r="E4975" t="str">
        <f>"70487"</f>
        <v>70487</v>
      </c>
    </row>
    <row r="4976" spans="1:5" x14ac:dyDescent="0.25">
      <c r="A4976" t="str">
        <f>"44200913  "</f>
        <v xml:space="preserve">44200913  </v>
      </c>
      <c r="B4976" t="s">
        <v>4754</v>
      </c>
      <c r="C4976">
        <v>811.8</v>
      </c>
      <c r="D4976" t="str">
        <f t="shared" si="238"/>
        <v>350</v>
      </c>
      <c r="E4976" t="str">
        <f>"70486"</f>
        <v>70486</v>
      </c>
    </row>
    <row r="4977" spans="1:5" x14ac:dyDescent="0.25">
      <c r="A4977" t="str">
        <f>"44200921  "</f>
        <v xml:space="preserve">44200921  </v>
      </c>
      <c r="B4977" t="s">
        <v>4755</v>
      </c>
      <c r="C4977">
        <v>276.10000000000002</v>
      </c>
      <c r="D4977" t="str">
        <f t="shared" si="238"/>
        <v>350</v>
      </c>
      <c r="E4977" t="str">
        <f>"76999"</f>
        <v>76999</v>
      </c>
    </row>
    <row r="4978" spans="1:5" x14ac:dyDescent="0.25">
      <c r="A4978" t="str">
        <f>"44201001"</f>
        <v>44201001</v>
      </c>
      <c r="B4978" t="s">
        <v>4756</v>
      </c>
      <c r="C4978">
        <v>715</v>
      </c>
      <c r="D4978" t="str">
        <f t="shared" si="238"/>
        <v>350</v>
      </c>
      <c r="E4978" t="str">
        <f>"73200"</f>
        <v>73200</v>
      </c>
    </row>
    <row r="4979" spans="1:5" x14ac:dyDescent="0.25">
      <c r="A4979" t="str">
        <f>"44201002  "</f>
        <v xml:space="preserve">44201002  </v>
      </c>
      <c r="B4979" t="s">
        <v>4757</v>
      </c>
      <c r="C4979">
        <v>535.70000000000005</v>
      </c>
      <c r="D4979" t="str">
        <f t="shared" si="238"/>
        <v>350</v>
      </c>
      <c r="E4979" t="str">
        <f>"77012"</f>
        <v>77012</v>
      </c>
    </row>
    <row r="4980" spans="1:5" x14ac:dyDescent="0.25">
      <c r="A4980" t="str">
        <f>"44201003"</f>
        <v>44201003</v>
      </c>
      <c r="B4980" t="s">
        <v>4758</v>
      </c>
      <c r="C4980">
        <v>715</v>
      </c>
      <c r="D4980" t="str">
        <f t="shared" si="238"/>
        <v>350</v>
      </c>
      <c r="E4980" t="str">
        <f>"73200"</f>
        <v>73200</v>
      </c>
    </row>
    <row r="4981" spans="1:5" x14ac:dyDescent="0.25">
      <c r="A4981" t="str">
        <f>"44201010  "</f>
        <v xml:space="preserve">44201010  </v>
      </c>
      <c r="B4981" t="s">
        <v>4759</v>
      </c>
      <c r="C4981">
        <v>918.5</v>
      </c>
      <c r="D4981" t="str">
        <f t="shared" si="238"/>
        <v>350</v>
      </c>
      <c r="E4981" t="str">
        <f>"70450"</f>
        <v>70450</v>
      </c>
    </row>
    <row r="4982" spans="1:5" x14ac:dyDescent="0.25">
      <c r="A4982" t="str">
        <f>"44201093  "</f>
        <v xml:space="preserve">44201093  </v>
      </c>
      <c r="B4982" t="s">
        <v>4760</v>
      </c>
      <c r="C4982">
        <v>605</v>
      </c>
      <c r="D4982" t="str">
        <f t="shared" si="238"/>
        <v>350</v>
      </c>
      <c r="E4982" t="str">
        <f>"73700"</f>
        <v>73700</v>
      </c>
    </row>
    <row r="4983" spans="1:5" x14ac:dyDescent="0.25">
      <c r="A4983" t="str">
        <f>"44201137"</f>
        <v>44201137</v>
      </c>
      <c r="B4983" t="s">
        <v>4731</v>
      </c>
      <c r="C4983" s="1">
        <v>1100</v>
      </c>
      <c r="D4983" t="str">
        <f t="shared" si="238"/>
        <v>350</v>
      </c>
      <c r="E4983" t="str">
        <f>"73700"</f>
        <v>73700</v>
      </c>
    </row>
    <row r="4984" spans="1:5" x14ac:dyDescent="0.25">
      <c r="A4984" t="str">
        <f>"44201224"</f>
        <v>44201224</v>
      </c>
      <c r="B4984" t="s">
        <v>4761</v>
      </c>
      <c r="C4984">
        <v>847</v>
      </c>
      <c r="D4984" t="str">
        <f t="shared" si="238"/>
        <v>350</v>
      </c>
      <c r="E4984" t="str">
        <f>"73200"</f>
        <v>73200</v>
      </c>
    </row>
    <row r="4985" spans="1:5" x14ac:dyDescent="0.25">
      <c r="A4985" t="str">
        <f>"44206001  "</f>
        <v xml:space="preserve">44206001  </v>
      </c>
      <c r="B4985" t="s">
        <v>4762</v>
      </c>
      <c r="C4985">
        <v>165</v>
      </c>
      <c r="D4985" t="str">
        <f t="shared" si="238"/>
        <v>350</v>
      </c>
      <c r="E4985" t="str">
        <f>"76999"</f>
        <v>76999</v>
      </c>
    </row>
    <row r="4986" spans="1:5" x14ac:dyDescent="0.25">
      <c r="A4986" t="str">
        <f>"44207009  "</f>
        <v xml:space="preserve">44207009  </v>
      </c>
      <c r="B4986" t="s">
        <v>4763</v>
      </c>
      <c r="C4986" s="1">
        <v>1035.0999999999999</v>
      </c>
      <c r="D4986" t="str">
        <f t="shared" si="238"/>
        <v>350</v>
      </c>
      <c r="E4986" t="str">
        <f>"70486"</f>
        <v>70486</v>
      </c>
    </row>
    <row r="4987" spans="1:5" x14ac:dyDescent="0.25">
      <c r="A4987" t="str">
        <f>"44210002"</f>
        <v>44210002</v>
      </c>
      <c r="B4987" t="s">
        <v>4764</v>
      </c>
      <c r="C4987">
        <v>880</v>
      </c>
      <c r="D4987" t="str">
        <f t="shared" si="238"/>
        <v>350</v>
      </c>
      <c r="E4987" t="str">
        <f>"73200"</f>
        <v>73200</v>
      </c>
    </row>
    <row r="4988" spans="1:5" x14ac:dyDescent="0.25">
      <c r="A4988" t="str">
        <f>"44210020"</f>
        <v>44210020</v>
      </c>
      <c r="B4988" t="s">
        <v>4765</v>
      </c>
      <c r="C4988" s="1">
        <v>1100</v>
      </c>
      <c r="D4988" t="str">
        <f t="shared" si="238"/>
        <v>350</v>
      </c>
      <c r="E4988" t="str">
        <f>"73700"</f>
        <v>73700</v>
      </c>
    </row>
    <row r="4989" spans="1:5" x14ac:dyDescent="0.25">
      <c r="A4989" t="str">
        <f>"44224400"</f>
        <v>44224400</v>
      </c>
      <c r="B4989" t="s">
        <v>4766</v>
      </c>
      <c r="C4989">
        <v>880</v>
      </c>
      <c r="D4989" t="str">
        <f t="shared" si="238"/>
        <v>350</v>
      </c>
      <c r="E4989" t="str">
        <f>"73700"</f>
        <v>73700</v>
      </c>
    </row>
    <row r="4990" spans="1:5" x14ac:dyDescent="0.25">
      <c r="A4990" t="str">
        <f>"44245677"</f>
        <v>44245677</v>
      </c>
      <c r="B4990" t="s">
        <v>4767</v>
      </c>
      <c r="C4990" s="1">
        <v>1100</v>
      </c>
      <c r="D4990" t="str">
        <f t="shared" si="238"/>
        <v>350</v>
      </c>
      <c r="E4990" t="str">
        <f>"70492"</f>
        <v>70492</v>
      </c>
    </row>
    <row r="4991" spans="1:5" x14ac:dyDescent="0.25">
      <c r="A4991" t="str">
        <f>"44245688"</f>
        <v>44245688</v>
      </c>
      <c r="B4991" t="s">
        <v>4768</v>
      </c>
      <c r="C4991">
        <v>990</v>
      </c>
      <c r="D4991" t="str">
        <f t="shared" si="238"/>
        <v>350</v>
      </c>
      <c r="E4991" t="str">
        <f>"70491"</f>
        <v>70491</v>
      </c>
    </row>
    <row r="4992" spans="1:5" x14ac:dyDescent="0.25">
      <c r="A4992" t="str">
        <f>"44245689"</f>
        <v>44245689</v>
      </c>
      <c r="B4992" t="s">
        <v>4769</v>
      </c>
      <c r="C4992" s="1">
        <v>1100</v>
      </c>
      <c r="D4992" t="str">
        <f t="shared" si="238"/>
        <v>350</v>
      </c>
      <c r="E4992" t="str">
        <f>"73700"</f>
        <v>73700</v>
      </c>
    </row>
    <row r="4993" spans="1:5" x14ac:dyDescent="0.25">
      <c r="A4993" t="str">
        <f>"44500007  "</f>
        <v xml:space="preserve">44500007  </v>
      </c>
      <c r="B4993" t="s">
        <v>4770</v>
      </c>
      <c r="C4993">
        <v>0</v>
      </c>
      <c r="D4993" t="str">
        <f>"730"</f>
        <v>730</v>
      </c>
      <c r="E4993" t="str">
        <f>"93799"</f>
        <v>93799</v>
      </c>
    </row>
    <row r="4994" spans="1:5" x14ac:dyDescent="0.25">
      <c r="A4994" t="str">
        <f>"44500056  "</f>
        <v xml:space="preserve">44500056  </v>
      </c>
      <c r="B4994" t="s">
        <v>4771</v>
      </c>
      <c r="C4994">
        <v>327.8</v>
      </c>
      <c r="D4994" t="str">
        <f>"730"</f>
        <v>730</v>
      </c>
      <c r="E4994" t="str">
        <f>"93040"</f>
        <v>93040</v>
      </c>
    </row>
    <row r="4995" spans="1:5" x14ac:dyDescent="0.25">
      <c r="A4995" t="str">
        <f>"44500106  "</f>
        <v xml:space="preserve">44500106  </v>
      </c>
      <c r="B4995" t="s">
        <v>4772</v>
      </c>
      <c r="C4995">
        <v>82.5</v>
      </c>
      <c r="D4995" t="str">
        <f>"730"</f>
        <v>730</v>
      </c>
    </row>
    <row r="4996" spans="1:5" x14ac:dyDescent="0.25">
      <c r="A4996" t="str">
        <f>"41100058  "</f>
        <v xml:space="preserve">41100058  </v>
      </c>
      <c r="B4996" t="s">
        <v>4773</v>
      </c>
      <c r="C4996">
        <v>354.2</v>
      </c>
      <c r="D4996" t="str">
        <f>"480"</f>
        <v>480</v>
      </c>
      <c r="E4996" t="str">
        <f>"93307"</f>
        <v>93307</v>
      </c>
    </row>
    <row r="4997" spans="1:5" x14ac:dyDescent="0.25">
      <c r="A4997" t="str">
        <f>"41100082  "</f>
        <v xml:space="preserve">41100082  </v>
      </c>
      <c r="B4997" t="s">
        <v>4774</v>
      </c>
      <c r="C4997">
        <v>244.2</v>
      </c>
      <c r="D4997" t="str">
        <f>"480"</f>
        <v>480</v>
      </c>
      <c r="E4997" t="str">
        <f>"93320"</f>
        <v>93320</v>
      </c>
    </row>
    <row r="4998" spans="1:5" x14ac:dyDescent="0.25">
      <c r="A4998" t="str">
        <f>"41300104  "</f>
        <v xml:space="preserve">41300104  </v>
      </c>
      <c r="B4998" t="s">
        <v>4775</v>
      </c>
      <c r="C4998">
        <v>246.4</v>
      </c>
      <c r="D4998" t="str">
        <f>"740"</f>
        <v>740</v>
      </c>
      <c r="E4998" t="str">
        <f>"93278"</f>
        <v>93278</v>
      </c>
    </row>
    <row r="4999" spans="1:5" x14ac:dyDescent="0.25">
      <c r="A4999" t="str">
        <f>"41400060"</f>
        <v>41400060</v>
      </c>
      <c r="B4999" t="s">
        <v>4776</v>
      </c>
      <c r="C4999" s="1">
        <v>1430</v>
      </c>
      <c r="D4999" t="str">
        <f>"610"</f>
        <v>610</v>
      </c>
    </row>
    <row r="5000" spans="1:5" x14ac:dyDescent="0.25">
      <c r="A5000" t="str">
        <f>"41401522  "</f>
        <v xml:space="preserve">41401522  </v>
      </c>
      <c r="B5000" t="s">
        <v>4777</v>
      </c>
      <c r="C5000" s="1">
        <v>1484.23</v>
      </c>
      <c r="D5000" t="str">
        <f>"611"</f>
        <v>611</v>
      </c>
      <c r="E5000" t="str">
        <f>"70553"</f>
        <v>70553</v>
      </c>
    </row>
    <row r="5001" spans="1:5" x14ac:dyDescent="0.25">
      <c r="A5001" t="str">
        <f>"41402116  "</f>
        <v xml:space="preserve">41402116  </v>
      </c>
      <c r="B5001" t="s">
        <v>4778</v>
      </c>
      <c r="C5001" s="1">
        <v>1530.43</v>
      </c>
      <c r="D5001" t="str">
        <f>"610"</f>
        <v>610</v>
      </c>
      <c r="E5001" t="str">
        <f>"71550"</f>
        <v>71550</v>
      </c>
    </row>
    <row r="5002" spans="1:5" x14ac:dyDescent="0.25">
      <c r="A5002" t="str">
        <f>"41406661  "</f>
        <v xml:space="preserve">41406661  </v>
      </c>
      <c r="B5002" t="s">
        <v>4779</v>
      </c>
      <c r="C5002" s="1">
        <v>1577.73</v>
      </c>
      <c r="D5002" t="str">
        <f>"610"</f>
        <v>610</v>
      </c>
      <c r="E5002" t="str">
        <f>"70540"</f>
        <v>70540</v>
      </c>
    </row>
    <row r="5003" spans="1:5" x14ac:dyDescent="0.25">
      <c r="A5003" t="str">
        <f>"41407065  "</f>
        <v xml:space="preserve">41407065  </v>
      </c>
      <c r="B5003" t="s">
        <v>4780</v>
      </c>
      <c r="C5003" s="1">
        <v>1577.73</v>
      </c>
      <c r="D5003" t="str">
        <f>"610"</f>
        <v>610</v>
      </c>
      <c r="E5003" t="str">
        <f>"72196"</f>
        <v>72196</v>
      </c>
    </row>
    <row r="5004" spans="1:5" x14ac:dyDescent="0.25">
      <c r="A5004" t="str">
        <f>"41407917  "</f>
        <v xml:space="preserve">41407917  </v>
      </c>
      <c r="B5004" t="s">
        <v>4781</v>
      </c>
      <c r="C5004">
        <v>168.63</v>
      </c>
      <c r="D5004" t="str">
        <f>"610"</f>
        <v>610</v>
      </c>
      <c r="E5004" t="str">
        <f>"76499"</f>
        <v>76499</v>
      </c>
    </row>
    <row r="5005" spans="1:5" x14ac:dyDescent="0.25">
      <c r="A5005" t="str">
        <f>"41408667  "</f>
        <v xml:space="preserve">41408667  </v>
      </c>
      <c r="B5005" t="s">
        <v>4782</v>
      </c>
      <c r="C5005" s="1">
        <v>1577.73</v>
      </c>
      <c r="D5005" t="str">
        <f>"612"</f>
        <v>612</v>
      </c>
      <c r="E5005" t="str">
        <f>"72141"</f>
        <v>72141</v>
      </c>
    </row>
    <row r="5006" spans="1:5" x14ac:dyDescent="0.25">
      <c r="A5006" t="str">
        <f>"41409004  "</f>
        <v xml:space="preserve">41409004  </v>
      </c>
      <c r="B5006" t="s">
        <v>4783</v>
      </c>
      <c r="C5006" s="1">
        <v>1502.71</v>
      </c>
      <c r="D5006" t="str">
        <f>"610"</f>
        <v>610</v>
      </c>
      <c r="E5006" t="str">
        <f>"73221"</f>
        <v>73221</v>
      </c>
    </row>
    <row r="5007" spans="1:5" x14ac:dyDescent="0.25">
      <c r="A5007" t="str">
        <f>"41409012  "</f>
        <v xml:space="preserve">41409012  </v>
      </c>
      <c r="B5007" t="s">
        <v>4784</v>
      </c>
      <c r="C5007">
        <v>918.5</v>
      </c>
      <c r="D5007" t="str">
        <f>"619"</f>
        <v>619</v>
      </c>
      <c r="E5007" t="str">
        <f>"70336"</f>
        <v>70336</v>
      </c>
    </row>
    <row r="5008" spans="1:5" x14ac:dyDescent="0.25">
      <c r="A5008" t="str">
        <f>"41410044  "</f>
        <v xml:space="preserve">41410044  </v>
      </c>
      <c r="B5008" t="s">
        <v>4785</v>
      </c>
      <c r="C5008">
        <v>279.51</v>
      </c>
      <c r="D5008" t="str">
        <f>"619"</f>
        <v>619</v>
      </c>
      <c r="E5008" t="str">
        <f>"96374"</f>
        <v>96374</v>
      </c>
    </row>
    <row r="5009" spans="1:5" x14ac:dyDescent="0.25">
      <c r="A5009" t="str">
        <f>"41410218  "</f>
        <v xml:space="preserve">41410218  </v>
      </c>
      <c r="B5009" t="s">
        <v>4786</v>
      </c>
      <c r="C5009" s="1">
        <v>1502.71</v>
      </c>
      <c r="D5009" t="str">
        <f>"610"</f>
        <v>610</v>
      </c>
      <c r="E5009" t="str">
        <f>"73220"</f>
        <v>73220</v>
      </c>
    </row>
    <row r="5010" spans="1:5" x14ac:dyDescent="0.25">
      <c r="A5010" t="str">
        <f>"41410663  "</f>
        <v xml:space="preserve">41410663  </v>
      </c>
      <c r="B5010" t="s">
        <v>4787</v>
      </c>
      <c r="C5010" s="1">
        <v>1431.1</v>
      </c>
      <c r="D5010" t="str">
        <f>"612"</f>
        <v>612</v>
      </c>
      <c r="E5010" t="str">
        <f>"76499"</f>
        <v>76499</v>
      </c>
    </row>
    <row r="5011" spans="1:5" x14ac:dyDescent="0.25">
      <c r="A5011" t="str">
        <f>"41410671  "</f>
        <v xml:space="preserve">41410671  </v>
      </c>
      <c r="B5011" t="s">
        <v>4788</v>
      </c>
      <c r="C5011" s="1">
        <v>1182.72</v>
      </c>
      <c r="D5011" t="str">
        <f>"612"</f>
        <v>612</v>
      </c>
      <c r="E5011" t="str">
        <f>"76499"</f>
        <v>76499</v>
      </c>
    </row>
    <row r="5012" spans="1:5" x14ac:dyDescent="0.25">
      <c r="A5012" t="str">
        <f>"41410747  "</f>
        <v xml:space="preserve">41410747  </v>
      </c>
      <c r="B5012" t="s">
        <v>4789</v>
      </c>
      <c r="C5012" s="1">
        <v>1431.1</v>
      </c>
      <c r="D5012" t="str">
        <f>"611"</f>
        <v>611</v>
      </c>
      <c r="E5012" t="str">
        <f>"70551"</f>
        <v>70551</v>
      </c>
    </row>
    <row r="5013" spans="1:5" x14ac:dyDescent="0.25">
      <c r="A5013" t="str">
        <f>"41410788  "</f>
        <v xml:space="preserve">41410788  </v>
      </c>
      <c r="B5013" t="s">
        <v>4790</v>
      </c>
      <c r="C5013">
        <v>987.58</v>
      </c>
      <c r="D5013" t="str">
        <f>"610"</f>
        <v>610</v>
      </c>
      <c r="E5013" t="str">
        <f>"73721"</f>
        <v>73721</v>
      </c>
    </row>
    <row r="5014" spans="1:5" x14ac:dyDescent="0.25">
      <c r="A5014" t="str">
        <f>"41414567"</f>
        <v>41414567</v>
      </c>
      <c r="B5014" t="s">
        <v>4791</v>
      </c>
      <c r="C5014" s="1">
        <v>1573</v>
      </c>
      <c r="D5014" t="str">
        <f>"610"</f>
        <v>610</v>
      </c>
      <c r="E5014" t="str">
        <f>"72148"</f>
        <v>72148</v>
      </c>
    </row>
    <row r="5015" spans="1:5" x14ac:dyDescent="0.25">
      <c r="A5015" t="str">
        <f>"41417275"</f>
        <v>41417275</v>
      </c>
      <c r="B5015" t="s">
        <v>4792</v>
      </c>
      <c r="C5015" s="1">
        <v>1430</v>
      </c>
      <c r="D5015" t="str">
        <f>"610"</f>
        <v>610</v>
      </c>
      <c r="E5015" t="str">
        <f>"70540"</f>
        <v>70540</v>
      </c>
    </row>
    <row r="5016" spans="1:5" x14ac:dyDescent="0.25">
      <c r="A5016" t="str">
        <f>"41423456"</f>
        <v>41423456</v>
      </c>
      <c r="B5016" t="s">
        <v>4793</v>
      </c>
      <c r="C5016" s="1">
        <v>1573</v>
      </c>
      <c r="D5016" t="str">
        <f>"610"</f>
        <v>610</v>
      </c>
      <c r="E5016" t="str">
        <f>"72146"</f>
        <v>72146</v>
      </c>
    </row>
    <row r="5017" spans="1:5" x14ac:dyDescent="0.25">
      <c r="A5017" t="str">
        <f>"41424511"</f>
        <v>41424511</v>
      </c>
      <c r="B5017" t="s">
        <v>4794</v>
      </c>
      <c r="C5017" s="1">
        <v>1430</v>
      </c>
      <c r="D5017" t="str">
        <f>"610"</f>
        <v>610</v>
      </c>
      <c r="E5017" t="str">
        <f>"70540"</f>
        <v>70540</v>
      </c>
    </row>
    <row r="5018" spans="1:5" x14ac:dyDescent="0.25">
      <c r="A5018" t="str">
        <f>"41470010"</f>
        <v>41470010</v>
      </c>
      <c r="B5018" t="s">
        <v>4795</v>
      </c>
      <c r="C5018" s="1">
        <v>1430</v>
      </c>
      <c r="D5018" t="str">
        <f>"611"</f>
        <v>611</v>
      </c>
      <c r="E5018" t="str">
        <f>"70544"</f>
        <v>70544</v>
      </c>
    </row>
    <row r="5019" spans="1:5" x14ac:dyDescent="0.25">
      <c r="A5019" t="str">
        <f>"42000810  "</f>
        <v xml:space="preserve">42000810  </v>
      </c>
      <c r="B5019" t="s">
        <v>4796</v>
      </c>
      <c r="C5019">
        <v>55</v>
      </c>
      <c r="D5019" t="str">
        <f>"440"</f>
        <v>440</v>
      </c>
      <c r="E5019" t="str">
        <f>"92506"</f>
        <v>92506</v>
      </c>
    </row>
    <row r="5020" spans="1:5" x14ac:dyDescent="0.25">
      <c r="A5020" t="str">
        <f>"42000836  "</f>
        <v xml:space="preserve">42000836  </v>
      </c>
      <c r="B5020" t="s">
        <v>4797</v>
      </c>
      <c r="C5020">
        <v>55</v>
      </c>
      <c r="D5020" t="str">
        <f>"420"</f>
        <v>420</v>
      </c>
      <c r="E5020" t="str">
        <f>"92555"</f>
        <v>92555</v>
      </c>
    </row>
    <row r="5021" spans="1:5" x14ac:dyDescent="0.25">
      <c r="A5021" t="str">
        <f>"42000885  "</f>
        <v xml:space="preserve">42000885  </v>
      </c>
      <c r="B5021" t="s">
        <v>4798</v>
      </c>
      <c r="C5021">
        <v>39.6</v>
      </c>
      <c r="D5021" t="str">
        <f>"420"</f>
        <v>420</v>
      </c>
      <c r="E5021" t="str">
        <f>"92506"</f>
        <v>92506</v>
      </c>
    </row>
    <row r="5022" spans="1:5" x14ac:dyDescent="0.25">
      <c r="A5022" t="str">
        <f>"42000901  "</f>
        <v xml:space="preserve">42000901  </v>
      </c>
      <c r="B5022" t="s">
        <v>4799</v>
      </c>
      <c r="C5022">
        <v>55</v>
      </c>
      <c r="D5022" t="str">
        <f>"420"</f>
        <v>420</v>
      </c>
      <c r="E5022" t="str">
        <f>"92507"</f>
        <v>92507</v>
      </c>
    </row>
    <row r="5023" spans="1:5" x14ac:dyDescent="0.25">
      <c r="A5023" t="str">
        <f>"47901012  "</f>
        <v xml:space="preserve">47901012  </v>
      </c>
      <c r="B5023" t="s">
        <v>4800</v>
      </c>
      <c r="C5023">
        <v>55</v>
      </c>
      <c r="D5023" t="str">
        <f>"430"</f>
        <v>430</v>
      </c>
      <c r="E5023" t="str">
        <f>"97530"</f>
        <v>97530</v>
      </c>
    </row>
    <row r="5024" spans="1:5" x14ac:dyDescent="0.25">
      <c r="A5024" t="str">
        <f>"47910005  "</f>
        <v xml:space="preserve">47910005  </v>
      </c>
      <c r="B5024" t="s">
        <v>4801</v>
      </c>
      <c r="C5024">
        <v>154</v>
      </c>
      <c r="D5024" t="str">
        <f>"434"</f>
        <v>434</v>
      </c>
      <c r="E5024" t="str">
        <f>"97003"</f>
        <v>97003</v>
      </c>
    </row>
    <row r="5025" spans="1:5" x14ac:dyDescent="0.25">
      <c r="A5025" t="str">
        <f>"47910013  "</f>
        <v xml:space="preserve">47910013  </v>
      </c>
      <c r="B5025" t="s">
        <v>4802</v>
      </c>
      <c r="C5025">
        <v>60.5</v>
      </c>
      <c r="D5025" t="str">
        <f>"430"</f>
        <v>430</v>
      </c>
      <c r="E5025" t="str">
        <f>"97530"</f>
        <v>97530</v>
      </c>
    </row>
    <row r="5026" spans="1:5" x14ac:dyDescent="0.25">
      <c r="A5026" t="str">
        <f>"47910021  "</f>
        <v xml:space="preserve">47910021  </v>
      </c>
      <c r="B5026" t="s">
        <v>4803</v>
      </c>
      <c r="C5026">
        <v>60.5</v>
      </c>
      <c r="D5026" t="str">
        <f>"430"</f>
        <v>430</v>
      </c>
      <c r="E5026" t="str">
        <f>"97532"</f>
        <v>97532</v>
      </c>
    </row>
    <row r="5027" spans="1:5" x14ac:dyDescent="0.25">
      <c r="A5027" t="str">
        <f>"47910039  "</f>
        <v xml:space="preserve">47910039  </v>
      </c>
      <c r="B5027" t="s">
        <v>4804</v>
      </c>
      <c r="C5027">
        <v>60.5</v>
      </c>
      <c r="D5027" t="str">
        <f>"430"</f>
        <v>430</v>
      </c>
      <c r="E5027" t="str">
        <f>"97530"</f>
        <v>97530</v>
      </c>
    </row>
    <row r="5028" spans="1:5" x14ac:dyDescent="0.25">
      <c r="A5028" t="str">
        <f>"47910047  "</f>
        <v xml:space="preserve">47910047  </v>
      </c>
      <c r="B5028" t="s">
        <v>4805</v>
      </c>
      <c r="C5028">
        <v>60.5</v>
      </c>
      <c r="D5028" t="str">
        <f>"430"</f>
        <v>430</v>
      </c>
      <c r="E5028" t="str">
        <f>"97535"</f>
        <v>97535</v>
      </c>
    </row>
    <row r="5029" spans="1:5" x14ac:dyDescent="0.25">
      <c r="A5029" t="str">
        <f>"50600006  "</f>
        <v xml:space="preserve">50600006  </v>
      </c>
      <c r="B5029" t="s">
        <v>4806</v>
      </c>
      <c r="C5029">
        <v>22</v>
      </c>
      <c r="D5029" t="str">
        <f>"300"</f>
        <v>300</v>
      </c>
      <c r="E5029" t="str">
        <f>"36415"</f>
        <v>36415</v>
      </c>
    </row>
    <row r="5030" spans="1:5" x14ac:dyDescent="0.25">
      <c r="A5030" t="str">
        <f>"51400554  "</f>
        <v xml:space="preserve">51400554  </v>
      </c>
      <c r="B5030" t="s">
        <v>2809</v>
      </c>
      <c r="C5030">
        <v>60.49</v>
      </c>
      <c r="D5030" t="str">
        <f t="shared" ref="D5030:D5061" si="239">"320"</f>
        <v>320</v>
      </c>
      <c r="E5030" t="str">
        <f>"74220"</f>
        <v>74220</v>
      </c>
    </row>
    <row r="5031" spans="1:5" x14ac:dyDescent="0.25">
      <c r="A5031" t="str">
        <f>"51400562  "</f>
        <v xml:space="preserve">51400562  </v>
      </c>
      <c r="B5031" t="s">
        <v>4807</v>
      </c>
      <c r="C5031">
        <v>51.82</v>
      </c>
      <c r="D5031" t="str">
        <f t="shared" si="239"/>
        <v>320</v>
      </c>
      <c r="E5031" t="str">
        <f>"76000"</f>
        <v>76000</v>
      </c>
    </row>
    <row r="5032" spans="1:5" x14ac:dyDescent="0.25">
      <c r="A5032" t="str">
        <f>"51400588  "</f>
        <v xml:space="preserve">51400588  </v>
      </c>
      <c r="B5032" t="s">
        <v>2812</v>
      </c>
      <c r="C5032">
        <v>63.14</v>
      </c>
      <c r="D5032" t="str">
        <f t="shared" si="239"/>
        <v>320</v>
      </c>
      <c r="E5032" t="str">
        <f>"76499"</f>
        <v>76499</v>
      </c>
    </row>
    <row r="5033" spans="1:5" x14ac:dyDescent="0.25">
      <c r="A5033" t="str">
        <f>"51400596  "</f>
        <v xml:space="preserve">51400596  </v>
      </c>
      <c r="B5033" t="s">
        <v>2813</v>
      </c>
      <c r="C5033">
        <v>25.36</v>
      </c>
      <c r="D5033" t="str">
        <f t="shared" si="239"/>
        <v>320</v>
      </c>
      <c r="E5033" t="str">
        <f>"70160"</f>
        <v>70160</v>
      </c>
    </row>
    <row r="5034" spans="1:5" x14ac:dyDescent="0.25">
      <c r="A5034" t="str">
        <f>"51400604  "</f>
        <v xml:space="preserve">51400604  </v>
      </c>
      <c r="B5034" t="s">
        <v>2814</v>
      </c>
      <c r="C5034">
        <v>29.59</v>
      </c>
      <c r="D5034" t="str">
        <f t="shared" si="239"/>
        <v>320</v>
      </c>
      <c r="E5034" t="str">
        <f>"70140"</f>
        <v>70140</v>
      </c>
    </row>
    <row r="5035" spans="1:5" x14ac:dyDescent="0.25">
      <c r="A5035" t="str">
        <f>"51400612  "</f>
        <v xml:space="preserve">51400612  </v>
      </c>
      <c r="B5035" t="s">
        <v>2815</v>
      </c>
      <c r="C5035">
        <v>39.24</v>
      </c>
      <c r="D5035" t="str">
        <f t="shared" si="239"/>
        <v>320</v>
      </c>
      <c r="E5035" t="str">
        <f>"70200"</f>
        <v>70200</v>
      </c>
    </row>
    <row r="5036" spans="1:5" x14ac:dyDescent="0.25">
      <c r="A5036" t="str">
        <f>"51400620  "</f>
        <v xml:space="preserve">51400620  </v>
      </c>
      <c r="B5036" t="s">
        <v>4808</v>
      </c>
      <c r="C5036">
        <v>27.1</v>
      </c>
      <c r="D5036" t="str">
        <f t="shared" si="239"/>
        <v>320</v>
      </c>
      <c r="E5036" t="str">
        <f>"73550"</f>
        <v>73550</v>
      </c>
    </row>
    <row r="5037" spans="1:5" x14ac:dyDescent="0.25">
      <c r="A5037" t="str">
        <f>"51400638  "</f>
        <v xml:space="preserve">51400638  </v>
      </c>
      <c r="B5037" t="s">
        <v>2817</v>
      </c>
      <c r="C5037">
        <v>20.14</v>
      </c>
      <c r="D5037" t="str">
        <f t="shared" si="239"/>
        <v>320</v>
      </c>
      <c r="E5037" t="str">
        <f>"73140"</f>
        <v>73140</v>
      </c>
    </row>
    <row r="5038" spans="1:5" x14ac:dyDescent="0.25">
      <c r="A5038" t="str">
        <f>"51400646  "</f>
        <v xml:space="preserve">51400646  </v>
      </c>
      <c r="B5038" t="s">
        <v>2818</v>
      </c>
      <c r="C5038">
        <v>59.52</v>
      </c>
      <c r="D5038" t="str">
        <f t="shared" si="239"/>
        <v>320</v>
      </c>
      <c r="E5038" t="str">
        <f>"76080"</f>
        <v>76080</v>
      </c>
    </row>
    <row r="5039" spans="1:5" x14ac:dyDescent="0.25">
      <c r="A5039" t="str">
        <f>"51400653  "</f>
        <v xml:space="preserve">51400653  </v>
      </c>
      <c r="B5039" t="s">
        <v>2819</v>
      </c>
      <c r="C5039">
        <v>51.82</v>
      </c>
      <c r="D5039" t="str">
        <f t="shared" si="239"/>
        <v>320</v>
      </c>
      <c r="E5039" t="str">
        <f>"76000"</f>
        <v>76000</v>
      </c>
    </row>
    <row r="5040" spans="1:5" x14ac:dyDescent="0.25">
      <c r="A5040" t="str">
        <f>"51400661  "</f>
        <v xml:space="preserve">51400661  </v>
      </c>
      <c r="B5040" t="s">
        <v>2821</v>
      </c>
      <c r="C5040">
        <v>25.69</v>
      </c>
      <c r="D5040" t="str">
        <f t="shared" si="239"/>
        <v>320</v>
      </c>
      <c r="E5040" t="str">
        <f>"73630"</f>
        <v>73630</v>
      </c>
    </row>
    <row r="5041" spans="1:5" x14ac:dyDescent="0.25">
      <c r="A5041" t="str">
        <f>"51400679  "</f>
        <v xml:space="preserve">51400679  </v>
      </c>
      <c r="B5041" t="s">
        <v>2822</v>
      </c>
      <c r="C5041">
        <v>23.79</v>
      </c>
      <c r="D5041" t="str">
        <f t="shared" si="239"/>
        <v>320</v>
      </c>
      <c r="E5041" t="str">
        <f>"73620"</f>
        <v>73620</v>
      </c>
    </row>
    <row r="5042" spans="1:5" x14ac:dyDescent="0.25">
      <c r="A5042" t="str">
        <f>"51400687  "</f>
        <v xml:space="preserve">51400687  </v>
      </c>
      <c r="B5042" t="s">
        <v>2823</v>
      </c>
      <c r="C5042">
        <v>24.84</v>
      </c>
      <c r="D5042" t="str">
        <f t="shared" si="239"/>
        <v>320</v>
      </c>
      <c r="E5042" t="str">
        <f>"73090"</f>
        <v>73090</v>
      </c>
    </row>
    <row r="5043" spans="1:5" x14ac:dyDescent="0.25">
      <c r="A5043" t="str">
        <f>"51400695  "</f>
        <v xml:space="preserve">51400695  </v>
      </c>
      <c r="B5043" t="s">
        <v>4809</v>
      </c>
      <c r="C5043">
        <v>23.79</v>
      </c>
      <c r="D5043" t="str">
        <f t="shared" si="239"/>
        <v>320</v>
      </c>
      <c r="E5043" t="str">
        <f>"73120"</f>
        <v>73120</v>
      </c>
    </row>
    <row r="5044" spans="1:5" x14ac:dyDescent="0.25">
      <c r="A5044" t="str">
        <f>"51400703  "</f>
        <v xml:space="preserve">51400703  </v>
      </c>
      <c r="B5044" t="s">
        <v>4810</v>
      </c>
      <c r="C5044">
        <v>23.79</v>
      </c>
      <c r="D5044" t="str">
        <f t="shared" si="239"/>
        <v>320</v>
      </c>
      <c r="E5044" t="str">
        <f>"73120"</f>
        <v>73120</v>
      </c>
    </row>
    <row r="5045" spans="1:5" x14ac:dyDescent="0.25">
      <c r="A5045" t="str">
        <f>"51400711  "</f>
        <v xml:space="preserve">51400711  </v>
      </c>
      <c r="B5045" t="s">
        <v>2826</v>
      </c>
      <c r="C5045">
        <v>34.35</v>
      </c>
      <c r="D5045" t="str">
        <f t="shared" si="239"/>
        <v>320</v>
      </c>
      <c r="E5045" t="str">
        <f>"73520"</f>
        <v>73520</v>
      </c>
    </row>
    <row r="5046" spans="1:5" x14ac:dyDescent="0.25">
      <c r="A5046" t="str">
        <f>"51400729  "</f>
        <v xml:space="preserve">51400729  </v>
      </c>
      <c r="B5046" t="s">
        <v>4811</v>
      </c>
      <c r="C5046">
        <v>28.51</v>
      </c>
      <c r="D5046" t="str">
        <f t="shared" si="239"/>
        <v>320</v>
      </c>
      <c r="E5046" t="str">
        <f>"73540"</f>
        <v>73540</v>
      </c>
    </row>
    <row r="5047" spans="1:5" x14ac:dyDescent="0.25">
      <c r="A5047" t="str">
        <f>"51400737  "</f>
        <v xml:space="preserve">51400737  </v>
      </c>
      <c r="B5047" t="s">
        <v>2827</v>
      </c>
      <c r="C5047">
        <v>23.66</v>
      </c>
      <c r="D5047" t="str">
        <f t="shared" si="239"/>
        <v>320</v>
      </c>
      <c r="E5047" t="str">
        <f>"73500"</f>
        <v>73500</v>
      </c>
    </row>
    <row r="5048" spans="1:5" x14ac:dyDescent="0.25">
      <c r="A5048" t="str">
        <f>"51400745  "</f>
        <v xml:space="preserve">51400745  </v>
      </c>
      <c r="B5048" t="s">
        <v>2828</v>
      </c>
      <c r="C5048">
        <v>28.88</v>
      </c>
      <c r="D5048" t="str">
        <f t="shared" si="239"/>
        <v>320</v>
      </c>
      <c r="E5048" t="str">
        <f>"73510"</f>
        <v>73510</v>
      </c>
    </row>
    <row r="5049" spans="1:5" x14ac:dyDescent="0.25">
      <c r="A5049" t="str">
        <f>"51400752  "</f>
        <v xml:space="preserve">51400752  </v>
      </c>
      <c r="B5049" t="s">
        <v>4812</v>
      </c>
      <c r="C5049">
        <v>27.1</v>
      </c>
      <c r="D5049" t="str">
        <f t="shared" si="239"/>
        <v>320</v>
      </c>
      <c r="E5049" t="str">
        <f>"73060"</f>
        <v>73060</v>
      </c>
    </row>
    <row r="5050" spans="1:5" x14ac:dyDescent="0.25">
      <c r="A5050" t="str">
        <f>"51400760  "</f>
        <v xml:space="preserve">51400760  </v>
      </c>
      <c r="B5050" t="s">
        <v>4813</v>
      </c>
      <c r="C5050">
        <v>25.72</v>
      </c>
      <c r="D5050" t="str">
        <f t="shared" si="239"/>
        <v>320</v>
      </c>
      <c r="E5050" t="str">
        <f>"76010"</f>
        <v>76010</v>
      </c>
    </row>
    <row r="5051" spans="1:5" x14ac:dyDescent="0.25">
      <c r="A5051" t="str">
        <f>"51400778  "</f>
        <v xml:space="preserve">51400778  </v>
      </c>
      <c r="B5051" t="s">
        <v>4814</v>
      </c>
      <c r="C5051">
        <v>40.04</v>
      </c>
      <c r="D5051" t="str">
        <f t="shared" si="239"/>
        <v>320</v>
      </c>
      <c r="E5051" t="str">
        <f>"70134"</f>
        <v>70134</v>
      </c>
    </row>
    <row r="5052" spans="1:5" x14ac:dyDescent="0.25">
      <c r="A5052" t="str">
        <f>"51400786  "</f>
        <v xml:space="preserve">51400786  </v>
      </c>
      <c r="B5052" t="s">
        <v>4815</v>
      </c>
      <c r="C5052">
        <v>87.89</v>
      </c>
      <c r="D5052" t="str">
        <f t="shared" si="239"/>
        <v>320</v>
      </c>
      <c r="E5052" t="str">
        <f>"74410"</f>
        <v>74410</v>
      </c>
    </row>
    <row r="5053" spans="1:5" x14ac:dyDescent="0.25">
      <c r="A5053" t="str">
        <f>"51400794  "</f>
        <v xml:space="preserve">51400794  </v>
      </c>
      <c r="B5053" t="s">
        <v>4816</v>
      </c>
      <c r="C5053">
        <v>87.89</v>
      </c>
      <c r="D5053" t="str">
        <f t="shared" si="239"/>
        <v>320</v>
      </c>
      <c r="E5053" t="str">
        <f>"74410"</f>
        <v>74410</v>
      </c>
    </row>
    <row r="5054" spans="1:5" x14ac:dyDescent="0.25">
      <c r="A5054" t="str">
        <f>"51400802  "</f>
        <v xml:space="preserve">51400802  </v>
      </c>
      <c r="B5054" t="s">
        <v>2832</v>
      </c>
      <c r="C5054">
        <v>30.99</v>
      </c>
      <c r="D5054" t="str">
        <f t="shared" si="239"/>
        <v>320</v>
      </c>
      <c r="E5054" t="str">
        <f>"73562"</f>
        <v>73562</v>
      </c>
    </row>
    <row r="5055" spans="1:5" x14ac:dyDescent="0.25">
      <c r="A5055" t="str">
        <f>"51401081  "</f>
        <v xml:space="preserve">51401081  </v>
      </c>
      <c r="B5055" t="s">
        <v>2833</v>
      </c>
      <c r="C5055">
        <v>25.19</v>
      </c>
      <c r="D5055" t="str">
        <f t="shared" si="239"/>
        <v>320</v>
      </c>
      <c r="E5055" t="str">
        <f>"73560"</f>
        <v>73560</v>
      </c>
    </row>
    <row r="5056" spans="1:5" x14ac:dyDescent="0.25">
      <c r="A5056" t="str">
        <f>"51401099  "</f>
        <v xml:space="preserve">51401099  </v>
      </c>
      <c r="B5056" t="s">
        <v>4817</v>
      </c>
      <c r="C5056">
        <v>23.79</v>
      </c>
      <c r="D5056" t="str">
        <f t="shared" si="239"/>
        <v>320</v>
      </c>
      <c r="E5056" t="str">
        <f>"73592"</f>
        <v>73592</v>
      </c>
    </row>
    <row r="5057" spans="1:5" x14ac:dyDescent="0.25">
      <c r="A5057" t="str">
        <f>"51401107  "</f>
        <v xml:space="preserve">51401107  </v>
      </c>
      <c r="B5057" t="s">
        <v>2835</v>
      </c>
      <c r="C5057">
        <v>32.44</v>
      </c>
      <c r="D5057" t="str">
        <f t="shared" si="239"/>
        <v>320</v>
      </c>
      <c r="E5057" t="str">
        <f>"72100"</f>
        <v>72100</v>
      </c>
    </row>
    <row r="5058" spans="1:5" x14ac:dyDescent="0.25">
      <c r="A5058" t="str">
        <f>"51401115  "</f>
        <v xml:space="preserve">51401115  </v>
      </c>
      <c r="B5058" t="s">
        <v>2836</v>
      </c>
      <c r="C5058">
        <v>32.44</v>
      </c>
      <c r="D5058" t="str">
        <f t="shared" si="239"/>
        <v>320</v>
      </c>
      <c r="E5058" t="str">
        <f>"72100"</f>
        <v>72100</v>
      </c>
    </row>
    <row r="5059" spans="1:5" x14ac:dyDescent="0.25">
      <c r="A5059" t="str">
        <f>"51401123  "</f>
        <v xml:space="preserve">51401123  </v>
      </c>
      <c r="B5059" t="s">
        <v>4818</v>
      </c>
      <c r="C5059">
        <v>32.31</v>
      </c>
      <c r="D5059" t="str">
        <f t="shared" si="239"/>
        <v>320</v>
      </c>
      <c r="E5059" t="str">
        <f>"70110"</f>
        <v>70110</v>
      </c>
    </row>
    <row r="5060" spans="1:5" x14ac:dyDescent="0.25">
      <c r="A5060" t="str">
        <f>"51401131  "</f>
        <v xml:space="preserve">51401131  </v>
      </c>
      <c r="B5060" t="s">
        <v>2838</v>
      </c>
      <c r="C5060">
        <v>32.31</v>
      </c>
      <c r="D5060" t="str">
        <f t="shared" si="239"/>
        <v>320</v>
      </c>
      <c r="E5060" t="str">
        <f>"70100"</f>
        <v>70100</v>
      </c>
    </row>
    <row r="5061" spans="1:5" x14ac:dyDescent="0.25">
      <c r="A5061" t="str">
        <f>"51401149  "</f>
        <v xml:space="preserve">51401149  </v>
      </c>
      <c r="B5061" t="s">
        <v>4819</v>
      </c>
      <c r="C5061">
        <v>41.81</v>
      </c>
      <c r="D5061" t="str">
        <f t="shared" si="239"/>
        <v>320</v>
      </c>
      <c r="E5061" t="str">
        <f>"70130"</f>
        <v>70130</v>
      </c>
    </row>
    <row r="5062" spans="1:5" x14ac:dyDescent="0.25">
      <c r="A5062" t="str">
        <f>"51401156  "</f>
        <v xml:space="preserve">51401156  </v>
      </c>
      <c r="B5062" t="s">
        <v>2840</v>
      </c>
      <c r="C5062">
        <v>29.3</v>
      </c>
      <c r="D5062" t="str">
        <f t="shared" ref="D5062:D5093" si="240">"320"</f>
        <v>320</v>
      </c>
      <c r="E5062" t="str">
        <f>"70120"</f>
        <v>70120</v>
      </c>
    </row>
    <row r="5063" spans="1:5" x14ac:dyDescent="0.25">
      <c r="A5063" t="str">
        <f>"51401164  "</f>
        <v xml:space="preserve">51401164  </v>
      </c>
      <c r="B5063" t="s">
        <v>2841</v>
      </c>
      <c r="C5063">
        <v>25.36</v>
      </c>
      <c r="D5063" t="str">
        <f t="shared" si="240"/>
        <v>320</v>
      </c>
      <c r="E5063" t="str">
        <f>"70160"</f>
        <v>70160</v>
      </c>
    </row>
    <row r="5064" spans="1:5" x14ac:dyDescent="0.25">
      <c r="A5064" t="str">
        <f>"51401172  "</f>
        <v xml:space="preserve">51401172  </v>
      </c>
      <c r="B5064" t="s">
        <v>2842</v>
      </c>
      <c r="C5064">
        <v>21.82</v>
      </c>
      <c r="D5064" t="str">
        <f t="shared" si="240"/>
        <v>320</v>
      </c>
      <c r="E5064" t="str">
        <f>"70360"</f>
        <v>70360</v>
      </c>
    </row>
    <row r="5065" spans="1:5" x14ac:dyDescent="0.25">
      <c r="A5065" t="str">
        <f>"51401180  "</f>
        <v xml:space="preserve">51401180  </v>
      </c>
      <c r="B5065" t="s">
        <v>2843</v>
      </c>
      <c r="C5065">
        <v>23.14</v>
      </c>
      <c r="D5065" t="str">
        <f t="shared" si="240"/>
        <v>320</v>
      </c>
      <c r="E5065" t="str">
        <f>"73650"</f>
        <v>73650</v>
      </c>
    </row>
    <row r="5066" spans="1:5" x14ac:dyDescent="0.25">
      <c r="A5066" t="str">
        <f>"51401198  "</f>
        <v xml:space="preserve">51401198  </v>
      </c>
      <c r="B5066" t="s">
        <v>2845</v>
      </c>
      <c r="C5066">
        <v>25.11</v>
      </c>
      <c r="D5066" t="str">
        <f t="shared" si="240"/>
        <v>320</v>
      </c>
      <c r="E5066" t="str">
        <f>"72170"</f>
        <v>72170</v>
      </c>
    </row>
    <row r="5067" spans="1:5" x14ac:dyDescent="0.25">
      <c r="A5067" t="str">
        <f>"51401206  "</f>
        <v xml:space="preserve">51401206  </v>
      </c>
      <c r="B5067" t="s">
        <v>2846</v>
      </c>
      <c r="C5067">
        <v>25.11</v>
      </c>
      <c r="D5067" t="str">
        <f t="shared" si="240"/>
        <v>320</v>
      </c>
      <c r="E5067" t="str">
        <f>"72170 26"</f>
        <v>72170 26</v>
      </c>
    </row>
    <row r="5068" spans="1:5" x14ac:dyDescent="0.25">
      <c r="A5068" t="str">
        <f>"51401214  "</f>
        <v xml:space="preserve">51401214  </v>
      </c>
      <c r="B5068" t="s">
        <v>2844</v>
      </c>
      <c r="C5068">
        <v>38.07</v>
      </c>
      <c r="D5068" t="str">
        <f t="shared" si="240"/>
        <v>320</v>
      </c>
      <c r="E5068" t="str">
        <f>"70220"</f>
        <v>70220</v>
      </c>
    </row>
    <row r="5069" spans="1:5" x14ac:dyDescent="0.25">
      <c r="A5069" t="str">
        <f>"51401222  "</f>
        <v xml:space="preserve">51401222  </v>
      </c>
      <c r="B5069" t="s">
        <v>2873</v>
      </c>
      <c r="C5069">
        <v>187.79</v>
      </c>
      <c r="D5069" t="str">
        <f t="shared" si="240"/>
        <v>320</v>
      </c>
      <c r="E5069" t="str">
        <f>"74320"</f>
        <v>74320</v>
      </c>
    </row>
    <row r="5070" spans="1:5" x14ac:dyDescent="0.25">
      <c r="A5070" t="str">
        <f>"51401230  "</f>
        <v xml:space="preserve">51401230  </v>
      </c>
      <c r="B5070" t="s">
        <v>2847</v>
      </c>
      <c r="C5070">
        <v>105.49</v>
      </c>
      <c r="D5070" t="str">
        <f t="shared" si="240"/>
        <v>320</v>
      </c>
      <c r="E5070" t="str">
        <f>"74420"</f>
        <v>74420</v>
      </c>
    </row>
    <row r="5071" spans="1:5" x14ac:dyDescent="0.25">
      <c r="A5071" t="str">
        <f>"51401248  "</f>
        <v xml:space="preserve">51401248  </v>
      </c>
      <c r="B5071" t="s">
        <v>2848</v>
      </c>
      <c r="C5071">
        <v>38.950000000000003</v>
      </c>
      <c r="D5071" t="str">
        <f t="shared" si="240"/>
        <v>320</v>
      </c>
      <c r="E5071" t="str">
        <f>"71110"</f>
        <v>71110</v>
      </c>
    </row>
    <row r="5072" spans="1:5" x14ac:dyDescent="0.25">
      <c r="A5072" t="str">
        <f>"51401255  "</f>
        <v xml:space="preserve">51401255  </v>
      </c>
      <c r="B5072" t="s">
        <v>2849</v>
      </c>
      <c r="C5072">
        <v>34.880000000000003</v>
      </c>
      <c r="D5072" t="str">
        <f t="shared" si="240"/>
        <v>320</v>
      </c>
      <c r="E5072" t="str">
        <f>"71101"</f>
        <v>71101</v>
      </c>
    </row>
    <row r="5073" spans="1:5" x14ac:dyDescent="0.25">
      <c r="A5073" t="str">
        <f>"51401263  "</f>
        <v xml:space="preserve">51401263  </v>
      </c>
      <c r="B5073" t="s">
        <v>2850</v>
      </c>
      <c r="C5073">
        <v>29.59</v>
      </c>
      <c r="D5073" t="str">
        <f t="shared" si="240"/>
        <v>320</v>
      </c>
      <c r="E5073" t="str">
        <f>"72202"</f>
        <v>72202</v>
      </c>
    </row>
    <row r="5074" spans="1:5" x14ac:dyDescent="0.25">
      <c r="A5074" t="str">
        <f>"51401271  "</f>
        <v xml:space="preserve">51401271  </v>
      </c>
      <c r="B5074" t="s">
        <v>2851</v>
      </c>
      <c r="C5074">
        <v>27.1</v>
      </c>
      <c r="D5074" t="str">
        <f t="shared" si="240"/>
        <v>320</v>
      </c>
      <c r="E5074" t="str">
        <f>"72220"</f>
        <v>72220</v>
      </c>
    </row>
    <row r="5075" spans="1:5" x14ac:dyDescent="0.25">
      <c r="A5075" t="str">
        <f>"51401289  "</f>
        <v xml:space="preserve">51401289  </v>
      </c>
      <c r="B5075" t="s">
        <v>2852</v>
      </c>
      <c r="C5075">
        <v>60.86</v>
      </c>
      <c r="D5075" t="str">
        <f t="shared" si="240"/>
        <v>320</v>
      </c>
      <c r="E5075" t="str">
        <f>"74740"</f>
        <v>74740</v>
      </c>
    </row>
    <row r="5076" spans="1:5" x14ac:dyDescent="0.25">
      <c r="A5076" t="str">
        <f>"51401297  "</f>
        <v xml:space="preserve">51401297  </v>
      </c>
      <c r="B5076" t="s">
        <v>2853</v>
      </c>
      <c r="C5076">
        <v>25.36</v>
      </c>
      <c r="D5076" t="str">
        <f t="shared" si="240"/>
        <v>320</v>
      </c>
      <c r="E5076" t="str">
        <f>"73010"</f>
        <v>73010</v>
      </c>
    </row>
    <row r="5077" spans="1:5" x14ac:dyDescent="0.25">
      <c r="A5077" t="str">
        <f>"51401305  "</f>
        <v xml:space="preserve">51401305  </v>
      </c>
      <c r="B5077" t="s">
        <v>2854</v>
      </c>
      <c r="C5077">
        <v>35.229999999999997</v>
      </c>
      <c r="D5077" t="str">
        <f t="shared" si="240"/>
        <v>320</v>
      </c>
      <c r="E5077" t="str">
        <f>"72090"</f>
        <v>72090</v>
      </c>
    </row>
    <row r="5078" spans="1:5" x14ac:dyDescent="0.25">
      <c r="A5078" t="str">
        <f>"51401313  "</f>
        <v xml:space="preserve">51401313  </v>
      </c>
      <c r="B5078" t="s">
        <v>2855</v>
      </c>
      <c r="C5078">
        <v>22.72</v>
      </c>
      <c r="D5078" t="str">
        <f t="shared" si="240"/>
        <v>320</v>
      </c>
      <c r="E5078" t="str">
        <f>"70240"</f>
        <v>70240</v>
      </c>
    </row>
    <row r="5079" spans="1:5" x14ac:dyDescent="0.25">
      <c r="A5079" t="str">
        <f>"51401321  "</f>
        <v xml:space="preserve">51401321  </v>
      </c>
      <c r="B5079" t="s">
        <v>4820</v>
      </c>
      <c r="C5079">
        <v>27.47</v>
      </c>
      <c r="D5079" t="str">
        <f t="shared" si="240"/>
        <v>320</v>
      </c>
      <c r="E5079" t="str">
        <f>"73030"</f>
        <v>73030</v>
      </c>
    </row>
    <row r="5080" spans="1:5" x14ac:dyDescent="0.25">
      <c r="A5080" t="str">
        <f>"51401339  "</f>
        <v xml:space="preserve">51401339  </v>
      </c>
      <c r="B5080" t="s">
        <v>2857</v>
      </c>
      <c r="C5080">
        <v>22.87</v>
      </c>
      <c r="D5080" t="str">
        <f t="shared" si="240"/>
        <v>320</v>
      </c>
      <c r="E5080" t="str">
        <f>"73020"</f>
        <v>73020</v>
      </c>
    </row>
    <row r="5081" spans="1:5" x14ac:dyDescent="0.25">
      <c r="A5081" t="str">
        <f>"51401347  "</f>
        <v xml:space="preserve">51401347  </v>
      </c>
      <c r="B5081" t="s">
        <v>2858</v>
      </c>
      <c r="C5081">
        <v>28.7</v>
      </c>
      <c r="D5081" t="str">
        <f t="shared" si="240"/>
        <v>320</v>
      </c>
      <c r="E5081" t="str">
        <f>"70210"</f>
        <v>70210</v>
      </c>
    </row>
    <row r="5082" spans="1:5" x14ac:dyDescent="0.25">
      <c r="A5082" t="str">
        <f>"51401628  "</f>
        <v xml:space="preserve">51401628  </v>
      </c>
      <c r="B5082" t="s">
        <v>2859</v>
      </c>
      <c r="C5082">
        <v>45.56</v>
      </c>
      <c r="D5082" t="str">
        <f t="shared" si="240"/>
        <v>320</v>
      </c>
      <c r="E5082" t="str">
        <f>"70260"</f>
        <v>70260</v>
      </c>
    </row>
    <row r="5083" spans="1:5" x14ac:dyDescent="0.25">
      <c r="A5083" t="str">
        <f>"51401636  "</f>
        <v xml:space="preserve">51401636  </v>
      </c>
      <c r="B5083" t="s">
        <v>2860</v>
      </c>
      <c r="C5083">
        <v>31.79</v>
      </c>
      <c r="D5083" t="str">
        <f t="shared" si="240"/>
        <v>320</v>
      </c>
      <c r="E5083" t="str">
        <f>"70250"</f>
        <v>70250</v>
      </c>
    </row>
    <row r="5084" spans="1:5" x14ac:dyDescent="0.25">
      <c r="A5084" t="str">
        <f>"51401644  "</f>
        <v xml:space="preserve">51401644  </v>
      </c>
      <c r="B5084" t="s">
        <v>4821</v>
      </c>
      <c r="C5084">
        <v>64.77</v>
      </c>
      <c r="D5084" t="str">
        <f t="shared" si="240"/>
        <v>320</v>
      </c>
      <c r="E5084" t="str">
        <f>"74250"</f>
        <v>74250</v>
      </c>
    </row>
    <row r="5085" spans="1:5" x14ac:dyDescent="0.25">
      <c r="A5085" t="str">
        <f>"51401651  "</f>
        <v xml:space="preserve">51401651  </v>
      </c>
      <c r="B5085" t="s">
        <v>4822</v>
      </c>
      <c r="C5085">
        <v>44.17</v>
      </c>
      <c r="D5085" t="str">
        <f t="shared" si="240"/>
        <v>320</v>
      </c>
      <c r="E5085" t="str">
        <f>"72050"</f>
        <v>72050</v>
      </c>
    </row>
    <row r="5086" spans="1:5" x14ac:dyDescent="0.25">
      <c r="A5086" t="str">
        <f>"51401669  "</f>
        <v xml:space="preserve">51401669  </v>
      </c>
      <c r="B5086" t="s">
        <v>4823</v>
      </c>
      <c r="C5086">
        <v>54.38</v>
      </c>
      <c r="D5086" t="str">
        <f t="shared" si="240"/>
        <v>320</v>
      </c>
      <c r="E5086" t="str">
        <f>"72052"</f>
        <v>72052</v>
      </c>
    </row>
    <row r="5087" spans="1:5" x14ac:dyDescent="0.25">
      <c r="A5087" t="str">
        <f>"51401677  "</f>
        <v xml:space="preserve">51401677  </v>
      </c>
      <c r="B5087" t="s">
        <v>4824</v>
      </c>
      <c r="C5087">
        <v>54.38</v>
      </c>
      <c r="D5087" t="str">
        <f t="shared" si="240"/>
        <v>320</v>
      </c>
      <c r="E5087" t="str">
        <f>"72052"</f>
        <v>72052</v>
      </c>
    </row>
    <row r="5088" spans="1:5" x14ac:dyDescent="0.25">
      <c r="A5088" t="str">
        <f>"51401685  "</f>
        <v xml:space="preserve">51401685  </v>
      </c>
      <c r="B5088" t="s">
        <v>4825</v>
      </c>
      <c r="C5088">
        <v>54.52</v>
      </c>
      <c r="D5088" t="str">
        <f t="shared" si="240"/>
        <v>320</v>
      </c>
      <c r="E5088" t="str">
        <f>"72010"</f>
        <v>72010</v>
      </c>
    </row>
    <row r="5089" spans="1:5" x14ac:dyDescent="0.25">
      <c r="A5089" t="str">
        <f>"51401693  "</f>
        <v xml:space="preserve">51401693  </v>
      </c>
      <c r="B5089" t="s">
        <v>4826</v>
      </c>
      <c r="C5089">
        <v>32.44</v>
      </c>
      <c r="D5089" t="str">
        <f t="shared" si="240"/>
        <v>320</v>
      </c>
      <c r="E5089" t="str">
        <f>"72080"</f>
        <v>72080</v>
      </c>
    </row>
    <row r="5090" spans="1:5" x14ac:dyDescent="0.25">
      <c r="A5090" t="str">
        <f>"51401701  "</f>
        <v xml:space="preserve">51401701  </v>
      </c>
      <c r="B5090" t="s">
        <v>2867</v>
      </c>
      <c r="C5090">
        <v>34.75</v>
      </c>
      <c r="D5090" t="str">
        <f t="shared" si="240"/>
        <v>320</v>
      </c>
      <c r="E5090" t="str">
        <f>"72072"</f>
        <v>72072</v>
      </c>
    </row>
    <row r="5091" spans="1:5" x14ac:dyDescent="0.25">
      <c r="A5091" t="str">
        <f>"51401719  "</f>
        <v xml:space="preserve">51401719  </v>
      </c>
      <c r="B5091" t="s">
        <v>2868</v>
      </c>
      <c r="C5091">
        <v>33.65</v>
      </c>
      <c r="D5091" t="str">
        <f t="shared" si="240"/>
        <v>320</v>
      </c>
      <c r="E5091" t="str">
        <f>"71130"</f>
        <v>71130</v>
      </c>
    </row>
    <row r="5092" spans="1:5" x14ac:dyDescent="0.25">
      <c r="A5092" t="str">
        <f>"51401727  "</f>
        <v xml:space="preserve">51401727  </v>
      </c>
      <c r="B5092" t="s">
        <v>2869</v>
      </c>
      <c r="C5092">
        <v>30.91</v>
      </c>
      <c r="D5092" t="str">
        <f t="shared" si="240"/>
        <v>320</v>
      </c>
      <c r="E5092" t="str">
        <f>"71120"</f>
        <v>71120</v>
      </c>
    </row>
    <row r="5093" spans="1:5" x14ac:dyDescent="0.25">
      <c r="A5093" t="str">
        <f>"51401735  "</f>
        <v xml:space="preserve">51401735  </v>
      </c>
      <c r="B5093" t="s">
        <v>2870</v>
      </c>
      <c r="C5093">
        <v>39.39</v>
      </c>
      <c r="D5093" t="str">
        <f t="shared" si="240"/>
        <v>320</v>
      </c>
      <c r="E5093" t="str">
        <f>"70330"</f>
        <v>70330</v>
      </c>
    </row>
    <row r="5094" spans="1:5" x14ac:dyDescent="0.25">
      <c r="A5094" t="str">
        <f>"51401743  "</f>
        <v xml:space="preserve">51401743  </v>
      </c>
      <c r="B5094" t="s">
        <v>4827</v>
      </c>
      <c r="C5094">
        <v>25.11</v>
      </c>
      <c r="D5094" t="str">
        <f t="shared" ref="D5094:D5101" si="241">"320"</f>
        <v>320</v>
      </c>
      <c r="E5094" t="str">
        <f>"73590"</f>
        <v>73590</v>
      </c>
    </row>
    <row r="5095" spans="1:5" x14ac:dyDescent="0.25">
      <c r="A5095" t="str">
        <f>"51401750  "</f>
        <v xml:space="preserve">51401750  </v>
      </c>
      <c r="B5095" t="s">
        <v>2872</v>
      </c>
      <c r="C5095">
        <v>20.14</v>
      </c>
      <c r="D5095" t="str">
        <f t="shared" si="241"/>
        <v>320</v>
      </c>
      <c r="E5095" t="str">
        <f>"73660"</f>
        <v>73660</v>
      </c>
    </row>
    <row r="5096" spans="1:5" x14ac:dyDescent="0.25">
      <c r="A5096" t="str">
        <f>"51401776  "</f>
        <v xml:space="preserve">51401776  </v>
      </c>
      <c r="B5096" t="s">
        <v>2875</v>
      </c>
      <c r="C5096">
        <v>81.36</v>
      </c>
      <c r="D5096" t="str">
        <f t="shared" si="241"/>
        <v>320</v>
      </c>
      <c r="E5096" t="str">
        <f>"74241"</f>
        <v>74241</v>
      </c>
    </row>
    <row r="5097" spans="1:5" x14ac:dyDescent="0.25">
      <c r="A5097" t="str">
        <f>"51401784  "</f>
        <v xml:space="preserve">51401784  </v>
      </c>
      <c r="B5097" t="s">
        <v>4828</v>
      </c>
      <c r="C5097">
        <v>86.63</v>
      </c>
      <c r="D5097" t="str">
        <f t="shared" si="241"/>
        <v>320</v>
      </c>
      <c r="E5097" t="str">
        <f>"74246"</f>
        <v>74246</v>
      </c>
    </row>
    <row r="5098" spans="1:5" x14ac:dyDescent="0.25">
      <c r="A5098" t="str">
        <f>"51401792  "</f>
        <v xml:space="preserve">51401792  </v>
      </c>
      <c r="B5098" t="s">
        <v>4829</v>
      </c>
      <c r="C5098">
        <v>86.63</v>
      </c>
      <c r="D5098" t="str">
        <f t="shared" si="241"/>
        <v>320</v>
      </c>
      <c r="E5098" t="str">
        <f>"74246"</f>
        <v>74246</v>
      </c>
    </row>
    <row r="5099" spans="1:5" x14ac:dyDescent="0.25">
      <c r="A5099" t="str">
        <f>"51401800  "</f>
        <v xml:space="preserve">51401800  </v>
      </c>
      <c r="B5099" t="s">
        <v>4830</v>
      </c>
      <c r="C5099">
        <v>68.400000000000006</v>
      </c>
      <c r="D5099" t="str">
        <f t="shared" si="241"/>
        <v>320</v>
      </c>
      <c r="E5099" t="str">
        <f>"74455"</f>
        <v>74455</v>
      </c>
    </row>
    <row r="5100" spans="1:5" x14ac:dyDescent="0.25">
      <c r="A5100" t="str">
        <f>"51401818  "</f>
        <v xml:space="preserve">51401818  </v>
      </c>
      <c r="B5100" t="s">
        <v>2876</v>
      </c>
      <c r="C5100">
        <v>25.69</v>
      </c>
      <c r="D5100" t="str">
        <f t="shared" si="241"/>
        <v>320</v>
      </c>
      <c r="E5100" t="str">
        <f>"73110"</f>
        <v>73110</v>
      </c>
    </row>
    <row r="5101" spans="1:5" x14ac:dyDescent="0.25">
      <c r="A5101" t="str">
        <f>"51401826  "</f>
        <v xml:space="preserve">51401826  </v>
      </c>
      <c r="B5101" t="s">
        <v>2877</v>
      </c>
      <c r="C5101">
        <v>23.79</v>
      </c>
      <c r="D5101" t="str">
        <f t="shared" si="241"/>
        <v>320</v>
      </c>
      <c r="E5101" t="str">
        <f>"73100"</f>
        <v>73100</v>
      </c>
    </row>
    <row r="5102" spans="1:5" x14ac:dyDescent="0.25">
      <c r="A5102" t="str">
        <f>"51401925  "</f>
        <v xml:space="preserve">51401925  </v>
      </c>
      <c r="B5102" t="s">
        <v>4658</v>
      </c>
      <c r="C5102">
        <v>137.5</v>
      </c>
      <c r="D5102" t="str">
        <f>"921"</f>
        <v>921</v>
      </c>
      <c r="E5102" t="str">
        <f>"93970"</f>
        <v>93970</v>
      </c>
    </row>
    <row r="5103" spans="1:5" x14ac:dyDescent="0.25">
      <c r="A5103" t="str">
        <f>"51401933  "</f>
        <v xml:space="preserve">51401933  </v>
      </c>
      <c r="B5103" t="s">
        <v>4657</v>
      </c>
      <c r="C5103">
        <v>137.5</v>
      </c>
      <c r="D5103" t="str">
        <f>"921"</f>
        <v>921</v>
      </c>
      <c r="E5103" t="str">
        <f>"93965"</f>
        <v>93965</v>
      </c>
    </row>
    <row r="5104" spans="1:5" x14ac:dyDescent="0.25">
      <c r="A5104" t="str">
        <f>"53501003  "</f>
        <v xml:space="preserve">53501003  </v>
      </c>
      <c r="B5104" t="s">
        <v>4831</v>
      </c>
      <c r="C5104">
        <v>330</v>
      </c>
      <c r="D5104" t="str">
        <f>"561"</f>
        <v>561</v>
      </c>
      <c r="E5104" t="str">
        <f>"99253"</f>
        <v>99253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C36" sqref="C36"/>
    </sheetView>
  </sheetViews>
  <sheetFormatPr defaultColWidth="9.140625" defaultRowHeight="14.25" x14ac:dyDescent="0.2"/>
  <cols>
    <col min="1" max="1" width="68.28515625" style="5" customWidth="1"/>
    <col min="2" max="2" width="9.140625" style="70"/>
    <col min="3" max="3" width="29.85546875" style="5" customWidth="1"/>
    <col min="4" max="4" width="9.140625" style="5"/>
    <col min="5" max="5" width="11.85546875" style="5" bestFit="1" customWidth="1"/>
    <col min="6" max="16384" width="9.140625" style="5"/>
  </cols>
  <sheetData>
    <row r="1" spans="1:3" ht="15" x14ac:dyDescent="0.25">
      <c r="A1" s="2" t="s">
        <v>4836</v>
      </c>
      <c r="B1" s="3"/>
      <c r="C1" s="4"/>
    </row>
    <row r="2" spans="1:3" ht="15" x14ac:dyDescent="0.25">
      <c r="A2" s="6" t="s">
        <v>4837</v>
      </c>
      <c r="B2" s="7"/>
      <c r="C2" s="8"/>
    </row>
    <row r="3" spans="1:3" ht="15" x14ac:dyDescent="0.25">
      <c r="A3" s="6" t="s">
        <v>4887</v>
      </c>
      <c r="B3" s="7"/>
      <c r="C3" s="8"/>
    </row>
    <row r="4" spans="1:3" ht="15" x14ac:dyDescent="0.25">
      <c r="A4" s="9"/>
      <c r="B4" s="10"/>
      <c r="C4" s="11"/>
    </row>
    <row r="5" spans="1:3" x14ac:dyDescent="0.2">
      <c r="A5" s="12" t="s">
        <v>4838</v>
      </c>
      <c r="B5" s="13"/>
      <c r="C5" s="14"/>
    </row>
    <row r="6" spans="1:3" ht="30" x14ac:dyDescent="0.25">
      <c r="A6" s="15" t="s">
        <v>4839</v>
      </c>
      <c r="B6" s="16" t="s">
        <v>4840</v>
      </c>
      <c r="C6" s="17" t="s">
        <v>4841</v>
      </c>
    </row>
    <row r="7" spans="1:3" s="21" customFormat="1" x14ac:dyDescent="0.2">
      <c r="A7" s="18" t="s">
        <v>4842</v>
      </c>
      <c r="B7" s="19" t="s">
        <v>4843</v>
      </c>
      <c r="C7" s="20">
        <v>132</v>
      </c>
    </row>
    <row r="8" spans="1:3" s="21" customFormat="1" ht="30" x14ac:dyDescent="0.25">
      <c r="A8" s="22" t="s">
        <v>4844</v>
      </c>
      <c r="B8" s="16" t="s">
        <v>4840</v>
      </c>
      <c r="C8" s="17" t="s">
        <v>4841</v>
      </c>
    </row>
    <row r="9" spans="1:3" s="21" customFormat="1" x14ac:dyDescent="0.2">
      <c r="A9" s="23" t="s">
        <v>4845</v>
      </c>
      <c r="B9" s="24">
        <v>80048</v>
      </c>
      <c r="C9" s="20">
        <v>220</v>
      </c>
    </row>
    <row r="10" spans="1:3" s="21" customFormat="1" x14ac:dyDescent="0.2">
      <c r="A10" s="25" t="s">
        <v>4846</v>
      </c>
      <c r="B10" s="26">
        <v>80061</v>
      </c>
      <c r="C10" s="27">
        <v>220</v>
      </c>
    </row>
    <row r="11" spans="1:3" s="21" customFormat="1" x14ac:dyDescent="0.2">
      <c r="A11" s="25" t="s">
        <v>4847</v>
      </c>
      <c r="B11" s="26">
        <v>85025</v>
      </c>
      <c r="C11" s="27">
        <v>74.14</v>
      </c>
    </row>
    <row r="12" spans="1:3" s="21" customFormat="1" x14ac:dyDescent="0.2">
      <c r="A12" s="25" t="s">
        <v>4848</v>
      </c>
      <c r="B12" s="26">
        <v>80053</v>
      </c>
      <c r="C12" s="20">
        <v>330</v>
      </c>
    </row>
    <row r="13" spans="1:3" s="21" customFormat="1" x14ac:dyDescent="0.2">
      <c r="A13" s="28" t="s">
        <v>4849</v>
      </c>
      <c r="B13" s="29">
        <v>82550</v>
      </c>
      <c r="C13" s="27">
        <v>86.24</v>
      </c>
    </row>
    <row r="14" spans="1:3" s="21" customFormat="1" x14ac:dyDescent="0.2">
      <c r="A14" s="30" t="s">
        <v>4850</v>
      </c>
      <c r="B14" s="29">
        <v>82553</v>
      </c>
      <c r="C14" s="27">
        <v>65.73</v>
      </c>
    </row>
    <row r="15" spans="1:3" s="21" customFormat="1" x14ac:dyDescent="0.2">
      <c r="A15" s="30" t="s">
        <v>4851</v>
      </c>
      <c r="B15" s="29">
        <v>87086</v>
      </c>
      <c r="C15" s="27">
        <v>165</v>
      </c>
    </row>
    <row r="16" spans="1:3" s="21" customFormat="1" x14ac:dyDescent="0.2">
      <c r="A16" s="25" t="s">
        <v>4852</v>
      </c>
      <c r="B16" s="26">
        <v>84484</v>
      </c>
      <c r="C16" s="27">
        <v>74.8</v>
      </c>
    </row>
    <row r="17" spans="1:5" s="21" customFormat="1" x14ac:dyDescent="0.2">
      <c r="A17" s="25" t="s">
        <v>4853</v>
      </c>
      <c r="B17" s="31">
        <v>87517</v>
      </c>
      <c r="C17" s="27">
        <v>297</v>
      </c>
    </row>
    <row r="18" spans="1:5" s="21" customFormat="1" x14ac:dyDescent="0.2">
      <c r="A18" s="28" t="s">
        <v>4854</v>
      </c>
      <c r="B18" s="31">
        <v>81001</v>
      </c>
      <c r="C18" s="27">
        <v>57.53</v>
      </c>
    </row>
    <row r="19" spans="1:5" s="21" customFormat="1" ht="30" x14ac:dyDescent="0.25">
      <c r="A19" s="32" t="s">
        <v>4855</v>
      </c>
      <c r="B19" s="16" t="s">
        <v>4840</v>
      </c>
      <c r="C19" s="17" t="s">
        <v>4841</v>
      </c>
    </row>
    <row r="20" spans="1:5" s="36" customFormat="1" x14ac:dyDescent="0.2">
      <c r="A20" s="33" t="s">
        <v>4856</v>
      </c>
      <c r="B20" s="34">
        <v>71045</v>
      </c>
      <c r="C20" s="35">
        <v>137.5</v>
      </c>
    </row>
    <row r="21" spans="1:5" s="21" customFormat="1" ht="15.75" x14ac:dyDescent="0.25">
      <c r="A21" s="28" t="s">
        <v>4857</v>
      </c>
      <c r="B21" s="37">
        <v>72194</v>
      </c>
      <c r="C21" s="38">
        <v>1186.9000000000001</v>
      </c>
    </row>
    <row r="22" spans="1:5" s="21" customFormat="1" x14ac:dyDescent="0.2">
      <c r="A22" s="28" t="s">
        <v>4858</v>
      </c>
      <c r="B22" s="37">
        <v>74160</v>
      </c>
      <c r="C22" s="27">
        <v>1186.9000000000001</v>
      </c>
    </row>
    <row r="23" spans="1:5" s="21" customFormat="1" x14ac:dyDescent="0.2">
      <c r="A23" s="25" t="s">
        <v>4859</v>
      </c>
      <c r="B23" s="37">
        <v>70551</v>
      </c>
      <c r="C23" s="27">
        <v>1431.1</v>
      </c>
    </row>
    <row r="24" spans="1:5" s="21" customFormat="1" x14ac:dyDescent="0.2">
      <c r="A24" s="25" t="s">
        <v>4860</v>
      </c>
      <c r="B24" s="37">
        <v>70552</v>
      </c>
      <c r="C24" s="27">
        <v>1924.23</v>
      </c>
    </row>
    <row r="25" spans="1:5" s="21" customFormat="1" x14ac:dyDescent="0.2">
      <c r="A25" s="39" t="s">
        <v>4861</v>
      </c>
      <c r="B25" s="37">
        <v>76700</v>
      </c>
      <c r="C25" s="27">
        <v>412.5</v>
      </c>
    </row>
    <row r="26" spans="1:5" s="21" customFormat="1" x14ac:dyDescent="0.2">
      <c r="A26" s="28" t="s">
        <v>4862</v>
      </c>
      <c r="B26" s="37">
        <v>71046</v>
      </c>
      <c r="C26" s="27">
        <v>178.2</v>
      </c>
    </row>
    <row r="27" spans="1:5" s="21" customFormat="1" ht="30" x14ac:dyDescent="0.25">
      <c r="A27" s="22" t="s">
        <v>4863</v>
      </c>
      <c r="B27" s="16" t="s">
        <v>4840</v>
      </c>
      <c r="C27" s="40" t="s">
        <v>4841</v>
      </c>
    </row>
    <row r="28" spans="1:5" s="21" customFormat="1" x14ac:dyDescent="0.2">
      <c r="A28" s="41" t="s">
        <v>4864</v>
      </c>
      <c r="B28" s="19">
        <v>93320</v>
      </c>
      <c r="C28" s="27">
        <v>619.29999999999995</v>
      </c>
    </row>
    <row r="29" spans="1:5" s="21" customFormat="1" ht="15.75" x14ac:dyDescent="0.25">
      <c r="A29" s="42" t="s">
        <v>4865</v>
      </c>
      <c r="B29" s="37">
        <v>93005</v>
      </c>
      <c r="C29" s="27">
        <v>209</v>
      </c>
    </row>
    <row r="30" spans="1:5" s="21" customFormat="1" ht="30" x14ac:dyDescent="0.25">
      <c r="A30" s="22" t="s">
        <v>4866</v>
      </c>
      <c r="B30" s="16" t="s">
        <v>4840</v>
      </c>
      <c r="C30" s="17" t="s">
        <v>4841</v>
      </c>
    </row>
    <row r="31" spans="1:5" s="21" customFormat="1" x14ac:dyDescent="0.2">
      <c r="A31" s="41" t="s">
        <v>4867</v>
      </c>
      <c r="B31" s="43">
        <v>29827</v>
      </c>
      <c r="C31" s="44">
        <v>70000</v>
      </c>
      <c r="D31" s="45"/>
      <c r="E31" s="45"/>
    </row>
    <row r="32" spans="1:5" s="48" customFormat="1" x14ac:dyDescent="0.2">
      <c r="A32" s="28" t="s">
        <v>4889</v>
      </c>
      <c r="B32" s="46">
        <v>27570</v>
      </c>
      <c r="C32" s="47">
        <v>8000</v>
      </c>
      <c r="D32" s="45"/>
      <c r="E32" s="45"/>
    </row>
    <row r="33" spans="1:5" s="21" customFormat="1" x14ac:dyDescent="0.2">
      <c r="A33" s="28" t="s">
        <v>4888</v>
      </c>
      <c r="B33" s="46">
        <v>29881</v>
      </c>
      <c r="C33" s="44">
        <v>40000</v>
      </c>
      <c r="D33" s="45"/>
      <c r="E33" s="45"/>
    </row>
    <row r="34" spans="1:5" s="21" customFormat="1" x14ac:dyDescent="0.2">
      <c r="A34" s="28" t="s">
        <v>4890</v>
      </c>
      <c r="B34" s="46">
        <v>31237</v>
      </c>
      <c r="C34" s="44">
        <v>30000</v>
      </c>
      <c r="D34" s="45"/>
      <c r="E34" s="45"/>
    </row>
    <row r="35" spans="1:5" s="21" customFormat="1" x14ac:dyDescent="0.2">
      <c r="A35" s="49" t="s">
        <v>4891</v>
      </c>
      <c r="B35" s="50">
        <v>27700</v>
      </c>
      <c r="C35" s="51">
        <v>65000</v>
      </c>
      <c r="D35" s="45"/>
      <c r="E35" s="45"/>
    </row>
    <row r="36" spans="1:5" s="21" customFormat="1" x14ac:dyDescent="0.2">
      <c r="A36" s="49" t="s">
        <v>4868</v>
      </c>
      <c r="B36" s="50">
        <v>27447</v>
      </c>
      <c r="C36" s="51">
        <v>90000</v>
      </c>
      <c r="D36" s="45"/>
      <c r="E36" s="45"/>
    </row>
    <row r="37" spans="1:5" ht="15.75" thickBot="1" x14ac:dyDescent="0.3">
      <c r="A37" s="52" t="s">
        <v>4869</v>
      </c>
      <c r="B37" s="53"/>
      <c r="C37" s="54">
        <v>25</v>
      </c>
    </row>
    <row r="38" spans="1:5" ht="15" thickTop="1" x14ac:dyDescent="0.2">
      <c r="A38" s="55" t="s">
        <v>4870</v>
      </c>
      <c r="B38" s="56"/>
      <c r="C38" s="57"/>
    </row>
    <row r="39" spans="1:5" x14ac:dyDescent="0.2">
      <c r="A39" s="58" t="s">
        <v>4871</v>
      </c>
      <c r="B39" s="59"/>
      <c r="C39" s="60"/>
    </row>
    <row r="40" spans="1:5" x14ac:dyDescent="0.2">
      <c r="A40" s="58" t="s">
        <v>4872</v>
      </c>
      <c r="B40" s="61"/>
      <c r="C40" s="62"/>
    </row>
    <row r="41" spans="1:5" x14ac:dyDescent="0.2">
      <c r="A41" s="58" t="s">
        <v>4873</v>
      </c>
      <c r="B41" s="63"/>
      <c r="C41" s="62"/>
    </row>
    <row r="42" spans="1:5" x14ac:dyDescent="0.2">
      <c r="A42" s="58" t="s">
        <v>4874</v>
      </c>
      <c r="B42" s="63"/>
      <c r="C42" s="62"/>
    </row>
    <row r="43" spans="1:5" x14ac:dyDescent="0.2">
      <c r="A43" s="58" t="s">
        <v>4875</v>
      </c>
      <c r="B43" s="63"/>
      <c r="C43" s="62"/>
    </row>
    <row r="44" spans="1:5" x14ac:dyDescent="0.2">
      <c r="A44" s="58" t="s">
        <v>4876</v>
      </c>
      <c r="B44" s="63"/>
      <c r="C44" s="62"/>
    </row>
    <row r="45" spans="1:5" x14ac:dyDescent="0.2">
      <c r="A45" s="58" t="s">
        <v>4877</v>
      </c>
      <c r="B45" s="64"/>
      <c r="C45" s="65"/>
    </row>
    <row r="46" spans="1:5" x14ac:dyDescent="0.2">
      <c r="A46" s="58" t="s">
        <v>4878</v>
      </c>
      <c r="B46" s="61"/>
      <c r="C46" s="62"/>
    </row>
    <row r="47" spans="1:5" x14ac:dyDescent="0.2">
      <c r="A47" s="58" t="s">
        <v>4879</v>
      </c>
      <c r="B47" s="61"/>
      <c r="C47" s="62"/>
    </row>
    <row r="48" spans="1:5" x14ac:dyDescent="0.2">
      <c r="A48" s="66" t="s">
        <v>4880</v>
      </c>
      <c r="B48" s="67"/>
      <c r="C48" s="68"/>
    </row>
    <row r="49" spans="1:3" x14ac:dyDescent="0.2">
      <c r="A49" s="69"/>
      <c r="B49" s="7"/>
      <c r="C49" s="69"/>
    </row>
    <row r="50" spans="1:3" x14ac:dyDescent="0.2">
      <c r="B50" s="5"/>
    </row>
    <row r="51" spans="1:3" x14ac:dyDescent="0.2">
      <c r="B51" s="5"/>
    </row>
    <row r="52" spans="1:3" x14ac:dyDescent="0.2">
      <c r="B52" s="5"/>
    </row>
    <row r="53" spans="1:3" x14ac:dyDescent="0.2">
      <c r="B53" s="5"/>
    </row>
    <row r="54" spans="1:3" x14ac:dyDescent="0.2">
      <c r="B54" s="5"/>
    </row>
    <row r="55" spans="1:3" x14ac:dyDescent="0.2">
      <c r="B55" s="5"/>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defaultRowHeight="15" x14ac:dyDescent="0.25"/>
  <cols>
    <col min="1" max="1" width="43" customWidth="1"/>
    <col min="2" max="2" width="32.140625" customWidth="1"/>
    <col min="3" max="3" width="28.5703125" customWidth="1"/>
    <col min="4" max="4" width="20.7109375" customWidth="1"/>
    <col min="5" max="5" width="30.7109375" customWidth="1"/>
  </cols>
  <sheetData>
    <row r="1" spans="1:5" s="73" customFormat="1" x14ac:dyDescent="0.25">
      <c r="A1" s="71" t="s">
        <v>4881</v>
      </c>
      <c r="B1" s="72">
        <v>2021</v>
      </c>
      <c r="C1" s="72">
        <v>2022</v>
      </c>
      <c r="D1" s="71"/>
    </row>
    <row r="2" spans="1:5" s="76" customFormat="1" x14ac:dyDescent="0.25">
      <c r="A2" s="74" t="s">
        <v>4837</v>
      </c>
      <c r="B2" s="75" t="s">
        <v>4882</v>
      </c>
      <c r="C2" s="75" t="s">
        <v>4883</v>
      </c>
      <c r="D2" s="75" t="s">
        <v>4884</v>
      </c>
    </row>
    <row r="3" spans="1:5" x14ac:dyDescent="0.25">
      <c r="A3" s="71" t="s">
        <v>4885</v>
      </c>
      <c r="B3" s="77">
        <v>73637168</v>
      </c>
      <c r="C3" s="77">
        <v>60318028</v>
      </c>
      <c r="D3" s="78">
        <v>-8.0000000000000002E-3</v>
      </c>
      <c r="E3" s="79"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2023</vt:lpstr>
      <vt:lpstr>AB 1045</vt:lpstr>
      <vt:lpstr>Gross Rev Change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Mercado</dc:creator>
  <cp:lastModifiedBy>Pedro Mercado</cp:lastModifiedBy>
  <dcterms:created xsi:type="dcterms:W3CDTF">2023-06-22T16:54:58Z</dcterms:created>
  <dcterms:modified xsi:type="dcterms:W3CDTF">2023-06-22T22:15:37Z</dcterms:modified>
</cp:coreProperties>
</file>