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drawings/drawing25.xml" ContentType="application/vnd.openxmlformats-officedocument.drawing+xml"/>
  <Override PartName="/xl/charts/chart44.xml" ContentType="application/vnd.openxmlformats-officedocument.drawingml.chart+xml"/>
  <Override PartName="/xl/drawings/drawing26.xml" ContentType="application/vnd.openxmlformats-officedocument.drawing+xml"/>
  <Override PartName="/xl/charts/chart45.xml" ContentType="application/vnd.openxmlformats-officedocument.drawingml.chart+xml"/>
  <Override PartName="/xl/drawings/drawing27.xml" ContentType="application/vnd.openxmlformats-officedocument.drawing+xml"/>
  <Override PartName="/xl/charts/chart46.xml" ContentType="application/vnd.openxmlformats-officedocument.drawingml.chart+xml"/>
  <Override PartName="/xl/drawings/drawing28.xml" ContentType="application/vnd.openxmlformats-officedocument.drawing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drawings/drawing30.xml" ContentType="application/vnd.openxmlformats-officedocument.drawing+xml"/>
  <Override PartName="/xl/charts/chart49.xml" ContentType="application/vnd.openxmlformats-officedocument.drawingml.chart+xml"/>
  <Override PartName="/xl/drawings/drawing31.xml" ContentType="application/vnd.openxmlformats-officedocument.drawing+xml"/>
  <Override PartName="/xl/charts/chart50.xml" ContentType="application/vnd.openxmlformats-officedocument.drawingml.chart+xml"/>
  <Override PartName="/xl/drawings/drawing32.xml" ContentType="application/vnd.openxmlformats-officedocument.drawing+xml"/>
  <Override PartName="/xl/charts/chart51.xml" ContentType="application/vnd.openxmlformats-officedocument.drawingml.chart+xml"/>
  <Override PartName="/xl/drawings/drawing33.xml" ContentType="application/vnd.openxmlformats-officedocument.drawing+xml"/>
  <Override PartName="/xl/charts/chart52.xml" ContentType="application/vnd.openxmlformats-officedocument.drawingml.chart+xml"/>
  <Override PartName="/xl/drawings/drawing34.xml" ContentType="application/vnd.openxmlformats-officedocument.drawing+xml"/>
  <Override PartName="/xl/charts/chart53.xml" ContentType="application/vnd.openxmlformats-officedocument.drawingml.chart+xml"/>
  <Override PartName="/xl/drawings/drawing35.xml" ContentType="application/vnd.openxmlformats-officedocument.drawing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60" windowWidth="18315" windowHeight="10875"/>
  </bookViews>
  <sheets>
    <sheet name="W1683" sheetId="35" r:id="rId1"/>
    <sheet name="W1682" sheetId="34" r:id="rId2"/>
    <sheet name="W1680" sheetId="33" r:id="rId3"/>
    <sheet name="W1678" sheetId="32" r:id="rId4"/>
    <sheet name="W1675" sheetId="31" r:id="rId5"/>
    <sheet name="W1674" sheetId="30" r:id="rId6"/>
    <sheet name="W1673" sheetId="29" r:id="rId7"/>
    <sheet name="W1672" sheetId="28" r:id="rId8"/>
    <sheet name="W1671" sheetId="27" r:id="rId9"/>
    <sheet name="W1670" sheetId="26" r:id="rId10"/>
    <sheet name="W1664" sheetId="25" r:id="rId11"/>
    <sheet name="W1662" sheetId="24" r:id="rId12"/>
    <sheet name="W1660" sheetId="23" r:id="rId13"/>
    <sheet name="W1657" sheetId="21" r:id="rId14"/>
    <sheet name="ELO tandem W1653" sheetId="22" r:id="rId15"/>
    <sheet name="W1642" sheetId="20" r:id="rId16"/>
    <sheet name="W1628" sheetId="19" r:id="rId17"/>
    <sheet name="W1623" sheetId="18" r:id="rId18"/>
    <sheet name="W1620" sheetId="17" r:id="rId19"/>
    <sheet name="W1582" sheetId="16" r:id="rId20"/>
    <sheet name="W1575" sheetId="15" r:id="rId21"/>
    <sheet name="W1554" sheetId="14" r:id="rId22"/>
    <sheet name="W1550" sheetId="13" r:id="rId23"/>
    <sheet name="ELO GaAs W1549" sheetId="12" r:id="rId24"/>
    <sheet name="ELO GaAs W1546" sheetId="11" r:id="rId25"/>
    <sheet name="ELO GaAs W1535" sheetId="8" r:id="rId26"/>
    <sheet name="ELO GaAs W1542" sheetId="7" r:id="rId27"/>
    <sheet name="GaAs W1544" sheetId="9" r:id="rId28"/>
    <sheet name="GaAs W1295" sheetId="6" r:id="rId29"/>
    <sheet name="GaAs W1302" sheetId="1" r:id="rId30"/>
    <sheet name="InGaP W1340" sheetId="2" r:id="rId31"/>
    <sheet name="InGaP W1438" sheetId="3" r:id="rId32"/>
    <sheet name="tandem W1543" sheetId="10" r:id="rId33"/>
    <sheet name="tandem W1347" sheetId="5" r:id="rId34"/>
    <sheet name="ELO tandem W1374" sheetId="4" r:id="rId35"/>
  </sheets>
  <calcPr calcId="145621"/>
</workbook>
</file>

<file path=xl/calcChain.xml><?xml version="1.0" encoding="utf-8"?>
<calcChain xmlns="http://schemas.openxmlformats.org/spreadsheetml/2006/main">
  <c r="G4" i="35" l="1"/>
  <c r="F4" i="35"/>
  <c r="C50" i="35"/>
  <c r="C49" i="35"/>
  <c r="H48" i="35"/>
  <c r="G48" i="35"/>
  <c r="C48" i="35"/>
  <c r="B8" i="35"/>
  <c r="B7" i="35"/>
  <c r="B6" i="35"/>
  <c r="B5" i="35"/>
  <c r="B4" i="35"/>
  <c r="J4" i="35" l="1"/>
  <c r="G4" i="34"/>
  <c r="F4" i="34"/>
  <c r="C50" i="34"/>
  <c r="C49" i="34"/>
  <c r="G48" i="34"/>
  <c r="H48" i="34" s="1"/>
  <c r="C48" i="34"/>
  <c r="B8" i="34"/>
  <c r="B7" i="34"/>
  <c r="B6" i="34"/>
  <c r="B5" i="34"/>
  <c r="B4" i="34"/>
  <c r="I4" i="35" l="1"/>
  <c r="J4" i="34"/>
  <c r="G4" i="33"/>
  <c r="F4" i="33"/>
  <c r="C50" i="33"/>
  <c r="C49" i="33"/>
  <c r="G48" i="33"/>
  <c r="H48" i="33" s="1"/>
  <c r="C48" i="33"/>
  <c r="B8" i="33"/>
  <c r="B7" i="33"/>
  <c r="B6" i="33"/>
  <c r="B5" i="33"/>
  <c r="B4" i="33"/>
  <c r="I4" i="34" l="1"/>
  <c r="I4" i="33"/>
  <c r="G4" i="32"/>
  <c r="I4" i="32" s="1"/>
  <c r="F4" i="32"/>
  <c r="C50" i="32"/>
  <c r="C49" i="32"/>
  <c r="G48" i="32"/>
  <c r="H48" i="32" s="1"/>
  <c r="C48" i="32"/>
  <c r="B9" i="32"/>
  <c r="B8" i="32"/>
  <c r="B7" i="32"/>
  <c r="B6" i="32"/>
  <c r="B5" i="32"/>
  <c r="B4" i="32"/>
  <c r="J4" i="33" l="1"/>
  <c r="J4" i="32"/>
  <c r="G4" i="31"/>
  <c r="F4" i="31"/>
  <c r="C50" i="31" l="1"/>
  <c r="C49" i="31"/>
  <c r="H48" i="31"/>
  <c r="G48" i="31"/>
  <c r="C48" i="31"/>
  <c r="B9" i="31"/>
  <c r="B8" i="31"/>
  <c r="B7" i="31"/>
  <c r="B6" i="31"/>
  <c r="B5" i="31"/>
  <c r="I4" i="31"/>
  <c r="B4" i="31"/>
  <c r="G4" i="30"/>
  <c r="F4" i="30"/>
  <c r="B9" i="30"/>
  <c r="C50" i="30"/>
  <c r="C49" i="30"/>
  <c r="G48" i="30"/>
  <c r="H48" i="30" s="1"/>
  <c r="C48" i="30"/>
  <c r="B8" i="30"/>
  <c r="B7" i="30"/>
  <c r="B6" i="30"/>
  <c r="B5" i="30"/>
  <c r="B4" i="30"/>
  <c r="J4" i="31" l="1"/>
  <c r="J4" i="30"/>
  <c r="J4" i="17"/>
  <c r="I4" i="17"/>
  <c r="J15" i="18"/>
  <c r="I15" i="18"/>
  <c r="J4" i="18"/>
  <c r="I4" i="18"/>
  <c r="J16" i="19"/>
  <c r="I16" i="19"/>
  <c r="J4" i="19"/>
  <c r="I4" i="19"/>
  <c r="J4" i="20"/>
  <c r="I4" i="20"/>
  <c r="J4" i="21"/>
  <c r="I4" i="21"/>
  <c r="J4" i="23"/>
  <c r="I4" i="23"/>
  <c r="J4" i="24"/>
  <c r="I4" i="24"/>
  <c r="J4" i="25"/>
  <c r="I4" i="25"/>
  <c r="J4" i="26"/>
  <c r="I4" i="26"/>
  <c r="J4" i="29"/>
  <c r="I4" i="29"/>
  <c r="J4" i="28"/>
  <c r="I4" i="28"/>
  <c r="J4" i="27"/>
  <c r="I4" i="27"/>
  <c r="I4" i="30" l="1"/>
  <c r="G4" i="29"/>
  <c r="F4" i="29"/>
  <c r="C50" i="29"/>
  <c r="C49" i="29"/>
  <c r="G48" i="29"/>
  <c r="H48" i="29" s="1"/>
  <c r="C48" i="29"/>
  <c r="B8" i="29"/>
  <c r="B7" i="29"/>
  <c r="B6" i="29"/>
  <c r="B5" i="29"/>
  <c r="B4" i="29"/>
  <c r="G4" i="26" l="1"/>
  <c r="F4" i="26"/>
  <c r="G4" i="27"/>
  <c r="F4" i="27"/>
  <c r="G4" i="28"/>
  <c r="F4" i="28"/>
  <c r="C50" i="28"/>
  <c r="C49" i="28"/>
  <c r="G48" i="28"/>
  <c r="H48" i="28" s="1"/>
  <c r="C48" i="28"/>
  <c r="B8" i="28"/>
  <c r="B7" i="28"/>
  <c r="B6" i="28"/>
  <c r="B5" i="28"/>
  <c r="B4" i="28"/>
  <c r="C50" i="27"/>
  <c r="C49" i="27"/>
  <c r="G48" i="27"/>
  <c r="H48" i="27" s="1"/>
  <c r="C48" i="27"/>
  <c r="B8" i="27"/>
  <c r="B7" i="27"/>
  <c r="B6" i="27"/>
  <c r="B5" i="27"/>
  <c r="B4" i="27"/>
  <c r="C50" i="26"/>
  <c r="C49" i="26"/>
  <c r="G48" i="26"/>
  <c r="H48" i="26" s="1"/>
  <c r="C48" i="26"/>
  <c r="B8" i="26"/>
  <c r="B7" i="26"/>
  <c r="B6" i="26"/>
  <c r="B5" i="26"/>
  <c r="B4" i="26"/>
  <c r="G4" i="25" l="1"/>
  <c r="F4" i="25"/>
  <c r="C50" i="25"/>
  <c r="C49" i="25"/>
  <c r="G48" i="25"/>
  <c r="H48" i="25" s="1"/>
  <c r="C48" i="25"/>
  <c r="B8" i="25"/>
  <c r="B7" i="25"/>
  <c r="B6" i="25"/>
  <c r="B5" i="25"/>
  <c r="B4" i="25"/>
  <c r="G4" i="23" l="1"/>
  <c r="F4" i="23"/>
  <c r="G4" i="24"/>
  <c r="F4" i="24"/>
  <c r="C50" i="23"/>
  <c r="C49" i="23"/>
  <c r="G48" i="23"/>
  <c r="H48" i="23" s="1"/>
  <c r="C48" i="23"/>
  <c r="B9" i="23"/>
  <c r="B8" i="23"/>
  <c r="B7" i="23"/>
  <c r="B6" i="23"/>
  <c r="B5" i="23"/>
  <c r="B4" i="23"/>
  <c r="C50" i="24"/>
  <c r="C49" i="24"/>
  <c r="H48" i="24"/>
  <c r="G48" i="24"/>
  <c r="C48" i="24"/>
  <c r="B9" i="24"/>
  <c r="B8" i="24"/>
  <c r="B7" i="24"/>
  <c r="B6" i="24"/>
  <c r="B5" i="24"/>
  <c r="B4" i="24"/>
  <c r="G4" i="22" l="1"/>
  <c r="F4" i="22"/>
  <c r="B9" i="22"/>
  <c r="B8" i="22"/>
  <c r="B7" i="22"/>
  <c r="B6" i="22"/>
  <c r="B5" i="22"/>
  <c r="B4" i="22"/>
  <c r="G5" i="21"/>
  <c r="F5" i="21"/>
  <c r="B12" i="21"/>
  <c r="B13" i="21"/>
  <c r="B14" i="21"/>
  <c r="B15" i="21"/>
  <c r="B16" i="21"/>
  <c r="B17" i="21"/>
  <c r="G4" i="20"/>
  <c r="F4" i="20"/>
  <c r="G4" i="21"/>
  <c r="F4" i="21"/>
  <c r="C50" i="21"/>
  <c r="C49" i="21"/>
  <c r="G48" i="21"/>
  <c r="H48" i="21" s="1"/>
  <c r="C48" i="21"/>
  <c r="B9" i="21"/>
  <c r="B8" i="21"/>
  <c r="B7" i="21"/>
  <c r="B6" i="21"/>
  <c r="B5" i="21"/>
  <c r="B4" i="21"/>
  <c r="C50" i="20"/>
  <c r="C49" i="20"/>
  <c r="G48" i="20"/>
  <c r="H48" i="20" s="1"/>
  <c r="C48" i="20"/>
  <c r="B9" i="20"/>
  <c r="B8" i="20"/>
  <c r="B7" i="20"/>
  <c r="B6" i="20"/>
  <c r="B5" i="20"/>
  <c r="B4" i="20"/>
  <c r="F15" i="18"/>
  <c r="G15" i="18" s="1"/>
  <c r="B16" i="18"/>
  <c r="B17" i="18"/>
  <c r="B18" i="18"/>
  <c r="B19" i="18"/>
  <c r="B15" i="18"/>
  <c r="F16" i="19"/>
  <c r="G16" i="19" s="1"/>
  <c r="B16" i="19"/>
  <c r="B17" i="19"/>
  <c r="B18" i="19"/>
  <c r="B19" i="19"/>
  <c r="B20" i="19"/>
  <c r="B15" i="19"/>
  <c r="B8" i="17"/>
  <c r="G4" i="17"/>
  <c r="F4" i="17"/>
  <c r="G4" i="18"/>
  <c r="F4" i="18"/>
  <c r="F4" i="19"/>
  <c r="G4" i="19" s="1"/>
  <c r="B4" i="19"/>
  <c r="B5" i="19"/>
  <c r="B6" i="19"/>
  <c r="B7" i="19"/>
  <c r="B8" i="19"/>
  <c r="B9" i="19"/>
  <c r="C48" i="19"/>
  <c r="G48" i="19"/>
  <c r="H48" i="19" s="1"/>
  <c r="C49" i="19"/>
  <c r="C50" i="19"/>
  <c r="B4" i="18"/>
  <c r="B5" i="18"/>
  <c r="B6" i="18"/>
  <c r="B7" i="18"/>
  <c r="B8" i="18"/>
  <c r="C48" i="18"/>
  <c r="G48" i="18"/>
  <c r="H48" i="18" s="1"/>
  <c r="C49" i="18"/>
  <c r="C50" i="18"/>
  <c r="B4" i="17"/>
  <c r="B5" i="17"/>
  <c r="B6" i="17"/>
  <c r="B7" i="17"/>
  <c r="C48" i="17"/>
  <c r="G48" i="17"/>
  <c r="H48" i="17"/>
  <c r="C49" i="17"/>
  <c r="C50" i="17"/>
  <c r="F4" i="16"/>
  <c r="G4" i="16"/>
  <c r="B7" i="16"/>
  <c r="B8" i="16"/>
  <c r="B9" i="16"/>
  <c r="F4" i="15"/>
  <c r="G4" i="15" s="1"/>
  <c r="B7" i="15"/>
  <c r="B8" i="15"/>
  <c r="B6" i="16"/>
  <c r="B5" i="16"/>
  <c r="B4" i="16"/>
  <c r="C50" i="16"/>
  <c r="C49" i="16"/>
  <c r="G48" i="16"/>
  <c r="H48" i="16"/>
  <c r="C48" i="16"/>
  <c r="B6" i="15"/>
  <c r="B5" i="15"/>
  <c r="B4" i="15"/>
  <c r="F4" i="14"/>
  <c r="G4" i="14"/>
  <c r="B4" i="14"/>
  <c r="B5" i="14"/>
  <c r="B6" i="14"/>
  <c r="F6" i="13"/>
  <c r="G6" i="13" s="1"/>
  <c r="B28" i="13"/>
  <c r="B27" i="13"/>
  <c r="B26" i="13"/>
  <c r="B25" i="13"/>
  <c r="F5" i="13"/>
  <c r="G5" i="13" s="1"/>
  <c r="F4" i="13"/>
  <c r="G4" i="13" s="1"/>
  <c r="B17" i="13"/>
  <c r="B16" i="13"/>
  <c r="B15" i="13"/>
  <c r="B14" i="13"/>
  <c r="F9" i="13"/>
  <c r="G9" i="13" s="1"/>
  <c r="B9" i="13"/>
  <c r="B8" i="13"/>
  <c r="B7" i="13"/>
  <c r="B6" i="13"/>
  <c r="B5" i="13"/>
  <c r="B4" i="13"/>
  <c r="F5" i="12"/>
  <c r="G5" i="12"/>
  <c r="F6" i="12"/>
  <c r="G6" i="12" s="1"/>
  <c r="B36" i="12"/>
  <c r="B35" i="12"/>
  <c r="B34" i="12"/>
  <c r="B33" i="12"/>
  <c r="B32" i="12"/>
  <c r="B25" i="12"/>
  <c r="B24" i="12"/>
  <c r="B23" i="12"/>
  <c r="B22" i="12"/>
  <c r="F6" i="7"/>
  <c r="G6" i="7" s="1"/>
  <c r="B16" i="7"/>
  <c r="B15" i="7"/>
  <c r="B14" i="7"/>
  <c r="B13" i="7"/>
  <c r="B12" i="7"/>
  <c r="B11" i="7"/>
  <c r="F4" i="8"/>
  <c r="G4" i="8"/>
  <c r="B17" i="8"/>
  <c r="B16" i="8"/>
  <c r="B15" i="8"/>
  <c r="B14" i="8"/>
  <c r="B13" i="8"/>
  <c r="B12" i="8"/>
  <c r="B4" i="8"/>
  <c r="F6" i="9"/>
  <c r="G6" i="9" s="1"/>
  <c r="B16" i="9"/>
  <c r="B15" i="9"/>
  <c r="B14" i="9"/>
  <c r="B13" i="9"/>
  <c r="B12" i="9"/>
  <c r="F4" i="11"/>
  <c r="G4" i="11"/>
  <c r="B4" i="11"/>
  <c r="F6" i="11"/>
  <c r="G6" i="11"/>
  <c r="B11" i="11"/>
  <c r="B16" i="11"/>
  <c r="B15" i="11"/>
  <c r="B14" i="11"/>
  <c r="B13" i="11"/>
  <c r="B12" i="11"/>
  <c r="F9" i="12"/>
  <c r="G9" i="12"/>
  <c r="B18" i="12"/>
  <c r="B17" i="12"/>
  <c r="B16" i="12"/>
  <c r="B15" i="12"/>
  <c r="B14" i="12"/>
  <c r="B13" i="12"/>
  <c r="B4" i="12"/>
  <c r="F4" i="12"/>
  <c r="G4" i="12"/>
  <c r="B5" i="12"/>
  <c r="B6" i="12"/>
  <c r="B7" i="12"/>
  <c r="B8" i="12"/>
  <c r="B9" i="12"/>
  <c r="B5" i="11"/>
  <c r="B6" i="11"/>
  <c r="B7" i="11"/>
  <c r="B8" i="11"/>
  <c r="B9" i="11"/>
  <c r="F4" i="10"/>
  <c r="G4" i="10"/>
  <c r="B9" i="10"/>
  <c r="B8" i="10"/>
  <c r="B7" i="10"/>
  <c r="B6" i="10"/>
  <c r="F5" i="10"/>
  <c r="G5" i="10" s="1"/>
  <c r="B5" i="10"/>
  <c r="B4" i="10"/>
  <c r="F4" i="9"/>
  <c r="G4" i="9" s="1"/>
  <c r="B9" i="9"/>
  <c r="B8" i="9"/>
  <c r="B7" i="9"/>
  <c r="B6" i="9"/>
  <c r="B5" i="9"/>
  <c r="B4" i="9"/>
  <c r="B9" i="8"/>
  <c r="B5" i="8"/>
  <c r="B6" i="8"/>
  <c r="B7" i="8"/>
  <c r="B8" i="8"/>
  <c r="F4" i="7"/>
  <c r="G4" i="7"/>
  <c r="B4" i="7"/>
  <c r="B5" i="7"/>
  <c r="B6" i="7"/>
  <c r="B7" i="7"/>
  <c r="B8" i="7"/>
  <c r="F4" i="4"/>
  <c r="G4" i="4"/>
  <c r="B10" i="4"/>
  <c r="B9" i="4"/>
  <c r="B8" i="4"/>
  <c r="B7" i="4"/>
  <c r="B6" i="4"/>
  <c r="B5" i="4"/>
  <c r="B4" i="4"/>
  <c r="F4" i="1"/>
  <c r="G4" i="1"/>
  <c r="F4" i="6"/>
  <c r="G4" i="6" s="1"/>
  <c r="F5" i="5"/>
  <c r="G5" i="5"/>
  <c r="B14" i="5"/>
  <c r="B15" i="5"/>
  <c r="B16" i="5"/>
  <c r="B17" i="5"/>
  <c r="B18" i="5"/>
  <c r="B19" i="5"/>
  <c r="B13" i="5"/>
  <c r="F4" i="5"/>
  <c r="G4" i="5"/>
  <c r="B10" i="5"/>
  <c r="B9" i="5"/>
  <c r="B10" i="6"/>
  <c r="B9" i="6"/>
  <c r="B8" i="6"/>
  <c r="B7" i="6"/>
  <c r="B6" i="6"/>
  <c r="B5" i="6"/>
  <c r="B4" i="6"/>
  <c r="B10" i="1"/>
  <c r="B9" i="1"/>
  <c r="F4" i="2"/>
  <c r="G4" i="2" s="1"/>
  <c r="B9" i="2"/>
  <c r="F4" i="3"/>
  <c r="G4" i="3"/>
  <c r="B8" i="5"/>
  <c r="B7" i="5"/>
  <c r="B6" i="5"/>
  <c r="B5" i="5"/>
  <c r="B4" i="5"/>
  <c r="B8" i="3"/>
  <c r="B7" i="3"/>
  <c r="B6" i="3"/>
  <c r="B5" i="3"/>
  <c r="B4" i="3"/>
  <c r="B8" i="2"/>
  <c r="B7" i="2"/>
  <c r="B6" i="2"/>
  <c r="B5" i="2"/>
  <c r="B4" i="2"/>
  <c r="B5" i="1"/>
  <c r="B6" i="1"/>
  <c r="B7" i="1"/>
  <c r="B8" i="1"/>
  <c r="B4" i="1"/>
</calcChain>
</file>

<file path=xl/sharedStrings.xml><?xml version="1.0" encoding="utf-8"?>
<sst xmlns="http://schemas.openxmlformats.org/spreadsheetml/2006/main" count="565" uniqueCount="73">
  <si>
    <t>Voc</t>
  </si>
  <si>
    <t>Jsc</t>
  </si>
  <si>
    <t>W1302</t>
  </si>
  <si>
    <t>GaAs on sub</t>
  </si>
  <si>
    <t>ln Jsc</t>
  </si>
  <si>
    <t>n</t>
  </si>
  <si>
    <t>W1340</t>
  </si>
  <si>
    <t>InGaP on sub</t>
  </si>
  <si>
    <t>W1438</t>
  </si>
  <si>
    <t>W1347</t>
  </si>
  <si>
    <t>tandem on sub</t>
  </si>
  <si>
    <t>W1295</t>
  </si>
  <si>
    <t>no ARC</t>
  </si>
  <si>
    <t>ARC</t>
  </si>
  <si>
    <t>C</t>
  </si>
  <si>
    <t>B</t>
  </si>
  <si>
    <t xml:space="preserve">ELO tandem </t>
  </si>
  <si>
    <t>Jsc [mA/cm2]</t>
  </si>
  <si>
    <t>W1535</t>
  </si>
  <si>
    <t>ELO GaAs</t>
  </si>
  <si>
    <t>W1542</t>
  </si>
  <si>
    <t>Jo [A/cm2]</t>
  </si>
  <si>
    <t>W1544</t>
  </si>
  <si>
    <t xml:space="preserve"> GaAs</t>
  </si>
  <si>
    <t>W1543</t>
  </si>
  <si>
    <t xml:space="preserve"> ARC</t>
  </si>
  <si>
    <t>Jo [A]/cm2]</t>
  </si>
  <si>
    <t>W1546</t>
  </si>
  <si>
    <t>W1549</t>
  </si>
  <si>
    <t>A</t>
  </si>
  <si>
    <t>H</t>
  </si>
  <si>
    <t>G</t>
  </si>
  <si>
    <t>A na anneal</t>
  </si>
  <si>
    <t>A na ARC</t>
  </si>
  <si>
    <t>na anneal</t>
  </si>
  <si>
    <t>na ARC</t>
  </si>
  <si>
    <t>W1550</t>
  </si>
  <si>
    <t>A na anneal 30' op 175C</t>
  </si>
  <si>
    <t>na anneal 175C</t>
  </si>
  <si>
    <t>A na anneal 200C</t>
  </si>
  <si>
    <t>na anneal 200C</t>
  </si>
  <si>
    <t>W1554</t>
  </si>
  <si>
    <t>W1575</t>
  </si>
  <si>
    <t>W1582</t>
  </si>
  <si>
    <t>W1628</t>
  </si>
  <si>
    <t>GaAs sub</t>
  </si>
  <si>
    <t>W1620</t>
  </si>
  <si>
    <t>W1623</t>
  </si>
  <si>
    <t>E</t>
  </si>
  <si>
    <t>W1628ARC</t>
  </si>
  <si>
    <t>F</t>
  </si>
  <si>
    <t>W1623ARC</t>
  </si>
  <si>
    <t>W1657</t>
  </si>
  <si>
    <t>W1653</t>
  </si>
  <si>
    <t>D</t>
  </si>
  <si>
    <t>W1642</t>
  </si>
  <si>
    <t>W1660</t>
  </si>
  <si>
    <t>W1662</t>
  </si>
  <si>
    <t>W1664</t>
  </si>
  <si>
    <t>W1670</t>
  </si>
  <si>
    <t>W1671</t>
  </si>
  <si>
    <t>W1672</t>
  </si>
  <si>
    <t>W1673</t>
  </si>
  <si>
    <t>Voc bij</t>
  </si>
  <si>
    <t xml:space="preserve"> 29.6 mA/cm2</t>
  </si>
  <si>
    <t>21 mA/cm2</t>
  </si>
  <si>
    <t>W1674</t>
  </si>
  <si>
    <t>W1675</t>
  </si>
  <si>
    <t>W1678</t>
  </si>
  <si>
    <t>W1680</t>
  </si>
  <si>
    <t>W1682</t>
  </si>
  <si>
    <t>ELO  GaAs</t>
  </si>
  <si>
    <t>W1683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</si>
</sst>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E+00"/>
    <numFmt numFmtId="166" formatCode="0.0E+00"/>
    <numFmt numFmtId="167" formatCode="0.000"/>
  </numFmts>
  <fonts count="5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0800"/>
        <c:axId val="158901376"/>
      </c:scatterChart>
      <c:valAx>
        <c:axId val="15890080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01376"/>
        <c:crosses val="autoZero"/>
        <c:crossBetween val="midCat"/>
      </c:valAx>
      <c:valAx>
        <c:axId val="15890137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00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'W1675'!$A$1</c:f>
              <c:strCache>
                <c:ptCount val="1"/>
                <c:pt idx="0">
                  <c:v>W1675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'W1675'!$B$4:$B$10</c:f>
              <c:numCache>
                <c:formatCode>General</c:formatCode>
                <c:ptCount val="7"/>
                <c:pt idx="0">
                  <c:v>-4.1927956695789925</c:v>
                </c:pt>
                <c:pt idx="1">
                  <c:v>-4.3132471192790556</c:v>
                </c:pt>
                <c:pt idx="2">
                  <c:v>-4.6045703659161239</c:v>
                </c:pt>
                <c:pt idx="3">
                  <c:v>-4.8147807230197168</c:v>
                </c:pt>
                <c:pt idx="4">
                  <c:v>-5.4232005486947266</c:v>
                </c:pt>
                <c:pt idx="5">
                  <c:v>-5.7527626568779198</c:v>
                </c:pt>
              </c:numCache>
            </c:numRef>
          </c:xVal>
          <c:yVal>
            <c:numRef>
              <c:f>'W1675'!$C$4:$C$10</c:f>
              <c:numCache>
                <c:formatCode>General</c:formatCode>
                <c:ptCount val="7"/>
                <c:pt idx="0">
                  <c:v>1.0209999999999999</c:v>
                </c:pt>
                <c:pt idx="1">
                  <c:v>1.0169999999999999</c:v>
                </c:pt>
                <c:pt idx="2">
                  <c:v>1.01</c:v>
                </c:pt>
                <c:pt idx="3">
                  <c:v>1.004</c:v>
                </c:pt>
                <c:pt idx="4">
                  <c:v>0.98899999999999999</c:v>
                </c:pt>
                <c:pt idx="5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4880"/>
        <c:axId val="138420224"/>
      </c:scatterChart>
      <c:valAx>
        <c:axId val="13395488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0224"/>
        <c:crosses val="autoZero"/>
        <c:crossBetween val="midCat"/>
      </c:valAx>
      <c:valAx>
        <c:axId val="13842022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4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1952"/>
        <c:axId val="138422528"/>
      </c:scatterChart>
      <c:valAx>
        <c:axId val="13842195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2528"/>
        <c:crosses val="autoZero"/>
        <c:crossBetween val="midCat"/>
      </c:valAx>
      <c:valAx>
        <c:axId val="13842252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1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'W1674'!$A$1</c:f>
              <c:strCache>
                <c:ptCount val="1"/>
                <c:pt idx="0">
                  <c:v>W1674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'W1674'!$B$4:$B$10</c:f>
              <c:numCache>
                <c:formatCode>General</c:formatCode>
                <c:ptCount val="7"/>
                <c:pt idx="0">
                  <c:v>-4.1676897484479163</c:v>
                </c:pt>
                <c:pt idx="1">
                  <c:v>-4.2984210508190843</c:v>
                </c:pt>
                <c:pt idx="2">
                  <c:v>-4.5862503011355802</c:v>
                </c:pt>
                <c:pt idx="3">
                  <c:v>-4.8415256312745321</c:v>
                </c:pt>
                <c:pt idx="4">
                  <c:v>-5.3994645485529942</c:v>
                </c:pt>
                <c:pt idx="5">
                  <c:v>-5.5772379333312445</c:v>
                </c:pt>
              </c:numCache>
            </c:numRef>
          </c:xVal>
          <c:yVal>
            <c:numRef>
              <c:f>'W1674'!$C$4:$C$10</c:f>
              <c:numCache>
                <c:formatCode>General</c:formatCode>
                <c:ptCount val="7"/>
                <c:pt idx="0">
                  <c:v>1.012</c:v>
                </c:pt>
                <c:pt idx="1">
                  <c:v>1.008</c:v>
                </c:pt>
                <c:pt idx="2">
                  <c:v>1.002</c:v>
                </c:pt>
                <c:pt idx="3">
                  <c:v>0.995</c:v>
                </c:pt>
                <c:pt idx="4">
                  <c:v>0.98099999999999998</c:v>
                </c:pt>
                <c:pt idx="5">
                  <c:v>0.97699999999999998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4256"/>
        <c:axId val="138424832"/>
      </c:scatterChart>
      <c:valAx>
        <c:axId val="13842425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4832"/>
        <c:crosses val="autoZero"/>
        <c:crossBetween val="midCat"/>
      </c:valAx>
      <c:valAx>
        <c:axId val="13842483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4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6560"/>
        <c:axId val="138427136"/>
      </c:scatterChart>
      <c:valAx>
        <c:axId val="13842656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7136"/>
        <c:crosses val="autoZero"/>
        <c:crossBetween val="midCat"/>
      </c:valAx>
      <c:valAx>
        <c:axId val="13842713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26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'W1673'!$A$1</c:f>
              <c:strCache>
                <c:ptCount val="1"/>
                <c:pt idx="0">
                  <c:v>W1673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'W1673'!$B$4:$B$10</c:f>
              <c:numCache>
                <c:formatCode>General</c:formatCode>
                <c:ptCount val="7"/>
                <c:pt idx="0">
                  <c:v>-4.1413103915028451</c:v>
                </c:pt>
                <c:pt idx="1">
                  <c:v>-4.2526840026708133</c:v>
                </c:pt>
                <c:pt idx="2">
                  <c:v>-4.5418198704873296</c:v>
                </c:pt>
                <c:pt idx="3">
                  <c:v>-4.787171793971126</c:v>
                </c:pt>
                <c:pt idx="4">
                  <c:v>-5.3884609164010024</c:v>
                </c:pt>
              </c:numCache>
            </c:numRef>
          </c:xVal>
          <c:yVal>
            <c:numRef>
              <c:f>'W1673'!$C$4:$C$10</c:f>
              <c:numCache>
                <c:formatCode>General</c:formatCode>
                <c:ptCount val="7"/>
                <c:pt idx="0">
                  <c:v>1.042</c:v>
                </c:pt>
                <c:pt idx="1">
                  <c:v>1.038</c:v>
                </c:pt>
                <c:pt idx="2">
                  <c:v>1.03</c:v>
                </c:pt>
                <c:pt idx="3">
                  <c:v>1.022</c:v>
                </c:pt>
                <c:pt idx="4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0096"/>
        <c:axId val="145900672"/>
      </c:scatterChart>
      <c:valAx>
        <c:axId val="14590009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0672"/>
        <c:crosses val="autoZero"/>
        <c:crossBetween val="midCat"/>
      </c:valAx>
      <c:valAx>
        <c:axId val="14590067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0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400"/>
        <c:axId val="145902976"/>
      </c:scatterChart>
      <c:valAx>
        <c:axId val="14590240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2976"/>
        <c:crosses val="autoZero"/>
        <c:crossBetween val="midCat"/>
      </c:valAx>
      <c:valAx>
        <c:axId val="14590297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2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'W1672'!$A$1</c:f>
              <c:strCache>
                <c:ptCount val="1"/>
                <c:pt idx="0">
                  <c:v>W1672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'W1672'!$B$4:$B$10</c:f>
              <c:numCache>
                <c:formatCode>General</c:formatCode>
                <c:ptCount val="7"/>
                <c:pt idx="0">
                  <c:v>-4.1567733104964146</c:v>
                </c:pt>
                <c:pt idx="1">
                  <c:v>-4.2786039954863444</c:v>
                </c:pt>
                <c:pt idx="2">
                  <c:v>-4.5601012226205135</c:v>
                </c:pt>
                <c:pt idx="3">
                  <c:v>-4.7982696159539246</c:v>
                </c:pt>
                <c:pt idx="4">
                  <c:v>-5.3836574137150519</c:v>
                </c:pt>
              </c:numCache>
            </c:numRef>
          </c:xVal>
          <c:yVal>
            <c:numRef>
              <c:f>'W1672'!$C$4:$C$10</c:f>
              <c:numCache>
                <c:formatCode>General</c:formatCode>
                <c:ptCount val="7"/>
                <c:pt idx="0">
                  <c:v>1.0409999999999999</c:v>
                </c:pt>
                <c:pt idx="1">
                  <c:v>1.0369999999999999</c:v>
                </c:pt>
                <c:pt idx="2">
                  <c:v>1.028</c:v>
                </c:pt>
                <c:pt idx="3">
                  <c:v>1.0209999999999999</c:v>
                </c:pt>
                <c:pt idx="4">
                  <c:v>1.002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4704"/>
        <c:axId val="145905280"/>
      </c:scatterChart>
      <c:valAx>
        <c:axId val="14590470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5280"/>
        <c:crosses val="autoZero"/>
        <c:crossBetween val="midCat"/>
      </c:valAx>
      <c:valAx>
        <c:axId val="14590528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7008"/>
        <c:axId val="146391040"/>
      </c:scatterChart>
      <c:valAx>
        <c:axId val="14590700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1040"/>
        <c:crosses val="autoZero"/>
        <c:crossBetween val="midCat"/>
      </c:valAx>
      <c:valAx>
        <c:axId val="14639104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7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'W1671'!$A$1</c:f>
              <c:strCache>
                <c:ptCount val="1"/>
                <c:pt idx="0">
                  <c:v>W1671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'W1671'!$B$4:$B$10</c:f>
              <c:numCache>
                <c:formatCode>General</c:formatCode>
                <c:ptCount val="7"/>
                <c:pt idx="0">
                  <c:v>-4.1616388770734707</c:v>
                </c:pt>
                <c:pt idx="1">
                  <c:v>-4.2838115871769267</c:v>
                </c:pt>
                <c:pt idx="2">
                  <c:v>-4.5672002547364627</c:v>
                </c:pt>
                <c:pt idx="3">
                  <c:v>-4.8177447859530664</c:v>
                </c:pt>
                <c:pt idx="4">
                  <c:v>-5.4277429139884941</c:v>
                </c:pt>
              </c:numCache>
            </c:numRef>
          </c:xVal>
          <c:yVal>
            <c:numRef>
              <c:f>'W1671'!$C$4:$C$10</c:f>
              <c:numCache>
                <c:formatCode>General</c:formatCode>
                <c:ptCount val="7"/>
                <c:pt idx="0">
                  <c:v>1.0369999999999999</c:v>
                </c:pt>
                <c:pt idx="1">
                  <c:v>1.0329999999999999</c:v>
                </c:pt>
                <c:pt idx="2">
                  <c:v>1.0249999999999999</c:v>
                </c:pt>
                <c:pt idx="3">
                  <c:v>1.018</c:v>
                </c:pt>
                <c:pt idx="4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2768"/>
        <c:axId val="146393344"/>
      </c:scatterChart>
      <c:valAx>
        <c:axId val="14639276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3344"/>
        <c:crosses val="autoZero"/>
        <c:crossBetween val="midCat"/>
      </c:valAx>
      <c:valAx>
        <c:axId val="14639334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5072"/>
        <c:axId val="146395648"/>
      </c:scatterChart>
      <c:valAx>
        <c:axId val="14639507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5648"/>
        <c:crosses val="autoZero"/>
        <c:crossBetween val="midCat"/>
      </c:valAx>
      <c:valAx>
        <c:axId val="14639564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5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'W1683'!$A$1</c:f>
              <c:strCache>
                <c:ptCount val="1"/>
                <c:pt idx="0">
                  <c:v>W1683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'W1683'!$B$4:$B$10</c:f>
              <c:numCache>
                <c:formatCode>General</c:formatCode>
                <c:ptCount val="7"/>
                <c:pt idx="0">
                  <c:v>-4.0168281197942726</c:v>
                </c:pt>
                <c:pt idx="1">
                  <c:v>-4.1345417519735133</c:v>
                </c:pt>
                <c:pt idx="2">
                  <c:v>-4.4281124588692355</c:v>
                </c:pt>
                <c:pt idx="3">
                  <c:v>-4.6804326704886385</c:v>
                </c:pt>
                <c:pt idx="4">
                  <c:v>-5.2670125167196247</c:v>
                </c:pt>
              </c:numCache>
            </c:numRef>
          </c:xVal>
          <c:yVal>
            <c:numRef>
              <c:f>'W1683'!$C$4:$C$10</c:f>
              <c:numCache>
                <c:formatCode>General</c:formatCode>
                <c:ptCount val="7"/>
                <c:pt idx="0">
                  <c:v>1.0369999999999999</c:v>
                </c:pt>
                <c:pt idx="1">
                  <c:v>1.034</c:v>
                </c:pt>
                <c:pt idx="2">
                  <c:v>1.024</c:v>
                </c:pt>
                <c:pt idx="3">
                  <c:v>1.016</c:v>
                </c:pt>
                <c:pt idx="4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3680"/>
        <c:axId val="158904256"/>
      </c:scatterChart>
      <c:valAx>
        <c:axId val="15890368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04256"/>
        <c:crosses val="autoZero"/>
        <c:crossBetween val="midCat"/>
      </c:valAx>
      <c:valAx>
        <c:axId val="15890425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03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'W1670'!$A$1</c:f>
              <c:strCache>
                <c:ptCount val="1"/>
                <c:pt idx="0">
                  <c:v>W1670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'W1670'!$B$4:$B$10</c:f>
              <c:numCache>
                <c:formatCode>General</c:formatCode>
                <c:ptCount val="7"/>
                <c:pt idx="0">
                  <c:v>-4.1739073850587864</c:v>
                </c:pt>
                <c:pt idx="1">
                  <c:v>-4.3060290204474168</c:v>
                </c:pt>
                <c:pt idx="2">
                  <c:v>-4.5541919412234622</c:v>
                </c:pt>
                <c:pt idx="3">
                  <c:v>-4.7747729703742712</c:v>
                </c:pt>
                <c:pt idx="4">
                  <c:v>-5.3676674446828301</c:v>
                </c:pt>
              </c:numCache>
            </c:numRef>
          </c:xVal>
          <c:yVal>
            <c:numRef>
              <c:f>'W1670'!$C$4:$C$10</c:f>
              <c:numCache>
                <c:formatCode>General</c:formatCode>
                <c:ptCount val="7"/>
                <c:pt idx="0">
                  <c:v>1.044</c:v>
                </c:pt>
                <c:pt idx="1">
                  <c:v>1.04</c:v>
                </c:pt>
                <c:pt idx="2">
                  <c:v>1.0329999999999999</c:v>
                </c:pt>
                <c:pt idx="3">
                  <c:v>1.026</c:v>
                </c:pt>
                <c:pt idx="4">
                  <c:v>1.008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7952"/>
        <c:axId val="146398528"/>
      </c:scatterChart>
      <c:valAx>
        <c:axId val="14639795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8528"/>
        <c:crosses val="autoZero"/>
        <c:crossBetween val="midCat"/>
      </c:valAx>
      <c:valAx>
        <c:axId val="14639852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7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352"/>
        <c:axId val="146252928"/>
      </c:scatterChart>
      <c:valAx>
        <c:axId val="14625235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2928"/>
        <c:crosses val="autoZero"/>
        <c:crossBetween val="midCat"/>
      </c:valAx>
      <c:valAx>
        <c:axId val="14625292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'W1664'!$A$1</c:f>
              <c:strCache>
                <c:ptCount val="1"/>
                <c:pt idx="0">
                  <c:v>W1664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'W1664'!$B$4:$B$10</c:f>
              <c:numCache>
                <c:formatCode>General</c:formatCode>
                <c:ptCount val="7"/>
                <c:pt idx="0">
                  <c:v>-3.8877695136274415</c:v>
                </c:pt>
                <c:pt idx="1">
                  <c:v>-4.0204437543825664</c:v>
                </c:pt>
                <c:pt idx="2">
                  <c:v>-4.2752191663571439</c:v>
                </c:pt>
                <c:pt idx="3">
                  <c:v>-4.5436988638999898</c:v>
                </c:pt>
                <c:pt idx="4">
                  <c:v>-5.1478305332741003</c:v>
                </c:pt>
              </c:numCache>
            </c:numRef>
          </c:xVal>
          <c:yVal>
            <c:numRef>
              <c:f>'W1664'!$C$4:$C$10</c:f>
              <c:numCache>
                <c:formatCode>General</c:formatCode>
                <c:ptCount val="7"/>
                <c:pt idx="0">
                  <c:v>1.004</c:v>
                </c:pt>
                <c:pt idx="1">
                  <c:v>1.0009999999999999</c:v>
                </c:pt>
                <c:pt idx="2">
                  <c:v>0.99399999999999999</c:v>
                </c:pt>
                <c:pt idx="3">
                  <c:v>0.98799999999999999</c:v>
                </c:pt>
                <c:pt idx="4">
                  <c:v>0.97099999999999997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4656"/>
        <c:axId val="146255232"/>
      </c:scatterChart>
      <c:valAx>
        <c:axId val="14625465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5232"/>
        <c:crosses val="autoZero"/>
        <c:crossBetween val="midCat"/>
      </c:valAx>
      <c:valAx>
        <c:axId val="14625523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4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6960"/>
        <c:axId val="146257536"/>
      </c:scatterChart>
      <c:valAx>
        <c:axId val="14625696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7536"/>
        <c:crosses val="autoZero"/>
        <c:crossBetween val="midCat"/>
      </c:valAx>
      <c:valAx>
        <c:axId val="14625753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6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'W1662'!$A$1</c:f>
              <c:strCache>
                <c:ptCount val="1"/>
                <c:pt idx="0">
                  <c:v>W1662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'W1662'!$B$4:$B$10</c:f>
              <c:numCache>
                <c:formatCode>General</c:formatCode>
                <c:ptCount val="7"/>
                <c:pt idx="0">
                  <c:v>-3.8573927847770313</c:v>
                </c:pt>
                <c:pt idx="1">
                  <c:v>-3.985454283514029</c:v>
                </c:pt>
                <c:pt idx="2">
                  <c:v>-4.2607297797177015</c:v>
                </c:pt>
                <c:pt idx="3">
                  <c:v>-4.5345253464187589</c:v>
                </c:pt>
                <c:pt idx="4">
                  <c:v>-5.0175088630394278</c:v>
                </c:pt>
                <c:pt idx="5">
                  <c:v>-5.2895558608794637</c:v>
                </c:pt>
              </c:numCache>
            </c:numRef>
          </c:xVal>
          <c:yVal>
            <c:numRef>
              <c:f>'W1662'!$C$4:$C$10</c:f>
              <c:numCache>
                <c:formatCode>General</c:formatCode>
                <c:ptCount val="7"/>
                <c:pt idx="0">
                  <c:v>1.026</c:v>
                </c:pt>
                <c:pt idx="1">
                  <c:v>1.022</c:v>
                </c:pt>
                <c:pt idx="2">
                  <c:v>1.014</c:v>
                </c:pt>
                <c:pt idx="3">
                  <c:v>1.006</c:v>
                </c:pt>
                <c:pt idx="4">
                  <c:v>0.99199999999999999</c:v>
                </c:pt>
                <c:pt idx="5">
                  <c:v>0.98299999999999998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9264"/>
        <c:axId val="146923520"/>
      </c:scatterChart>
      <c:valAx>
        <c:axId val="14625926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3520"/>
        <c:crosses val="autoZero"/>
        <c:crossBetween val="midCat"/>
      </c:valAx>
      <c:valAx>
        <c:axId val="14692352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9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5248"/>
        <c:axId val="146925824"/>
      </c:scatterChart>
      <c:valAx>
        <c:axId val="14692524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5824"/>
        <c:crosses val="autoZero"/>
        <c:crossBetween val="midCat"/>
      </c:valAx>
      <c:valAx>
        <c:axId val="14692582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5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'W1660'!$A$1</c:f>
              <c:strCache>
                <c:ptCount val="1"/>
                <c:pt idx="0">
                  <c:v>W1660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'W1660'!$B$4:$B$10</c:f>
              <c:numCache>
                <c:formatCode>General</c:formatCode>
                <c:ptCount val="7"/>
                <c:pt idx="0">
                  <c:v>-3.9645802561668222</c:v>
                </c:pt>
                <c:pt idx="1">
                  <c:v>-4.0889391975635503</c:v>
                </c:pt>
                <c:pt idx="2">
                  <c:v>-4.3521572010716039</c:v>
                </c:pt>
                <c:pt idx="3">
                  <c:v>-4.6397616307577101</c:v>
                </c:pt>
                <c:pt idx="4">
                  <c:v>-5.0916284533057876</c:v>
                </c:pt>
                <c:pt idx="5">
                  <c:v>-5.3823513621580457</c:v>
                </c:pt>
              </c:numCache>
            </c:numRef>
          </c:xVal>
          <c:yVal>
            <c:numRef>
              <c:f>'W1660'!$C$4:$C$10</c:f>
              <c:numCache>
                <c:formatCode>General</c:formatCode>
                <c:ptCount val="7"/>
                <c:pt idx="0">
                  <c:v>0.98499999999999999</c:v>
                </c:pt>
                <c:pt idx="1">
                  <c:v>0.98199999999999998</c:v>
                </c:pt>
                <c:pt idx="2">
                  <c:v>0.97599999999999998</c:v>
                </c:pt>
                <c:pt idx="3">
                  <c:v>0.96899999999999997</c:v>
                </c:pt>
                <c:pt idx="4">
                  <c:v>0.95799999999999996</c:v>
                </c:pt>
                <c:pt idx="5">
                  <c:v>0.95099999999999996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7552"/>
        <c:axId val="146928128"/>
      </c:scatterChart>
      <c:valAx>
        <c:axId val="14692755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8128"/>
        <c:crosses val="autoZero"/>
        <c:crossBetween val="midCat"/>
      </c:valAx>
      <c:valAx>
        <c:axId val="14692812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0432"/>
        <c:axId val="146931008"/>
      </c:scatterChart>
      <c:valAx>
        <c:axId val="14693043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1008"/>
        <c:crosses val="autoZero"/>
        <c:crossBetween val="midCat"/>
      </c:valAx>
      <c:valAx>
        <c:axId val="14693100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0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'W1657'!$A$1</c:f>
              <c:strCache>
                <c:ptCount val="1"/>
                <c:pt idx="0">
                  <c:v>W1657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'W1657'!$B$4:$B$10</c:f>
              <c:numCache>
                <c:formatCode>General</c:formatCode>
                <c:ptCount val="7"/>
                <c:pt idx="0">
                  <c:v>-3.8964942038105193</c:v>
                </c:pt>
                <c:pt idx="1">
                  <c:v>-4.0362832228088301</c:v>
                </c:pt>
                <c:pt idx="2">
                  <c:v>-4.3146670963496083</c:v>
                </c:pt>
                <c:pt idx="3">
                  <c:v>-4.4962260989989122</c:v>
                </c:pt>
                <c:pt idx="4">
                  <c:v>-5.1657114020000146</c:v>
                </c:pt>
                <c:pt idx="5">
                  <c:v>-5.3281582085590582</c:v>
                </c:pt>
              </c:numCache>
            </c:numRef>
          </c:xVal>
          <c:yVal>
            <c:numRef>
              <c:f>'W1657'!$C$4:$C$10</c:f>
              <c:numCache>
                <c:formatCode>General</c:formatCode>
                <c:ptCount val="7"/>
                <c:pt idx="0">
                  <c:v>1.01</c:v>
                </c:pt>
                <c:pt idx="1">
                  <c:v>1.006</c:v>
                </c:pt>
                <c:pt idx="2">
                  <c:v>0.998</c:v>
                </c:pt>
                <c:pt idx="3">
                  <c:v>0.99399999999999999</c:v>
                </c:pt>
                <c:pt idx="4">
                  <c:v>0.97599999999999998</c:v>
                </c:pt>
                <c:pt idx="5">
                  <c:v>0.97099999999999997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'W1657'!$A$11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'W1657'!$B$12:$B$17</c:f>
              <c:numCache>
                <c:formatCode>General</c:formatCode>
                <c:ptCount val="6"/>
                <c:pt idx="0">
                  <c:v>-3.9088281145316266</c:v>
                </c:pt>
                <c:pt idx="1">
                  <c:v>-4.0213357653688471</c:v>
                </c:pt>
                <c:pt idx="2">
                  <c:v>-4.2896297854079135</c:v>
                </c:pt>
                <c:pt idx="3">
                  <c:v>-4.5549524698274739</c:v>
                </c:pt>
                <c:pt idx="4">
                  <c:v>-5.0132888115618188</c:v>
                </c:pt>
                <c:pt idx="5">
                  <c:v>-5.2979174465267098</c:v>
                </c:pt>
              </c:numCache>
            </c:numRef>
          </c:xVal>
          <c:yVal>
            <c:numRef>
              <c:f>'W1657'!$C$12:$C$17</c:f>
              <c:numCache>
                <c:formatCode>General</c:formatCode>
                <c:ptCount val="6"/>
                <c:pt idx="0">
                  <c:v>1.008</c:v>
                </c:pt>
                <c:pt idx="1">
                  <c:v>1.0049999999999999</c:v>
                </c:pt>
                <c:pt idx="2">
                  <c:v>0.998</c:v>
                </c:pt>
                <c:pt idx="3">
                  <c:v>0.99</c:v>
                </c:pt>
                <c:pt idx="4">
                  <c:v>0.97799999999999998</c:v>
                </c:pt>
                <c:pt idx="5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4832"/>
        <c:axId val="146785408"/>
      </c:scatterChart>
      <c:valAx>
        <c:axId val="14678483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5408"/>
        <c:crosses val="autoZero"/>
        <c:crossBetween val="midCat"/>
      </c:valAx>
      <c:valAx>
        <c:axId val="14678540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4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3678756476683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580310880829016"/>
          <c:w val="0.73166926677067079"/>
          <c:h val="0.71761658031088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'ELO tandem W1653'!$A$1</c:f>
              <c:strCache>
                <c:ptCount val="1"/>
                <c:pt idx="0">
                  <c:v>W1653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tandem W1653'!$B$4:$B$10</c:f>
              <c:numCache>
                <c:formatCode>General</c:formatCode>
                <c:ptCount val="7"/>
                <c:pt idx="0">
                  <c:v>-4.6580436755951595</c:v>
                </c:pt>
                <c:pt idx="1">
                  <c:v>-4.8174974448684518</c:v>
                </c:pt>
                <c:pt idx="2">
                  <c:v>-5.0534906044026853</c:v>
                </c:pt>
                <c:pt idx="3">
                  <c:v>-5.320358497424917</c:v>
                </c:pt>
                <c:pt idx="4">
                  <c:v>-5.7988626809064705</c:v>
                </c:pt>
                <c:pt idx="5">
                  <c:v>-5.9615174707400298</c:v>
                </c:pt>
              </c:numCache>
            </c:numRef>
          </c:xVal>
          <c:yVal>
            <c:numRef>
              <c:f>'ELO tandem W1653'!$C$4:$C$10</c:f>
              <c:numCache>
                <c:formatCode>General</c:formatCode>
                <c:ptCount val="7"/>
                <c:pt idx="0">
                  <c:v>2.431</c:v>
                </c:pt>
                <c:pt idx="1">
                  <c:v>2.42</c:v>
                </c:pt>
                <c:pt idx="2">
                  <c:v>2.403</c:v>
                </c:pt>
                <c:pt idx="3">
                  <c:v>2.383</c:v>
                </c:pt>
                <c:pt idx="4">
                  <c:v>2.3490000000000002</c:v>
                </c:pt>
                <c:pt idx="5">
                  <c:v>2.3370000000000002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712"/>
        <c:axId val="146788288"/>
      </c:scatterChart>
      <c:valAx>
        <c:axId val="1467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8288"/>
        <c:crosses val="autoZero"/>
        <c:crossBetween val="midCat"/>
      </c:valAx>
      <c:valAx>
        <c:axId val="14678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7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9119170984456"/>
          <c:w val="0.19344773790951639"/>
          <c:h val="0.111398963730569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3504"/>
        <c:axId val="136036352"/>
      </c:scatterChart>
      <c:valAx>
        <c:axId val="13577350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6352"/>
        <c:crosses val="autoZero"/>
        <c:crossBetween val="midCat"/>
      </c:valAx>
      <c:valAx>
        <c:axId val="13603635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7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0016"/>
        <c:axId val="146790592"/>
      </c:scatterChart>
      <c:valAx>
        <c:axId val="14679001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0592"/>
        <c:crosses val="autoZero"/>
        <c:crossBetween val="midCat"/>
      </c:valAx>
      <c:valAx>
        <c:axId val="14679059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0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'W1642'!$A$1</c:f>
              <c:strCache>
                <c:ptCount val="1"/>
                <c:pt idx="0">
                  <c:v>W1642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'W1642'!$B$4:$B$10</c:f>
              <c:numCache>
                <c:formatCode>General</c:formatCode>
                <c:ptCount val="7"/>
                <c:pt idx="0">
                  <c:v>-4.0055098485216103</c:v>
                </c:pt>
                <c:pt idx="1">
                  <c:v>-4.0940246134111806</c:v>
                </c:pt>
                <c:pt idx="2">
                  <c:v>-4.3779549353038281</c:v>
                </c:pt>
                <c:pt idx="3">
                  <c:v>-4.6569899347178882</c:v>
                </c:pt>
                <c:pt idx="4">
                  <c:v>-5.121343416080677</c:v>
                </c:pt>
                <c:pt idx="5">
                  <c:v>-5.4304782701503758</c:v>
                </c:pt>
              </c:numCache>
            </c:numRef>
          </c:xVal>
          <c:yVal>
            <c:numRef>
              <c:f>'W1642'!$C$4:$C$10</c:f>
              <c:numCache>
                <c:formatCode>General</c:formatCode>
                <c:ptCount val="7"/>
                <c:pt idx="0">
                  <c:v>1.0129999999999999</c:v>
                </c:pt>
                <c:pt idx="1">
                  <c:v>1.01</c:v>
                </c:pt>
                <c:pt idx="2">
                  <c:v>1</c:v>
                </c:pt>
                <c:pt idx="3">
                  <c:v>0.99</c:v>
                </c:pt>
                <c:pt idx="4">
                  <c:v>0.97199999999999998</c:v>
                </c:pt>
                <c:pt idx="5">
                  <c:v>0.96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608"/>
        <c:axId val="149701184"/>
      </c:scatterChart>
      <c:valAx>
        <c:axId val="14970060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1184"/>
        <c:crosses val="autoZero"/>
        <c:crossBetween val="midCat"/>
      </c:valAx>
      <c:valAx>
        <c:axId val="14970118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0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2912"/>
        <c:axId val="149703488"/>
      </c:scatterChart>
      <c:valAx>
        <c:axId val="14970291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3488"/>
        <c:crosses val="autoZero"/>
        <c:crossBetween val="midCat"/>
      </c:valAx>
      <c:valAx>
        <c:axId val="14970348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W1582
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20769282775647976"/>
          <c:w val="0.65372271585936848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'W1628'!$A$1</c:f>
              <c:strCache>
                <c:ptCount val="1"/>
                <c:pt idx="0">
                  <c:v>W1628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3.8032634656741005E-2"/>
                  <c:y val="-3.188284695704646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'W1628'!$B$4:$B$10</c:f>
              <c:numCache>
                <c:formatCode>General</c:formatCode>
                <c:ptCount val="7"/>
                <c:pt idx="0">
                  <c:v>-3.8558317257784038</c:v>
                </c:pt>
                <c:pt idx="1">
                  <c:v>-3.9933415266057346</c:v>
                </c:pt>
                <c:pt idx="2">
                  <c:v>-4.2573341907165636</c:v>
                </c:pt>
                <c:pt idx="3">
                  <c:v>-4.5005399369100081</c:v>
                </c:pt>
                <c:pt idx="4">
                  <c:v>-5.1277310659725028</c:v>
                </c:pt>
                <c:pt idx="5">
                  <c:v>-5.282247186370542</c:v>
                </c:pt>
              </c:numCache>
            </c:numRef>
          </c:xVal>
          <c:yVal>
            <c:numRef>
              <c:f>'W1628'!$C$4:$C$10</c:f>
              <c:numCache>
                <c:formatCode>General</c:formatCode>
                <c:ptCount val="7"/>
                <c:pt idx="0">
                  <c:v>1.04</c:v>
                </c:pt>
                <c:pt idx="1">
                  <c:v>1.036</c:v>
                </c:pt>
                <c:pt idx="2">
                  <c:v>1.028</c:v>
                </c:pt>
                <c:pt idx="3">
                  <c:v>1.0209999999999999</c:v>
                </c:pt>
                <c:pt idx="4">
                  <c:v>1.0029999999999999</c:v>
                </c:pt>
                <c:pt idx="5">
                  <c:v>0.998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'W1628'!$A$12</c:f>
              <c:strCache>
                <c:ptCount val="1"/>
                <c:pt idx="0">
                  <c:v>W1628ARC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0393862917184366"/>
                  <c:y val="0.1315347457733955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'W1628'!$B$15:$B$20</c:f>
              <c:numCache>
                <c:formatCode>General</c:formatCode>
                <c:ptCount val="6"/>
                <c:pt idx="0">
                  <c:v>-3.6752132633501216</c:v>
                </c:pt>
                <c:pt idx="1">
                  <c:v>-3.7963310434320734</c:v>
                </c:pt>
                <c:pt idx="2">
                  <c:v>-4.0575113121767519</c:v>
                </c:pt>
                <c:pt idx="3">
                  <c:v>-4.2745004657368737</c:v>
                </c:pt>
                <c:pt idx="4">
                  <c:v>-4.8173737972639668</c:v>
                </c:pt>
                <c:pt idx="5">
                  <c:v>-5.2592889795805586</c:v>
                </c:pt>
              </c:numCache>
            </c:numRef>
          </c:xVal>
          <c:yVal>
            <c:numRef>
              <c:f>'W1628'!$C$15:$C$20</c:f>
              <c:numCache>
                <c:formatCode>General</c:formatCode>
                <c:ptCount val="6"/>
                <c:pt idx="0">
                  <c:v>1.0409999999999999</c:v>
                </c:pt>
                <c:pt idx="1">
                  <c:v>1.0369999999999999</c:v>
                </c:pt>
                <c:pt idx="2">
                  <c:v>1.028</c:v>
                </c:pt>
                <c:pt idx="3">
                  <c:v>1.022</c:v>
                </c:pt>
                <c:pt idx="4">
                  <c:v>1.0049999999999999</c:v>
                </c:pt>
                <c:pt idx="5">
                  <c:v>0.99299999999999999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216"/>
        <c:axId val="149705792"/>
      </c:scatterChart>
      <c:valAx>
        <c:axId val="14970521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5792"/>
        <c:crosses val="autoZero"/>
        <c:crossBetween val="midCat"/>
      </c:valAx>
      <c:valAx>
        <c:axId val="14970579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5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86524364324757"/>
          <c:y val="0.4384626363747906"/>
          <c:w val="0.24919133228302659"/>
          <c:h val="0.217949263695071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8096"/>
        <c:axId val="149823488"/>
      </c:scatterChart>
      <c:valAx>
        <c:axId val="14970809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23488"/>
        <c:crosses val="autoZero"/>
        <c:crossBetween val="midCat"/>
      </c:valAx>
      <c:valAx>
        <c:axId val="14982348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08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W1582
</a:t>
            </a:r>
          </a:p>
        </c:rich>
      </c:tx>
      <c:layout>
        <c:manualLayout>
          <c:xMode val="edge"/>
          <c:yMode val="edge"/>
          <c:x val="0.46440202834564048"/>
          <c:y val="3.2994964748280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20558401112390337"/>
          <c:w val="0.65372271585936848"/>
          <c:h val="0.680203888656865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'W1623'!$A$1</c:f>
              <c:strCache>
                <c:ptCount val="1"/>
                <c:pt idx="0">
                  <c:v>W1623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2508177675988107E-2"/>
                  <c:y val="-5.157173162476630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'W1623'!$B$4:$B$10</c:f>
              <c:numCache>
                <c:formatCode>General</c:formatCode>
                <c:ptCount val="7"/>
                <c:pt idx="0">
                  <c:v>-3.8665239653569277</c:v>
                </c:pt>
                <c:pt idx="1">
                  <c:v>-3.9993798966463974</c:v>
                </c:pt>
                <c:pt idx="2">
                  <c:v>-4.2924784780322822</c:v>
                </c:pt>
                <c:pt idx="3">
                  <c:v>-4.5362039815233679</c:v>
                </c:pt>
                <c:pt idx="4">
                  <c:v>-5.1339900731263608</c:v>
                </c:pt>
              </c:numCache>
            </c:numRef>
          </c:xVal>
          <c:yVal>
            <c:numRef>
              <c:f>'W1623'!$C$4:$C$10</c:f>
              <c:numCache>
                <c:formatCode>General</c:formatCode>
                <c:ptCount val="7"/>
                <c:pt idx="0">
                  <c:v>1.056</c:v>
                </c:pt>
                <c:pt idx="1">
                  <c:v>1.0509999999999999</c:v>
                </c:pt>
                <c:pt idx="2">
                  <c:v>1.0409999999999999</c:v>
                </c:pt>
                <c:pt idx="3">
                  <c:v>1.0329999999999999</c:v>
                </c:pt>
                <c:pt idx="4">
                  <c:v>1.012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'W1623'!$A$12</c:f>
              <c:strCache>
                <c:ptCount val="1"/>
                <c:pt idx="0">
                  <c:v>W1623ARC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5570535970135013"/>
                  <c:y val="0.14563068728290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'W1623'!$B$15:$B$19</c:f>
              <c:numCache>
                <c:formatCode>General</c:formatCode>
                <c:ptCount val="5"/>
                <c:pt idx="0">
                  <c:v>-3.7322045788523099</c:v>
                </c:pt>
                <c:pt idx="1">
                  <c:v>-3.8570614473541718</c:v>
                </c:pt>
                <c:pt idx="2">
                  <c:v>-4.1208938974556375</c:v>
                </c:pt>
                <c:pt idx="3">
                  <c:v>-4.315490110873637</c:v>
                </c:pt>
                <c:pt idx="4">
                  <c:v>-4.8981998647664673</c:v>
                </c:pt>
              </c:numCache>
            </c:numRef>
          </c:xVal>
          <c:yVal>
            <c:numRef>
              <c:f>'W1623'!$C$15:$C$19</c:f>
              <c:numCache>
                <c:formatCode>General</c:formatCode>
                <c:ptCount val="5"/>
                <c:pt idx="0">
                  <c:v>1.0449999999999999</c:v>
                </c:pt>
                <c:pt idx="1">
                  <c:v>1.0409999999999999</c:v>
                </c:pt>
                <c:pt idx="2">
                  <c:v>1.032</c:v>
                </c:pt>
                <c:pt idx="3">
                  <c:v>1.0249999999999999</c:v>
                </c:pt>
                <c:pt idx="4">
                  <c:v>1.0029999999999999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5792"/>
        <c:axId val="149826368"/>
      </c:scatterChart>
      <c:valAx>
        <c:axId val="14982579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26368"/>
        <c:crosses val="autoZero"/>
        <c:crossBetween val="midCat"/>
      </c:valAx>
      <c:valAx>
        <c:axId val="14982636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86524364324757"/>
          <c:y val="0.43908683857327513"/>
          <c:w val="0.24919133228302659"/>
          <c:h val="0.21573630796952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9824"/>
        <c:axId val="149830400"/>
      </c:scatterChart>
      <c:valAx>
        <c:axId val="14982982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0400"/>
        <c:crosses val="autoZero"/>
        <c:crossBetween val="midCat"/>
      </c:valAx>
      <c:valAx>
        <c:axId val="14983040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2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W1582
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'W1620'!$A$1</c:f>
              <c:strCache>
                <c:ptCount val="1"/>
                <c:pt idx="0">
                  <c:v>W1620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26029921708758"/>
                  <c:y val="2.399968083587106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'W1620'!$B$4:$B$10</c:f>
              <c:numCache>
                <c:formatCode>General</c:formatCode>
                <c:ptCount val="7"/>
                <c:pt idx="0">
                  <c:v>-3.8644240266288672</c:v>
                </c:pt>
                <c:pt idx="1">
                  <c:v>-3.9976898321852379</c:v>
                </c:pt>
                <c:pt idx="2">
                  <c:v>-4.2800478305624656</c:v>
                </c:pt>
                <c:pt idx="3">
                  <c:v>-4.526266588392625</c:v>
                </c:pt>
                <c:pt idx="4">
                  <c:v>-5.1268882509205058</c:v>
                </c:pt>
              </c:numCache>
            </c:numRef>
          </c:xVal>
          <c:yVal>
            <c:numRef>
              <c:f>'W1620'!$C$4:$C$10</c:f>
              <c:numCache>
                <c:formatCode>General</c:formatCode>
                <c:ptCount val="7"/>
                <c:pt idx="0">
                  <c:v>1.038</c:v>
                </c:pt>
                <c:pt idx="1">
                  <c:v>1.0329999999999999</c:v>
                </c:pt>
                <c:pt idx="2">
                  <c:v>1.0229999999999999</c:v>
                </c:pt>
                <c:pt idx="3">
                  <c:v>1.0149999999999999</c:v>
                </c:pt>
                <c:pt idx="4">
                  <c:v>0.996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6544"/>
        <c:axId val="150357120"/>
      </c:scatterChart>
      <c:valAx>
        <c:axId val="15035654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57120"/>
        <c:crosses val="autoZero"/>
        <c:crossBetween val="midCat"/>
      </c:valAx>
      <c:valAx>
        <c:axId val="15035712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56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8848"/>
        <c:axId val="150359424"/>
      </c:scatterChart>
      <c:valAx>
        <c:axId val="15035884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59424"/>
        <c:crosses val="autoZero"/>
        <c:crossBetween val="midCat"/>
      </c:valAx>
      <c:valAx>
        <c:axId val="15035942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58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W1582
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'W1582'!$A$1</c:f>
              <c:strCache>
                <c:ptCount val="1"/>
                <c:pt idx="0">
                  <c:v>W1582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'W1582'!$B$4:$B$10</c:f>
              <c:numCache>
                <c:formatCode>General</c:formatCode>
                <c:ptCount val="7"/>
                <c:pt idx="0">
                  <c:v>-3.9885801281503013</c:v>
                </c:pt>
                <c:pt idx="1">
                  <c:v>-4.731413912562342</c:v>
                </c:pt>
                <c:pt idx="2">
                  <c:v>-4.9074922351793875</c:v>
                </c:pt>
                <c:pt idx="3">
                  <c:v>-4.9130549657573921</c:v>
                </c:pt>
                <c:pt idx="4">
                  <c:v>-5.3033299083715812</c:v>
                </c:pt>
                <c:pt idx="5">
                  <c:v>-5.4032335364975967</c:v>
                </c:pt>
              </c:numCache>
            </c:numRef>
          </c:xVal>
          <c:yVal>
            <c:numRef>
              <c:f>'W1582'!$C$4:$C$10</c:f>
              <c:numCache>
                <c:formatCode>General</c:formatCode>
                <c:ptCount val="7"/>
                <c:pt idx="0">
                  <c:v>1.0229999999999999</c:v>
                </c:pt>
                <c:pt idx="1">
                  <c:v>0.996</c:v>
                </c:pt>
                <c:pt idx="2">
                  <c:v>0.99</c:v>
                </c:pt>
                <c:pt idx="3">
                  <c:v>0.98899999999999999</c:v>
                </c:pt>
                <c:pt idx="4">
                  <c:v>0.97499999999999998</c:v>
                </c:pt>
                <c:pt idx="5">
                  <c:v>0.97099999999999997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0576"/>
        <c:axId val="150361152"/>
      </c:scatterChart>
      <c:valAx>
        <c:axId val="15036057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61152"/>
        <c:crosses val="autoZero"/>
        <c:crossBetween val="midCat"/>
      </c:valAx>
      <c:valAx>
        <c:axId val="15036115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60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'W1682'!$A$1</c:f>
              <c:strCache>
                <c:ptCount val="1"/>
                <c:pt idx="0">
                  <c:v>W1682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'W1682'!$B$4:$B$10</c:f>
              <c:numCache>
                <c:formatCode>General</c:formatCode>
                <c:ptCount val="7"/>
                <c:pt idx="0">
                  <c:v>-4.2693410132309886</c:v>
                </c:pt>
                <c:pt idx="1">
                  <c:v>-4.4119086891558021</c:v>
                </c:pt>
                <c:pt idx="2">
                  <c:v>-4.6772033888879232</c:v>
                </c:pt>
                <c:pt idx="3">
                  <c:v>-4.9400836381453113</c:v>
                </c:pt>
                <c:pt idx="4">
                  <c:v>-5.5284855327992108</c:v>
                </c:pt>
              </c:numCache>
            </c:numRef>
          </c:xVal>
          <c:yVal>
            <c:numRef>
              <c:f>'W1682'!$C$4:$C$10</c:f>
              <c:numCache>
                <c:formatCode>General</c:formatCode>
                <c:ptCount val="7"/>
                <c:pt idx="0">
                  <c:v>1.0229999999999999</c:v>
                </c:pt>
                <c:pt idx="1">
                  <c:v>1.0189999999999999</c:v>
                </c:pt>
                <c:pt idx="2">
                  <c:v>1.01</c:v>
                </c:pt>
                <c:pt idx="3">
                  <c:v>1.002</c:v>
                </c:pt>
                <c:pt idx="4">
                  <c:v>0.98399999999999999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38080"/>
        <c:axId val="136038656"/>
      </c:scatterChart>
      <c:valAx>
        <c:axId val="13603808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8656"/>
        <c:crosses val="autoZero"/>
        <c:crossBetween val="midCat"/>
      </c:valAx>
      <c:valAx>
        <c:axId val="13603865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W1575</a:t>
            </a:r>
          </a:p>
        </c:rich>
      </c:tx>
      <c:layout>
        <c:manualLayout>
          <c:xMode val="edge"/>
          <c:yMode val="edge"/>
          <c:x val="0.46476795642800406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478292698103611E-2"/>
          <c:y val="0.16923119298676129"/>
          <c:w val="0.70314894053139976"/>
          <c:h val="0.71282229773211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'W1575'!$A$1</c:f>
              <c:strCache>
                <c:ptCount val="1"/>
                <c:pt idx="0">
                  <c:v>W1575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6264947054253851"/>
                  <c:y val="2.4682050590216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'W1575'!$B$4:$B$10</c:f>
              <c:numCache>
                <c:formatCode>General</c:formatCode>
                <c:ptCount val="7"/>
                <c:pt idx="0">
                  <c:v>-4.0022212733462945</c:v>
                </c:pt>
                <c:pt idx="1">
                  <c:v>-4.7476558342848465</c:v>
                </c:pt>
                <c:pt idx="2">
                  <c:v>-4.8937860275999636</c:v>
                </c:pt>
                <c:pt idx="3">
                  <c:v>-5.3271284484021564</c:v>
                </c:pt>
                <c:pt idx="4">
                  <c:v>-5.4679201509342166</c:v>
                </c:pt>
              </c:numCache>
            </c:numRef>
          </c:xVal>
          <c:yVal>
            <c:numRef>
              <c:f>'W1575'!$C$4:$C$10</c:f>
              <c:numCache>
                <c:formatCode>General</c:formatCode>
                <c:ptCount val="7"/>
                <c:pt idx="0">
                  <c:v>1.016</c:v>
                </c:pt>
                <c:pt idx="1">
                  <c:v>0.995</c:v>
                </c:pt>
                <c:pt idx="2">
                  <c:v>0.99</c:v>
                </c:pt>
                <c:pt idx="3">
                  <c:v>0.97499999999999998</c:v>
                </c:pt>
                <c:pt idx="4">
                  <c:v>0.96899999999999997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880"/>
        <c:axId val="150363456"/>
      </c:scatterChart>
      <c:valAx>
        <c:axId val="150362880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63456"/>
        <c:crosses val="autoZero"/>
        <c:crossBetween val="midCat"/>
      </c:valAx>
      <c:valAx>
        <c:axId val="15036345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62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1085200382133"/>
          <c:y val="0.46923194419056541"/>
          <c:w val="0.20389820023938243"/>
          <c:h val="0.11538490430915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76795642800406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478292698103611E-2"/>
          <c:y val="0.16923119298676129"/>
          <c:w val="0.70314894053139976"/>
          <c:h val="0.71282229773211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6302765284209495"/>
                  <c:y val="1.538459063400293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6608"/>
        <c:axId val="150677184"/>
      </c:scatterChart>
      <c:valAx>
        <c:axId val="15067660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7184"/>
        <c:crosses val="autoZero"/>
        <c:crossBetween val="midCat"/>
      </c:valAx>
      <c:valAx>
        <c:axId val="15067718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6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1085200382133"/>
          <c:y val="0.46923194419056541"/>
          <c:w val="0.20389820023938243"/>
          <c:h val="0.11538490430915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76795642800406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482783864013204E-2"/>
          <c:y val="0.16923119298676129"/>
          <c:w val="0.61319385219049571"/>
          <c:h val="0.71282229773211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'W1550'!$A$1</c:f>
              <c:strCache>
                <c:ptCount val="1"/>
                <c:pt idx="0">
                  <c:v>W1550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2791292893565041"/>
                  <c:y val="2.423133114493203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'W1550'!$B$4:$B$10</c:f>
              <c:numCache>
                <c:formatCode>General</c:formatCode>
                <c:ptCount val="7"/>
                <c:pt idx="0">
                  <c:v>-3.8835327350285187</c:v>
                </c:pt>
                <c:pt idx="1">
                  <c:v>-4.6161300262244334</c:v>
                </c:pt>
                <c:pt idx="2">
                  <c:v>-4.829564519203954</c:v>
                </c:pt>
                <c:pt idx="3">
                  <c:v>-5.1485190014596425</c:v>
                </c:pt>
                <c:pt idx="4">
                  <c:v>-5.2514337806491858</c:v>
                </c:pt>
                <c:pt idx="5">
                  <c:v>-5.5793548962811492</c:v>
                </c:pt>
              </c:numCache>
            </c:numRef>
          </c:xVal>
          <c:yVal>
            <c:numRef>
              <c:f>'W1550'!$C$4:$C$10</c:f>
              <c:numCache>
                <c:formatCode>General</c:formatCode>
                <c:ptCount val="7"/>
                <c:pt idx="0">
                  <c:v>1.0389999999999999</c:v>
                </c:pt>
                <c:pt idx="1">
                  <c:v>1.018</c:v>
                </c:pt>
                <c:pt idx="2">
                  <c:v>1.0109999999999999</c:v>
                </c:pt>
                <c:pt idx="3">
                  <c:v>0.998</c:v>
                </c:pt>
                <c:pt idx="4">
                  <c:v>0.99399999999999999</c:v>
                </c:pt>
                <c:pt idx="5">
                  <c:v>0.98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'W1550'!$A$12</c:f>
              <c:strCache>
                <c:ptCount val="1"/>
                <c:pt idx="0">
                  <c:v>A na anneal 30' op 175C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3878797780532803"/>
                  <c:y val="0.1432428333670336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'W1550'!$B$14:$B$19</c:f>
              <c:numCache>
                <c:formatCode>General</c:formatCode>
                <c:ptCount val="6"/>
                <c:pt idx="0">
                  <c:v>-3.8791686685571989</c:v>
                </c:pt>
                <c:pt idx="1">
                  <c:v>-4.6321303675708743</c:v>
                </c:pt>
                <c:pt idx="2">
                  <c:v>-4.8421591441243539</c:v>
                </c:pt>
                <c:pt idx="3">
                  <c:v>-5.1438810132436181</c:v>
                </c:pt>
              </c:numCache>
            </c:numRef>
          </c:xVal>
          <c:yVal>
            <c:numRef>
              <c:f>'W1550'!$C$14:$C$19</c:f>
              <c:numCache>
                <c:formatCode>General</c:formatCode>
                <c:ptCount val="6"/>
                <c:pt idx="0">
                  <c:v>1.044</c:v>
                </c:pt>
                <c:pt idx="1">
                  <c:v>1.014</c:v>
                </c:pt>
                <c:pt idx="2">
                  <c:v>1.0049999999999999</c:v>
                </c:pt>
                <c:pt idx="3">
                  <c:v>0.99099999999999999</c:v>
                </c:pt>
                <c:pt idx="4">
                  <c:v>0.98199999999999998</c:v>
                </c:pt>
                <c:pt idx="5">
                  <c:v>0.96699999999999997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'W1550'!$A$23</c:f>
              <c:strCache>
                <c:ptCount val="1"/>
                <c:pt idx="0">
                  <c:v>A na anneal 200C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4.4969303955731843E-2"/>
                  <c:y val="0.301897072953950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'W1550'!$B$25:$B$28</c:f>
              <c:numCache>
                <c:formatCode>General</c:formatCode>
                <c:ptCount val="4"/>
                <c:pt idx="0">
                  <c:v>-3.9028650676433805</c:v>
                </c:pt>
                <c:pt idx="1">
                  <c:v>-4.6239453413144256</c:v>
                </c:pt>
                <c:pt idx="2">
                  <c:v>-4.8756674336857717</c:v>
                </c:pt>
                <c:pt idx="3">
                  <c:v>-5.2185823985291826</c:v>
                </c:pt>
              </c:numCache>
            </c:numRef>
          </c:xVal>
          <c:yVal>
            <c:numRef>
              <c:f>'W1550'!$C$25:$C$28</c:f>
              <c:numCache>
                <c:formatCode>General</c:formatCode>
                <c:ptCount val="4"/>
                <c:pt idx="0">
                  <c:v>1.0349999999999999</c:v>
                </c:pt>
                <c:pt idx="1">
                  <c:v>1.0049999999999999</c:v>
                </c:pt>
                <c:pt idx="2">
                  <c:v>0.99299999999999999</c:v>
                </c:pt>
                <c:pt idx="3">
                  <c:v>0.97599999999999998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8912"/>
        <c:axId val="150679488"/>
      </c:scatterChart>
      <c:valAx>
        <c:axId val="15067891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9488"/>
        <c:crosses val="autoZero"/>
        <c:crossBetween val="midCat"/>
      </c:valAx>
      <c:valAx>
        <c:axId val="15067948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16241402912858"/>
          <c:y val="0.22564159064901504"/>
          <c:w val="0.31184430624846726"/>
          <c:h val="0.60256561139225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881435257410298E-2"/>
          <c:y val="6.9230942585493255E-2"/>
          <c:w val="0.65678627145085799"/>
          <c:h val="0.81282254813338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'ELO GaAs W1549'!$A$1</c:f>
              <c:strCache>
                <c:ptCount val="1"/>
                <c:pt idx="0">
                  <c:v>W1549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6.4639486366856236E-2"/>
                  <c:y val="-4.171195884914559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W1549'!$B$4:$B$10</c:f>
              <c:numCache>
                <c:formatCode>General</c:formatCode>
                <c:ptCount val="7"/>
                <c:pt idx="0">
                  <c:v>-3.8930540588805438</c:v>
                </c:pt>
                <c:pt idx="1">
                  <c:v>-4.6391407055592442</c:v>
                </c:pt>
                <c:pt idx="2">
                  <c:v>-4.907898216645143</c:v>
                </c:pt>
                <c:pt idx="3">
                  <c:v>-5.1118377996054178</c:v>
                </c:pt>
                <c:pt idx="4">
                  <c:v>-5.3199496666751509</c:v>
                </c:pt>
                <c:pt idx="5">
                  <c:v>-5.7144390548447301</c:v>
                </c:pt>
              </c:numCache>
            </c:numRef>
          </c:xVal>
          <c:yVal>
            <c:numRef>
              <c:f>'ELO GaAs W1549'!$C$4:$C$10</c:f>
              <c:numCache>
                <c:formatCode>General</c:formatCode>
                <c:ptCount val="7"/>
                <c:pt idx="0">
                  <c:v>1.006</c:v>
                </c:pt>
                <c:pt idx="1">
                  <c:v>0.97299999999999998</c:v>
                </c:pt>
                <c:pt idx="2">
                  <c:v>0.96099999999999997</c:v>
                </c:pt>
                <c:pt idx="3">
                  <c:v>0.95</c:v>
                </c:pt>
                <c:pt idx="4">
                  <c:v>0.93899999999999995</c:v>
                </c:pt>
                <c:pt idx="5">
                  <c:v>0.91500000000000004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9999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2989931250793341"/>
                  <c:y val="-1.70401643632238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W1549'!$B$13:$B$18</c:f>
              <c:numCache>
                <c:formatCode>General</c:formatCode>
                <c:ptCount val="6"/>
                <c:pt idx="0">
                  <c:v>-3.9395997731983803</c:v>
                </c:pt>
                <c:pt idx="1">
                  <c:v>-4.7166605620214543</c:v>
                </c:pt>
                <c:pt idx="2">
                  <c:v>-4.7934293354487991</c:v>
                </c:pt>
                <c:pt idx="3">
                  <c:v>-5.2351547915903964</c:v>
                </c:pt>
                <c:pt idx="4">
                  <c:v>-5.3587045165631322</c:v>
                </c:pt>
                <c:pt idx="5">
                  <c:v>-5.7705635083465525</c:v>
                </c:pt>
              </c:numCache>
            </c:numRef>
          </c:xVal>
          <c:yVal>
            <c:numRef>
              <c:f>'ELO GaAs W1549'!$C$13:$C$18</c:f>
              <c:numCache>
                <c:formatCode>General</c:formatCode>
                <c:ptCount val="6"/>
                <c:pt idx="0">
                  <c:v>1</c:v>
                </c:pt>
                <c:pt idx="1">
                  <c:v>0.96899999999999997</c:v>
                </c:pt>
                <c:pt idx="2">
                  <c:v>0.96599999999999997</c:v>
                </c:pt>
                <c:pt idx="3">
                  <c:v>0.94699999999999995</c:v>
                </c:pt>
                <c:pt idx="4">
                  <c:v>0.94199999999999995</c:v>
                </c:pt>
                <c:pt idx="5">
                  <c:v>0.92300000000000004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'ELO GaAs W1549'!$A$20</c:f>
              <c:strCache>
                <c:ptCount val="1"/>
                <c:pt idx="0">
                  <c:v>A na anneal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5919548277994108"/>
                  <c:y val="0.16843351148861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W1549'!$B$22:$B$27</c:f>
              <c:numCache>
                <c:formatCode>General</c:formatCode>
                <c:ptCount val="6"/>
                <c:pt idx="0">
                  <c:v>-3.9442363277927974</c:v>
                </c:pt>
                <c:pt idx="1">
                  <c:v>-4.6684295256272819</c:v>
                </c:pt>
                <c:pt idx="2">
                  <c:v>-4.9538769602776469</c:v>
                </c:pt>
                <c:pt idx="3">
                  <c:v>-5.2734296510402574</c:v>
                </c:pt>
              </c:numCache>
            </c:numRef>
          </c:xVal>
          <c:yVal>
            <c:numRef>
              <c:f>'ELO GaAs W1549'!$C$22:$C$27</c:f>
              <c:numCache>
                <c:formatCode>General</c:formatCode>
                <c:ptCount val="6"/>
                <c:pt idx="0">
                  <c:v>0.98499999999999999</c:v>
                </c:pt>
                <c:pt idx="1">
                  <c:v>0.94899999999999995</c:v>
                </c:pt>
                <c:pt idx="2">
                  <c:v>0.93200000000000005</c:v>
                </c:pt>
                <c:pt idx="3">
                  <c:v>0.91100000000000003</c:v>
                </c:pt>
                <c:pt idx="4">
                  <c:v>0.9</c:v>
                </c:pt>
                <c:pt idx="5">
                  <c:v>0.86499999999999999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'ELO GaAs W1549'!$A$30</c:f>
              <c:strCache>
                <c:ptCount val="1"/>
                <c:pt idx="0">
                  <c:v>A na ARC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13473321295056531"/>
                  <c:y val="0.2971470764718955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W1549'!$B$32:$B$37</c:f>
              <c:numCache>
                <c:formatCode>General</c:formatCode>
                <c:ptCount val="6"/>
                <c:pt idx="0">
                  <c:v>-3.6569157789085436</c:v>
                </c:pt>
                <c:pt idx="1">
                  <c:v>-4.4103438080556625</c:v>
                </c:pt>
                <c:pt idx="2">
                  <c:v>-4.641211957335357</c:v>
                </c:pt>
                <c:pt idx="3">
                  <c:v>-5.0052000916063166</c:v>
                </c:pt>
                <c:pt idx="4">
                  <c:v>-5.1128341464165032</c:v>
                </c:pt>
              </c:numCache>
            </c:numRef>
          </c:xVal>
          <c:yVal>
            <c:numRef>
              <c:f>'ELO GaAs W1549'!$C$32:$C$37</c:f>
              <c:numCache>
                <c:formatCode>General</c:formatCode>
                <c:ptCount val="6"/>
                <c:pt idx="0">
                  <c:v>0.997</c:v>
                </c:pt>
                <c:pt idx="1">
                  <c:v>0.95799999999999996</c:v>
                </c:pt>
                <c:pt idx="2">
                  <c:v>0.94699999999999995</c:v>
                </c:pt>
                <c:pt idx="3">
                  <c:v>0.92600000000000005</c:v>
                </c:pt>
                <c:pt idx="4">
                  <c:v>0.91800000000000004</c:v>
                </c:pt>
                <c:pt idx="5">
                  <c:v>0.88900000000000001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1792"/>
        <c:axId val="150682368"/>
      </c:scatterChart>
      <c:valAx>
        <c:axId val="1506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82368"/>
        <c:crosses val="autoZero"/>
        <c:crossBetween val="midCat"/>
      </c:valAx>
      <c:valAx>
        <c:axId val="15068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81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30889235569418"/>
          <c:y val="0.24871857151084614"/>
          <c:w val="0.26521060842433697"/>
          <c:h val="0.453847290282678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11627906976744E-2"/>
          <c:y val="8.7412736650350764E-2"/>
          <c:w val="0.65961945031712477"/>
          <c:h val="0.76923208252308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'ELO GaAs W1546'!$A$1</c:f>
              <c:strCache>
                <c:ptCount val="1"/>
                <c:pt idx="0">
                  <c:v>W1546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W1546'!$B$4:$B$10</c:f>
              <c:numCache>
                <c:formatCode>General</c:formatCode>
                <c:ptCount val="7"/>
                <c:pt idx="0">
                  <c:v>-3.9347799925507623</c:v>
                </c:pt>
                <c:pt idx="1">
                  <c:v>-4.6509000376942655</c:v>
                </c:pt>
                <c:pt idx="2">
                  <c:v>-4.8003338507953437</c:v>
                </c:pt>
                <c:pt idx="3">
                  <c:v>-5.1425109154098374</c:v>
                </c:pt>
                <c:pt idx="4">
                  <c:v>-5.2919377595839974</c:v>
                </c:pt>
                <c:pt idx="5">
                  <c:v>-5.731873354822727</c:v>
                </c:pt>
              </c:numCache>
            </c:numRef>
          </c:xVal>
          <c:yVal>
            <c:numRef>
              <c:f>'ELO GaAs W1546'!$C$4:$C$10</c:f>
              <c:numCache>
                <c:formatCode>General</c:formatCode>
                <c:ptCount val="7"/>
                <c:pt idx="0">
                  <c:v>0.97399999999999998</c:v>
                </c:pt>
                <c:pt idx="1">
                  <c:v>0.94899999999999995</c:v>
                </c:pt>
                <c:pt idx="2">
                  <c:v>0.94299999999999995</c:v>
                </c:pt>
                <c:pt idx="3">
                  <c:v>0.92600000000000005</c:v>
                </c:pt>
                <c:pt idx="4">
                  <c:v>0.91900000000000004</c:v>
                </c:pt>
                <c:pt idx="5">
                  <c:v>0.89100000000000001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9999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4717129174920791"/>
                  <c:y val="5.290336710292115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W1546'!$B$11:$B$16</c:f>
              <c:numCache>
                <c:formatCode>General</c:formatCode>
                <c:ptCount val="6"/>
                <c:pt idx="0">
                  <c:v>-4.0083687212148309</c:v>
                </c:pt>
                <c:pt idx="1">
                  <c:v>-4.745697421125068</c:v>
                </c:pt>
                <c:pt idx="2">
                  <c:v>-4.988189105266426</c:v>
                </c:pt>
                <c:pt idx="3">
                  <c:v>-5.3721792151464918</c:v>
                </c:pt>
                <c:pt idx="4">
                  <c:v>-5.4043447711935668</c:v>
                </c:pt>
                <c:pt idx="5">
                  <c:v>-5.8646557002442856</c:v>
                </c:pt>
              </c:numCache>
            </c:numRef>
          </c:xVal>
          <c:yVal>
            <c:numRef>
              <c:f>'ELO GaAs W1546'!$C$11:$C$16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0.93200000000000005</c:v>
                </c:pt>
                <c:pt idx="2">
                  <c:v>0.92300000000000004</c:v>
                </c:pt>
                <c:pt idx="3">
                  <c:v>0.90800000000000003</c:v>
                </c:pt>
                <c:pt idx="4">
                  <c:v>0.90700000000000003</c:v>
                </c:pt>
                <c:pt idx="5">
                  <c:v>0.88600000000000001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7056"/>
        <c:axId val="151037632"/>
      </c:scatterChart>
      <c:valAx>
        <c:axId val="1510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37632"/>
        <c:crosses val="autoZero"/>
        <c:crossBetween val="midCat"/>
      </c:valAx>
      <c:valAx>
        <c:axId val="15103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37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1860465116279"/>
          <c:y val="0.33916141820336093"/>
          <c:w val="0.23890063424947147"/>
          <c:h val="0.26923122888308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21372854914198E-2"/>
          <c:y val="6.8062914224724699E-2"/>
          <c:w val="0.72698907956318248"/>
          <c:h val="0.81413716630343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'ELO GaAs W1535'!$A$1</c:f>
              <c:strCache>
                <c:ptCount val="1"/>
                <c:pt idx="0">
                  <c:v>W1535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W1535'!$B$4:$B$10</c:f>
              <c:numCache>
                <c:formatCode>General</c:formatCode>
                <c:ptCount val="7"/>
                <c:pt idx="0">
                  <c:v>-4.0036449949754589</c:v>
                </c:pt>
                <c:pt idx="1">
                  <c:v>-4.7741807287223734</c:v>
                </c:pt>
                <c:pt idx="2">
                  <c:v>-5.0222019304677215</c:v>
                </c:pt>
                <c:pt idx="3">
                  <c:v>-5.3689544461474776</c:v>
                </c:pt>
                <c:pt idx="4">
                  <c:v>-5.4726707536928139</c:v>
                </c:pt>
                <c:pt idx="5">
                  <c:v>-5.8464987768577963</c:v>
                </c:pt>
              </c:numCache>
            </c:numRef>
          </c:xVal>
          <c:yVal>
            <c:numRef>
              <c:f>'ELO GaAs W1535'!$C$4:$C$10</c:f>
              <c:numCache>
                <c:formatCode>General</c:formatCode>
                <c:ptCount val="7"/>
                <c:pt idx="0">
                  <c:v>0.99299999999999999</c:v>
                </c:pt>
                <c:pt idx="1">
                  <c:v>0.97599999999999998</c:v>
                </c:pt>
                <c:pt idx="2">
                  <c:v>0.96699999999999997</c:v>
                </c:pt>
                <c:pt idx="3">
                  <c:v>0.95399999999999996</c:v>
                </c:pt>
                <c:pt idx="4">
                  <c:v>0.94899999999999995</c:v>
                </c:pt>
                <c:pt idx="5">
                  <c:v>0.93400000000000005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'ELO GaAs W1535'!$B$12:$B$17</c:f>
              <c:numCache>
                <c:formatCode>General</c:formatCode>
                <c:ptCount val="6"/>
                <c:pt idx="0">
                  <c:v>-4.0721330738568815</c:v>
                </c:pt>
                <c:pt idx="1">
                  <c:v>-4.849537373753928</c:v>
                </c:pt>
                <c:pt idx="2">
                  <c:v>-5.1045614321284187</c:v>
                </c:pt>
                <c:pt idx="3">
                  <c:v>-5.4419568167496477</c:v>
                </c:pt>
                <c:pt idx="4">
                  <c:v>-5.5187146921942212</c:v>
                </c:pt>
                <c:pt idx="5">
                  <c:v>-5.9313106242882352</c:v>
                </c:pt>
              </c:numCache>
            </c:numRef>
          </c:xVal>
          <c:yVal>
            <c:numRef>
              <c:f>'ELO GaAs W1535'!$C$12:$C$17</c:f>
              <c:numCache>
                <c:formatCode>General</c:formatCode>
                <c:ptCount val="6"/>
                <c:pt idx="0">
                  <c:v>0.98199999999999998</c:v>
                </c:pt>
                <c:pt idx="1">
                  <c:v>0.96699999999999997</c:v>
                </c:pt>
                <c:pt idx="2">
                  <c:v>0.95799999999999996</c:v>
                </c:pt>
                <c:pt idx="3">
                  <c:v>0.94599999999999995</c:v>
                </c:pt>
                <c:pt idx="4">
                  <c:v>0.94299999999999995</c:v>
                </c:pt>
                <c:pt idx="5">
                  <c:v>0.92700000000000005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9936"/>
        <c:axId val="151040512"/>
      </c:scatterChart>
      <c:valAx>
        <c:axId val="1510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40512"/>
        <c:crosses val="autoZero"/>
        <c:crossBetween val="midCat"/>
      </c:valAx>
      <c:valAx>
        <c:axId val="15104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39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39157566302653"/>
          <c:y val="0.39267065898879638"/>
          <c:w val="0.19812792511700469"/>
          <c:h val="0.167539481168553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21372854914198E-2"/>
          <c:y val="6.8062914224724699E-2"/>
          <c:w val="0.72698907956318248"/>
          <c:h val="0.81413716630343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'ELO GaAs W1542'!$A$1</c:f>
              <c:strCache>
                <c:ptCount val="1"/>
                <c:pt idx="0">
                  <c:v>W1542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W1542'!$B$4:$B$10</c:f>
              <c:numCache>
                <c:formatCode>General</c:formatCode>
                <c:ptCount val="7"/>
                <c:pt idx="0">
                  <c:v>-3.9348822995742285</c:v>
                </c:pt>
                <c:pt idx="1">
                  <c:v>-4.6937828443446952</c:v>
                </c:pt>
                <c:pt idx="2">
                  <c:v>-5.1559501252611151</c:v>
                </c:pt>
                <c:pt idx="3">
                  <c:v>-5.2128738847305689</c:v>
                </c:pt>
                <c:pt idx="4">
                  <c:v>-5.5434509357538619</c:v>
                </c:pt>
              </c:numCache>
            </c:numRef>
          </c:xVal>
          <c:yVal>
            <c:numRef>
              <c:f>'ELO GaAs W1542'!$C$4:$C$10</c:f>
              <c:numCache>
                <c:formatCode>General</c:formatCode>
                <c:ptCount val="7"/>
                <c:pt idx="0">
                  <c:v>0.92200000000000004</c:v>
                </c:pt>
                <c:pt idx="1">
                  <c:v>0.90300000000000002</c:v>
                </c:pt>
                <c:pt idx="2">
                  <c:v>0.89</c:v>
                </c:pt>
                <c:pt idx="3">
                  <c:v>0.88900000000000001</c:v>
                </c:pt>
                <c:pt idx="4">
                  <c:v>0.879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9999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0479598396534285"/>
                  <c:y val="0.145592497770227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GaAs W1542'!$B$11:$B$16</c:f>
              <c:numCache>
                <c:formatCode>General</c:formatCode>
                <c:ptCount val="6"/>
                <c:pt idx="0">
                  <c:v>-3.9956220293044593</c:v>
                </c:pt>
                <c:pt idx="1">
                  <c:v>-4.7232782744684201</c:v>
                </c:pt>
                <c:pt idx="2">
                  <c:v>-4.9859914631834954</c:v>
                </c:pt>
                <c:pt idx="3">
                  <c:v>-5.3267168410697341</c:v>
                </c:pt>
                <c:pt idx="4">
                  <c:v>-5.3743348529719528</c:v>
                </c:pt>
                <c:pt idx="5">
                  <c:v>-5.8426997738428703</c:v>
                </c:pt>
              </c:numCache>
            </c:numRef>
          </c:xVal>
          <c:yVal>
            <c:numRef>
              <c:f>'ELO GaAs W1542'!$C$11:$C$16</c:f>
              <c:numCache>
                <c:formatCode>General</c:formatCode>
                <c:ptCount val="6"/>
                <c:pt idx="0">
                  <c:v>0.91600000000000004</c:v>
                </c:pt>
                <c:pt idx="1">
                  <c:v>0.89700000000000002</c:v>
                </c:pt>
                <c:pt idx="2">
                  <c:v>0.88900000000000001</c:v>
                </c:pt>
                <c:pt idx="3">
                  <c:v>0.88</c:v>
                </c:pt>
                <c:pt idx="4">
                  <c:v>0.878</c:v>
                </c:pt>
                <c:pt idx="5">
                  <c:v>0.86299999999999999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2816"/>
        <c:axId val="151043392"/>
      </c:scatterChart>
      <c:valAx>
        <c:axId val="1510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43392"/>
        <c:crosses val="autoZero"/>
        <c:crossBetween val="midCat"/>
      </c:valAx>
      <c:valAx>
        <c:axId val="15104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42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39157566302653"/>
          <c:y val="0.3638748106629513"/>
          <c:w val="0.19812792511700469"/>
          <c:h val="0.2225133734269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4009519891873E-2"/>
          <c:y val="8.9606048408267552E-2"/>
          <c:w val="0.64770309903999745"/>
          <c:h val="0.76344353243843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'GaAs W1544'!$A$1</c:f>
              <c:strCache>
                <c:ptCount val="1"/>
                <c:pt idx="0">
                  <c:v>W1544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'GaAs W1544'!$B$4:$B$10</c:f>
              <c:numCache>
                <c:formatCode>General</c:formatCode>
                <c:ptCount val="7"/>
                <c:pt idx="0">
                  <c:v>-3.6684887644662023</c:v>
                </c:pt>
                <c:pt idx="1">
                  <c:v>-4.4010056012716845</c:v>
                </c:pt>
                <c:pt idx="2">
                  <c:v>-4.6428720531721028</c:v>
                </c:pt>
                <c:pt idx="3">
                  <c:v>-4.9020948398068045</c:v>
                </c:pt>
                <c:pt idx="4">
                  <c:v>-4.9752198888753014</c:v>
                </c:pt>
                <c:pt idx="5">
                  <c:v>-5.3132279792837904</c:v>
                </c:pt>
              </c:numCache>
            </c:numRef>
          </c:xVal>
          <c:yVal>
            <c:numRef>
              <c:f>'GaAs W1544'!$C$4:$C$10</c:f>
              <c:numCache>
                <c:formatCode>General</c:formatCode>
                <c:ptCount val="7"/>
                <c:pt idx="0">
                  <c:v>1.014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0.98</c:v>
                </c:pt>
                <c:pt idx="4">
                  <c:v>0.97799999999999998</c:v>
                </c:pt>
                <c:pt idx="5">
                  <c:v>0.96699999999999997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9999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0565301258871774"/>
                  <c:y val="0.105414814349440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'GaAs W1544'!$B$12:$B$17</c:f>
              <c:numCache>
                <c:formatCode>General</c:formatCode>
                <c:ptCount val="6"/>
                <c:pt idx="0">
                  <c:v>-3.7242579580157531</c:v>
                </c:pt>
                <c:pt idx="1">
                  <c:v>-4.4883654064460066</c:v>
                </c:pt>
                <c:pt idx="2">
                  <c:v>-4.7606550888284866</c:v>
                </c:pt>
                <c:pt idx="3">
                  <c:v>-5.084497142694711</c:v>
                </c:pt>
                <c:pt idx="4">
                  <c:v>-5.1713323547935479</c:v>
                </c:pt>
              </c:numCache>
            </c:numRef>
          </c:xVal>
          <c:yVal>
            <c:numRef>
              <c:f>'GaAs W1544'!$C$12:$C$17</c:f>
              <c:numCache>
                <c:formatCode>General</c:formatCode>
                <c:ptCount val="6"/>
                <c:pt idx="0">
                  <c:v>1.0129999999999999</c:v>
                </c:pt>
                <c:pt idx="1">
                  <c:v>0.99199999999999999</c:v>
                </c:pt>
                <c:pt idx="2">
                  <c:v>0.98399999999999999</c:v>
                </c:pt>
                <c:pt idx="3">
                  <c:v>0.97499999999999998</c:v>
                </c:pt>
                <c:pt idx="4">
                  <c:v>0.97199999999999998</c:v>
                </c:pt>
                <c:pt idx="5">
                  <c:v>0.95899999999999996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8192"/>
        <c:axId val="151488768"/>
      </c:scatterChart>
      <c:valAx>
        <c:axId val="1514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8768"/>
        <c:crosses val="autoZero"/>
        <c:crossBetween val="midCat"/>
      </c:valAx>
      <c:valAx>
        <c:axId val="15148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8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23054485621331"/>
          <c:y val="0.33333450007875531"/>
          <c:w val="0.24726503443080983"/>
          <c:h val="0.275986629097464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1413652719103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753948116855311"/>
          <c:w val="0.73166926677067079"/>
          <c:h val="0.71466059935960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'GaAs W1295'!$A$1</c:f>
              <c:strCache>
                <c:ptCount val="1"/>
                <c:pt idx="0">
                  <c:v>W1295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'GaAs W1295'!$B$4:$B$10</c:f>
              <c:numCache>
                <c:formatCode>General</c:formatCode>
                <c:ptCount val="7"/>
                <c:pt idx="0">
                  <c:v>-4.0330049019889289</c:v>
                </c:pt>
                <c:pt idx="1">
                  <c:v>-4.7534382026571942</c:v>
                </c:pt>
                <c:pt idx="2">
                  <c:v>-4.7728790304142006</c:v>
                </c:pt>
                <c:pt idx="3">
                  <c:v>-5.005647752585217</c:v>
                </c:pt>
                <c:pt idx="4">
                  <c:v>-5.2518155328966172</c:v>
                </c:pt>
                <c:pt idx="5">
                  <c:v>-5.3138371782060734</c:v>
                </c:pt>
                <c:pt idx="6">
                  <c:v>-5.6702509914474089</c:v>
                </c:pt>
              </c:numCache>
            </c:numRef>
          </c:xVal>
          <c:yVal>
            <c:numRef>
              <c:f>'GaAs W1295'!$C$4:$C$10</c:f>
              <c:numCache>
                <c:formatCode>General</c:formatCode>
                <c:ptCount val="7"/>
                <c:pt idx="0">
                  <c:v>1.0189999999999999</c:v>
                </c:pt>
                <c:pt idx="1">
                  <c:v>0.99299999999999999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0.97499999999999998</c:v>
                </c:pt>
                <c:pt idx="5">
                  <c:v>0.97299999999999998</c:v>
                </c:pt>
                <c:pt idx="6">
                  <c:v>0.96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1072"/>
        <c:axId val="151491648"/>
      </c:scatterChart>
      <c:valAx>
        <c:axId val="1514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1648"/>
        <c:crosses val="autoZero"/>
        <c:crossBetween val="midCat"/>
      </c:valAx>
      <c:valAx>
        <c:axId val="15149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58698639329699"/>
          <c:w val="0.19344773790951639"/>
          <c:h val="0.11256558891012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1413652719103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753948116855311"/>
          <c:w val="0.73166926677067079"/>
          <c:h val="0.71466059935960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'GaAs W1302'!$A$1</c:f>
              <c:strCache>
                <c:ptCount val="1"/>
                <c:pt idx="0">
                  <c:v>W1302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'GaAs W1302'!$B$4:$B$10</c:f>
              <c:numCache>
                <c:formatCode>General</c:formatCode>
                <c:ptCount val="7"/>
                <c:pt idx="0">
                  <c:v>-4.0340211622389957</c:v>
                </c:pt>
                <c:pt idx="1">
                  <c:v>-4.7968150702429302</c:v>
                </c:pt>
                <c:pt idx="2">
                  <c:v>-4.8033772520122691</c:v>
                </c:pt>
                <c:pt idx="3">
                  <c:v>-5.0379551047512185</c:v>
                </c:pt>
                <c:pt idx="4">
                  <c:v>-5.2387285751363795</c:v>
                </c:pt>
                <c:pt idx="5">
                  <c:v>-5.3655261162414867</c:v>
                </c:pt>
                <c:pt idx="6">
                  <c:v>-5.69760161558112</c:v>
                </c:pt>
              </c:numCache>
            </c:numRef>
          </c:xVal>
          <c:yVal>
            <c:numRef>
              <c:f>'GaAs W1302'!$C$4:$C$10</c:f>
              <c:numCache>
                <c:formatCode>General</c:formatCode>
                <c:ptCount val="7"/>
                <c:pt idx="0">
                  <c:v>1.0249999999999999</c:v>
                </c:pt>
                <c:pt idx="1">
                  <c:v>0.999</c:v>
                </c:pt>
                <c:pt idx="2">
                  <c:v>0.999</c:v>
                </c:pt>
                <c:pt idx="3">
                  <c:v>0.99099999999999999</c:v>
                </c:pt>
                <c:pt idx="4">
                  <c:v>0.98199999999999998</c:v>
                </c:pt>
                <c:pt idx="5">
                  <c:v>0.97699999999999998</c:v>
                </c:pt>
                <c:pt idx="6">
                  <c:v>0.96499999999999997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3376"/>
        <c:axId val="151493952"/>
      </c:scatterChart>
      <c:valAx>
        <c:axId val="1514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3952"/>
        <c:crosses val="autoZero"/>
        <c:crossBetween val="midCat"/>
      </c:valAx>
      <c:valAx>
        <c:axId val="15149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93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58698639329699"/>
          <c:w val="0.19344773790951639"/>
          <c:h val="0.11256558891012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0384"/>
        <c:axId val="136040960"/>
      </c:scatterChart>
      <c:valAx>
        <c:axId val="13604038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0960"/>
        <c:crosses val="autoZero"/>
        <c:crossBetween val="midCat"/>
      </c:valAx>
      <c:valAx>
        <c:axId val="13604096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0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1413652719103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753948116855311"/>
          <c:w val="0.73166926677067079"/>
          <c:h val="0.71466059935960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'InGaP W1340'!$A$1</c:f>
              <c:strCache>
                <c:ptCount val="1"/>
                <c:pt idx="0">
                  <c:v>W1340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'InGaP W1340'!$B$4:$B$9</c:f>
              <c:numCache>
                <c:formatCode>General</c:formatCode>
                <c:ptCount val="6"/>
                <c:pt idx="0">
                  <c:v>-4.7540182827245072</c:v>
                </c:pt>
                <c:pt idx="1">
                  <c:v>-5.4936025897338503</c:v>
                </c:pt>
                <c:pt idx="2">
                  <c:v>-5.5142370727729269</c:v>
                </c:pt>
                <c:pt idx="3">
                  <c:v>-5.7689612006811952</c:v>
                </c:pt>
                <c:pt idx="4">
                  <c:v>-6.0610290104938915</c:v>
                </c:pt>
                <c:pt idx="5">
                  <c:v>-6.1238537351537277</c:v>
                </c:pt>
              </c:numCache>
            </c:numRef>
          </c:xVal>
          <c:yVal>
            <c:numRef>
              <c:f>'InGaP W1340'!$C$4:$C$9</c:f>
              <c:numCache>
                <c:formatCode>General</c:formatCode>
                <c:ptCount val="6"/>
                <c:pt idx="0">
                  <c:v>1.33</c:v>
                </c:pt>
                <c:pt idx="1">
                  <c:v>1.31</c:v>
                </c:pt>
                <c:pt idx="2">
                  <c:v>1.31</c:v>
                </c:pt>
                <c:pt idx="3">
                  <c:v>1.3029999999999999</c:v>
                </c:pt>
                <c:pt idx="4">
                  <c:v>1.294</c:v>
                </c:pt>
                <c:pt idx="5">
                  <c:v>1.2929999999999999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7952"/>
        <c:axId val="151758528"/>
      </c:scatterChart>
      <c:valAx>
        <c:axId val="1517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8528"/>
        <c:crosses val="autoZero"/>
        <c:crossBetween val="midCat"/>
      </c:valAx>
      <c:valAx>
        <c:axId val="15175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57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58698639329699"/>
          <c:w val="0.19344773790951639"/>
          <c:h val="0.11256558891012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1413652719103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753948116855311"/>
          <c:w val="0.73166926677067079"/>
          <c:h val="0.71466059935960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'InGaP W1438'!$A$1</c:f>
              <c:strCache>
                <c:ptCount val="1"/>
                <c:pt idx="0">
                  <c:v>W1438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'InGaP W1438'!$B$4:$B$8</c:f>
              <c:numCache>
                <c:formatCode>General</c:formatCode>
                <c:ptCount val="5"/>
                <c:pt idx="0">
                  <c:v>-4.7844164762651182</c:v>
                </c:pt>
                <c:pt idx="1">
                  <c:v>-5.4899622508028756</c:v>
                </c:pt>
                <c:pt idx="2">
                  <c:v>-5.5080512309523284</c:v>
                </c:pt>
                <c:pt idx="3">
                  <c:v>-5.8738593050337187</c:v>
                </c:pt>
                <c:pt idx="4">
                  <c:v>-6.1302669499884406</c:v>
                </c:pt>
              </c:numCache>
            </c:numRef>
          </c:xVal>
          <c:yVal>
            <c:numRef>
              <c:f>'InGaP W1438'!$C$4:$C$8</c:f>
              <c:numCache>
                <c:formatCode>General</c:formatCode>
                <c:ptCount val="5"/>
                <c:pt idx="0">
                  <c:v>1.367</c:v>
                </c:pt>
                <c:pt idx="1">
                  <c:v>1.349</c:v>
                </c:pt>
                <c:pt idx="2">
                  <c:v>1.3480000000000001</c:v>
                </c:pt>
                <c:pt idx="3">
                  <c:v>1.337</c:v>
                </c:pt>
                <c:pt idx="4">
                  <c:v>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0256"/>
        <c:axId val="151760832"/>
      </c:scatterChart>
      <c:valAx>
        <c:axId val="1517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0832"/>
        <c:crosses val="autoZero"/>
        <c:crossBetween val="midCat"/>
      </c:valAx>
      <c:valAx>
        <c:axId val="15176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0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58698639329699"/>
          <c:w val="0.19344773790951639"/>
          <c:h val="0.11256558891012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00342182218388E-2"/>
          <c:y val="6.7357512953367879E-2"/>
          <c:w val="0.72397532098355633"/>
          <c:h val="0.816062176165803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'tandem W1543'!$A$1</c:f>
              <c:strCache>
                <c:ptCount val="1"/>
                <c:pt idx="0">
                  <c:v>W1543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'tandem W1543'!$B$4:$B$10</c:f>
              <c:numCache>
                <c:formatCode>General</c:formatCode>
                <c:ptCount val="7"/>
                <c:pt idx="0">
                  <c:v>-4.3261757419338762</c:v>
                </c:pt>
                <c:pt idx="1">
                  <c:v>-5.0534906044026853</c:v>
                </c:pt>
                <c:pt idx="2">
                  <c:v>-5.3769277671299482</c:v>
                </c:pt>
                <c:pt idx="3">
                  <c:v>-5.6590003318843074</c:v>
                </c:pt>
                <c:pt idx="4">
                  <c:v>-5.7232711512400636</c:v>
                </c:pt>
                <c:pt idx="5">
                  <c:v>-6.0529145094242045</c:v>
                </c:pt>
              </c:numCache>
            </c:numRef>
          </c:xVal>
          <c:yVal>
            <c:numRef>
              <c:f>'tandem W1543'!$C$4:$C$10</c:f>
              <c:numCache>
                <c:formatCode>General</c:formatCode>
                <c:ptCount val="7"/>
                <c:pt idx="0">
                  <c:v>2.387</c:v>
                </c:pt>
                <c:pt idx="1">
                  <c:v>2.3439999999999999</c:v>
                </c:pt>
                <c:pt idx="2">
                  <c:v>2.33</c:v>
                </c:pt>
                <c:pt idx="3">
                  <c:v>2.3090000000000002</c:v>
                </c:pt>
                <c:pt idx="4">
                  <c:v>2.3039999999999998</c:v>
                </c:pt>
                <c:pt idx="5">
                  <c:v>2.2829999999999999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'tandem W1347'!$A$1</c:f>
              <c:strCache>
                <c:ptCount val="1"/>
                <c:pt idx="0">
                  <c:v>W1347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204697204247614"/>
                  <c:y val="0.1600301905267022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'tandem W1347'!$B$13:$B$19</c:f>
              <c:numCache>
                <c:formatCode>General</c:formatCode>
                <c:ptCount val="7"/>
                <c:pt idx="0">
                  <c:v>-4.5065020141913896</c:v>
                </c:pt>
                <c:pt idx="1">
                  <c:v>-5.2697299096961245</c:v>
                </c:pt>
                <c:pt idx="2">
                  <c:v>-5.2959202419483153</c:v>
                </c:pt>
                <c:pt idx="3">
                  <c:v>-5.5342928966776244</c:v>
                </c:pt>
                <c:pt idx="4">
                  <c:v>-5.8378854591796809</c:v>
                </c:pt>
                <c:pt idx="5">
                  <c:v>-5.8853043512795917</c:v>
                </c:pt>
                <c:pt idx="6">
                  <c:v>-6.2802138555201852</c:v>
                </c:pt>
              </c:numCache>
            </c:numRef>
          </c:xVal>
          <c:yVal>
            <c:numRef>
              <c:f>'tandem W1347'!$C$13:$C$19</c:f>
              <c:numCache>
                <c:formatCode>General</c:formatCode>
                <c:ptCount val="7"/>
                <c:pt idx="0">
                  <c:v>2.399</c:v>
                </c:pt>
                <c:pt idx="1">
                  <c:v>2.355</c:v>
                </c:pt>
                <c:pt idx="2">
                  <c:v>2.3540000000000001</c:v>
                </c:pt>
                <c:pt idx="3">
                  <c:v>2.3380000000000001</c:v>
                </c:pt>
                <c:pt idx="4">
                  <c:v>2.3180000000000001</c:v>
                </c:pt>
                <c:pt idx="5">
                  <c:v>2.3149999999999999</c:v>
                </c:pt>
                <c:pt idx="6">
                  <c:v>2.2919999999999998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2560"/>
        <c:axId val="151763136"/>
      </c:scatterChart>
      <c:valAx>
        <c:axId val="1517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3136"/>
        <c:crosses val="autoZero"/>
        <c:crossBetween val="midCat"/>
      </c:valAx>
      <c:valAx>
        <c:axId val="15176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6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706685222395334"/>
          <c:y val="0.36528497409326427"/>
          <c:w val="0.20031561168826068"/>
          <c:h val="0.22020725388601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21372854914198E-2"/>
          <c:y val="6.7357512953367879E-2"/>
          <c:w val="0.72074882995319811"/>
          <c:h val="0.816062176165803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'tandem W1347'!$A$2</c:f>
              <c:strCache>
                <c:ptCount val="1"/>
                <c:pt idx="0">
                  <c:v>no ARC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'tandem W1347'!$B$4:$B$10</c:f>
              <c:numCache>
                <c:formatCode>General</c:formatCode>
                <c:ptCount val="7"/>
                <c:pt idx="0">
                  <c:v>-4.7856135077702735</c:v>
                </c:pt>
                <c:pt idx="1">
                  <c:v>-5.5620225296183694</c:v>
                </c:pt>
                <c:pt idx="2">
                  <c:v>-5.572491088975025</c:v>
                </c:pt>
                <c:pt idx="3">
                  <c:v>-5.7737758464767364</c:v>
                </c:pt>
                <c:pt idx="4">
                  <c:v>-6.1106986350316799</c:v>
                </c:pt>
                <c:pt idx="5">
                  <c:v>-6.1977509813557692</c:v>
                </c:pt>
                <c:pt idx="6">
                  <c:v>-6.5627481399110872</c:v>
                </c:pt>
              </c:numCache>
            </c:numRef>
          </c:xVal>
          <c:yVal>
            <c:numRef>
              <c:f>'tandem W1347'!$C$4:$C$10</c:f>
              <c:numCache>
                <c:formatCode>General</c:formatCode>
                <c:ptCount val="7"/>
                <c:pt idx="0">
                  <c:v>2.3889999999999998</c:v>
                </c:pt>
                <c:pt idx="1">
                  <c:v>2.3359999999999999</c:v>
                </c:pt>
                <c:pt idx="2">
                  <c:v>2.3359999999999999</c:v>
                </c:pt>
                <c:pt idx="3">
                  <c:v>2.3210000000000002</c:v>
                </c:pt>
                <c:pt idx="4">
                  <c:v>2.2999999999999998</c:v>
                </c:pt>
                <c:pt idx="5">
                  <c:v>2.2919999999999998</c:v>
                </c:pt>
                <c:pt idx="6">
                  <c:v>2.27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'tandem W1347'!$A$12</c:f>
              <c:strCache>
                <c:ptCount val="1"/>
                <c:pt idx="0">
                  <c:v>ARC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107500992953105"/>
                  <c:y val="0.1600301905267022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'tandem W1347'!$B$13:$B$19</c:f>
              <c:numCache>
                <c:formatCode>General</c:formatCode>
                <c:ptCount val="7"/>
                <c:pt idx="0">
                  <c:v>-4.5065020141913896</c:v>
                </c:pt>
                <c:pt idx="1">
                  <c:v>-5.2697299096961245</c:v>
                </c:pt>
                <c:pt idx="2">
                  <c:v>-5.2959202419483153</c:v>
                </c:pt>
                <c:pt idx="3">
                  <c:v>-5.5342928966776244</c:v>
                </c:pt>
                <c:pt idx="4">
                  <c:v>-5.8378854591796809</c:v>
                </c:pt>
                <c:pt idx="5">
                  <c:v>-5.8853043512795917</c:v>
                </c:pt>
                <c:pt idx="6">
                  <c:v>-6.2802138555201852</c:v>
                </c:pt>
              </c:numCache>
            </c:numRef>
          </c:xVal>
          <c:yVal>
            <c:numRef>
              <c:f>'tandem W1347'!$C$13:$C$19</c:f>
              <c:numCache>
                <c:formatCode>General</c:formatCode>
                <c:ptCount val="7"/>
                <c:pt idx="0">
                  <c:v>2.399</c:v>
                </c:pt>
                <c:pt idx="1">
                  <c:v>2.355</c:v>
                </c:pt>
                <c:pt idx="2">
                  <c:v>2.3540000000000001</c:v>
                </c:pt>
                <c:pt idx="3">
                  <c:v>2.3380000000000001</c:v>
                </c:pt>
                <c:pt idx="4">
                  <c:v>2.3180000000000001</c:v>
                </c:pt>
                <c:pt idx="5">
                  <c:v>2.3149999999999999</c:v>
                </c:pt>
                <c:pt idx="6">
                  <c:v>2.2919999999999998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2160"/>
        <c:axId val="152412736"/>
      </c:scatterChart>
      <c:valAx>
        <c:axId val="152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2736"/>
        <c:crosses val="autoZero"/>
        <c:crossBetween val="midCat"/>
      </c:valAx>
      <c:valAx>
        <c:axId val="152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2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15132605304216"/>
          <c:y val="0.36528497409326427"/>
          <c:w val="0.20436817472698907"/>
          <c:h val="0.22020725388601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41809672386896"/>
          <c:y val="3.3678756476683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1372854914198E-2"/>
          <c:y val="0.16580310880829016"/>
          <c:w val="0.73166926677067079"/>
          <c:h val="0.71761658031088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'tandem W1347'!$A$1</c:f>
              <c:strCache>
                <c:ptCount val="1"/>
                <c:pt idx="0">
                  <c:v>W1347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'ELO tandem W1374'!$B$4:$B$10</c:f>
              <c:numCache>
                <c:formatCode>General</c:formatCode>
                <c:ptCount val="7"/>
                <c:pt idx="0">
                  <c:v>-4.8239482797926607</c:v>
                </c:pt>
                <c:pt idx="1">
                  <c:v>-5.5780312693506406</c:v>
                </c:pt>
                <c:pt idx="2">
                  <c:v>-5.5796198320357782</c:v>
                </c:pt>
                <c:pt idx="3">
                  <c:v>-5.798532811202012</c:v>
                </c:pt>
                <c:pt idx="4">
                  <c:v>-6.0244010473542469</c:v>
                </c:pt>
                <c:pt idx="5">
                  <c:v>-6.1066509569170995</c:v>
                </c:pt>
                <c:pt idx="6">
                  <c:v>-6.5327493783586812</c:v>
                </c:pt>
              </c:numCache>
            </c:numRef>
          </c:xVal>
          <c:yVal>
            <c:numRef>
              <c:f>'ELO tandem W1374'!$C$4:$C$10</c:f>
              <c:numCache>
                <c:formatCode>General</c:formatCode>
                <c:ptCount val="7"/>
                <c:pt idx="0">
                  <c:v>2.2589999999999999</c:v>
                </c:pt>
                <c:pt idx="1">
                  <c:v>2.1930000000000001</c:v>
                </c:pt>
                <c:pt idx="2">
                  <c:v>2.1930000000000001</c:v>
                </c:pt>
                <c:pt idx="3">
                  <c:v>2.1680000000000001</c:v>
                </c:pt>
                <c:pt idx="4">
                  <c:v>2.1419999999999999</c:v>
                </c:pt>
                <c:pt idx="5">
                  <c:v>2.13</c:v>
                </c:pt>
                <c:pt idx="6">
                  <c:v>2.0680000000000001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5040"/>
        <c:axId val="152415616"/>
      </c:scatterChart>
      <c:valAx>
        <c:axId val="1524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5616"/>
        <c:crosses val="autoZero"/>
        <c:crossBetween val="midCat"/>
      </c:valAx>
      <c:valAx>
        <c:axId val="15241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5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7176287051484"/>
          <c:y val="0.4689119170984456"/>
          <c:w val="0.19344773790951639"/>
          <c:h val="0.111398963730569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'W1680'!$A$1</c:f>
              <c:strCache>
                <c:ptCount val="1"/>
                <c:pt idx="0">
                  <c:v>W1680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'W1680'!$B$4:$B$10</c:f>
              <c:numCache>
                <c:formatCode>General</c:formatCode>
                <c:ptCount val="7"/>
                <c:pt idx="0">
                  <c:v>-4.1613180454752232</c:v>
                </c:pt>
                <c:pt idx="1">
                  <c:v>-4.3060290204474168</c:v>
                </c:pt>
                <c:pt idx="2">
                  <c:v>-4.5643161919798256</c:v>
                </c:pt>
                <c:pt idx="3">
                  <c:v>-4.8118254197974988</c:v>
                </c:pt>
                <c:pt idx="4">
                  <c:v>-5.4438056732966418</c:v>
                </c:pt>
              </c:numCache>
            </c:numRef>
          </c:xVal>
          <c:yVal>
            <c:numRef>
              <c:f>'W1680'!$C$4:$C$10</c:f>
              <c:numCache>
                <c:formatCode>General</c:formatCode>
                <c:ptCount val="7"/>
                <c:pt idx="0">
                  <c:v>1.026</c:v>
                </c:pt>
                <c:pt idx="1">
                  <c:v>1.0209999999999999</c:v>
                </c:pt>
                <c:pt idx="2">
                  <c:v>1.0129999999999999</c:v>
                </c:pt>
                <c:pt idx="3">
                  <c:v>1.004</c:v>
                </c:pt>
                <c:pt idx="4">
                  <c:v>0.98399999999999999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3264"/>
        <c:axId val="136043840"/>
      </c:scatterChart>
      <c:valAx>
        <c:axId val="136043264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3840"/>
        <c:crosses val="autoZero"/>
        <c:crossBetween val="midCat"/>
      </c:valAx>
      <c:valAx>
        <c:axId val="136043840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7968"/>
        <c:axId val="133948544"/>
      </c:scatterChart>
      <c:valAx>
        <c:axId val="133947968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48544"/>
        <c:crosses val="autoZero"/>
        <c:crossBetween val="midCat"/>
      </c:valAx>
      <c:valAx>
        <c:axId val="133948544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47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07514960550292E-2"/>
          <c:y val="0.20769282775647976"/>
          <c:w val="0.70226648188852947"/>
          <c:h val="0.67692477194704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'W1678'!$A$1</c:f>
              <c:strCache>
                <c:ptCount val="1"/>
                <c:pt idx="0">
                  <c:v>W1678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0.27191093257148702"/>
                  <c:y val="2.535155666772953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'W1678'!$B$4:$B$10</c:f>
              <c:numCache>
                <c:formatCode>General</c:formatCode>
                <c:ptCount val="7"/>
                <c:pt idx="0">
                  <c:v>-4.2313333533381039</c:v>
                </c:pt>
                <c:pt idx="1">
                  <c:v>-4.343421495562815</c:v>
                </c:pt>
                <c:pt idx="2">
                  <c:v>-4.6004811965019599</c:v>
                </c:pt>
                <c:pt idx="3">
                  <c:v>-5.3491896969217931</c:v>
                </c:pt>
                <c:pt idx="4">
                  <c:v>-5.4889937277247451</c:v>
                </c:pt>
                <c:pt idx="5">
                  <c:v>-5.8266283046550464</c:v>
                </c:pt>
              </c:numCache>
            </c:numRef>
          </c:xVal>
          <c:yVal>
            <c:numRef>
              <c:f>'W1678'!$C$4:$C$10</c:f>
              <c:numCache>
                <c:formatCode>General</c:formatCode>
                <c:ptCount val="7"/>
                <c:pt idx="0">
                  <c:v>1.0389999999999999</c:v>
                </c:pt>
                <c:pt idx="1">
                  <c:v>1.0349999999999999</c:v>
                </c:pt>
                <c:pt idx="2">
                  <c:v>1.028</c:v>
                </c:pt>
                <c:pt idx="3">
                  <c:v>1.006</c:v>
                </c:pt>
                <c:pt idx="4">
                  <c:v>1.002</c:v>
                </c:pt>
                <c:pt idx="5">
                  <c:v>0.99199999999999999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0272"/>
        <c:axId val="133950848"/>
      </c:scatterChart>
      <c:valAx>
        <c:axId val="133950272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0848"/>
        <c:crosses val="autoZero"/>
        <c:crossBetween val="midCat"/>
      </c:valAx>
      <c:valAx>
        <c:axId val="133950848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9230892505239648"/>
          <c:w val="0.20151143728393175"/>
          <c:h val="0.22351869228781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W1550</a:t>
            </a:r>
          </a:p>
        </c:rich>
      </c:tx>
      <c:layout>
        <c:manualLayout>
          <c:xMode val="edge"/>
          <c:yMode val="edge"/>
          <c:x val="0.46440202834564048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07514960550292E-2"/>
          <c:y val="0.16410297501746549"/>
          <c:w val="0.70226648188852947"/>
          <c:h val="0.72051462468605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'W1554'!$A$1</c:f>
              <c:strCache>
                <c:ptCount val="1"/>
                <c:pt idx="0">
                  <c:v>W1554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6569637075301303"/>
                  <c:y val="0.202564609787183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'W1554'!$B$4:$B$10</c:f>
              <c:numCache>
                <c:formatCode>General</c:formatCode>
                <c:ptCount val="7"/>
                <c:pt idx="0">
                  <c:v>-3.8167128256238212</c:v>
                </c:pt>
                <c:pt idx="1">
                  <c:v>-4.5842897084087362</c:v>
                </c:pt>
                <c:pt idx="2">
                  <c:v>-4.820717660680673</c:v>
                </c:pt>
              </c:numCache>
            </c:numRef>
          </c:xVal>
          <c:yVal>
            <c:numRef>
              <c:f>'W1554'!$C$4:$C$10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1.0109999999999999</c:v>
                </c:pt>
                <c:pt idx="2">
                  <c:v>1.0049999999999999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2576"/>
        <c:axId val="133953152"/>
      </c:scatterChart>
      <c:valAx>
        <c:axId val="133952576"/>
        <c:scaling>
          <c:orientation val="minMax"/>
          <c:max val="-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3152"/>
        <c:crosses val="autoZero"/>
        <c:crossBetween val="midCat"/>
      </c:valAx>
      <c:valAx>
        <c:axId val="133953152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40900967240857"/>
          <c:y val="0.46923194419056541"/>
          <c:w val="0.20064756625386557"/>
          <c:h val="0.11025668633985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17</xdr:row>
      <xdr:rowOff>38100</xdr:rowOff>
    </xdr:from>
    <xdr:to>
      <xdr:col>17</xdr:col>
      <xdr:colOff>142875</xdr:colOff>
      <xdr:row>39</xdr:row>
      <xdr:rowOff>152400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17</xdr:row>
      <xdr:rowOff>76200</xdr:rowOff>
    </xdr:from>
    <xdr:to>
      <xdr:col>16</xdr:col>
      <xdr:colOff>28575</xdr:colOff>
      <xdr:row>40</xdr:row>
      <xdr:rowOff>66675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63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16</xdr:row>
      <xdr:rowOff>66675</xdr:rowOff>
    </xdr:from>
    <xdr:to>
      <xdr:col>11</xdr:col>
      <xdr:colOff>523875</xdr:colOff>
      <xdr:row>33</xdr:row>
      <xdr:rowOff>38100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16</xdr:row>
      <xdr:rowOff>133350</xdr:rowOff>
    </xdr:from>
    <xdr:to>
      <xdr:col>11</xdr:col>
      <xdr:colOff>323850</xdr:colOff>
      <xdr:row>33</xdr:row>
      <xdr:rowOff>38100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54</xdr:row>
      <xdr:rowOff>123825</xdr:rowOff>
    </xdr:from>
    <xdr:to>
      <xdr:col>15</xdr:col>
      <xdr:colOff>295275</xdr:colOff>
      <xdr:row>77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10</xdr:row>
      <xdr:rowOff>123825</xdr:rowOff>
    </xdr:from>
    <xdr:to>
      <xdr:col>14</xdr:col>
      <xdr:colOff>295275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H6" sqref="H6"/>
    </sheetView>
  </sheetViews>
  <sheetFormatPr defaultRowHeight="12.75" x14ac:dyDescent="0.2"/>
  <sheetData>
    <row r="1" spans="1:10" ht="15.75" x14ac:dyDescent="0.25">
      <c r="A1" s="1" t="s">
        <v>72</v>
      </c>
      <c r="B1" s="1" t="s">
        <v>71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18.010000000000002</v>
      </c>
      <c r="B4">
        <f t="shared" ref="B4:B8" si="0">LN(A4*0.001)</f>
        <v>-4.0168281197942726</v>
      </c>
      <c r="C4">
        <v>1.0369999999999999</v>
      </c>
      <c r="E4" s="7"/>
      <c r="F4" s="3">
        <f>0.0307/0.026</f>
        <v>1.1807692307692308</v>
      </c>
      <c r="G4" s="6">
        <f>EXP(-1.1604/(F4*0.026))</f>
        <v>3.8416462216718976E-17</v>
      </c>
      <c r="I4" s="9">
        <f>F4*0.026*LN(0.0296/G4)</f>
        <v>1.05233658582808</v>
      </c>
      <c r="J4" s="9">
        <f>F4*0.026*LN(0.021/G4)</f>
        <v>1.0417987517733576</v>
      </c>
    </row>
    <row r="5" spans="1:10" x14ac:dyDescent="0.2">
      <c r="A5">
        <v>16.010000000000002</v>
      </c>
      <c r="B5">
        <f t="shared" si="0"/>
        <v>-4.1345417519735133</v>
      </c>
      <c r="C5">
        <v>1.034</v>
      </c>
      <c r="E5" s="7"/>
      <c r="F5" s="3"/>
      <c r="G5" s="6"/>
    </row>
    <row r="6" spans="1:10" x14ac:dyDescent="0.2">
      <c r="A6">
        <v>11.936999999999999</v>
      </c>
      <c r="B6">
        <f t="shared" si="0"/>
        <v>-4.4281124588692355</v>
      </c>
      <c r="C6">
        <v>1.024</v>
      </c>
      <c r="F6" s="3"/>
      <c r="G6" s="6"/>
    </row>
    <row r="7" spans="1:10" x14ac:dyDescent="0.2">
      <c r="A7">
        <v>9.2750000000000004</v>
      </c>
      <c r="B7">
        <f t="shared" si="0"/>
        <v>-4.6804326704886385</v>
      </c>
      <c r="C7">
        <v>1.016</v>
      </c>
    </row>
    <row r="8" spans="1:10" x14ac:dyDescent="0.2">
      <c r="A8">
        <v>5.1589999999999998</v>
      </c>
      <c r="B8">
        <f t="shared" si="0"/>
        <v>-5.2670125167196247</v>
      </c>
      <c r="C8">
        <v>0.999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59</v>
      </c>
      <c r="B1" s="1" t="s">
        <v>23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15.391999999999999</v>
      </c>
      <c r="B4">
        <f t="shared" ref="B4:B8" si="0">LN(A4*0.001)</f>
        <v>-4.1739073850587864</v>
      </c>
      <c r="C4">
        <v>1.044</v>
      </c>
      <c r="E4" s="7"/>
      <c r="F4" s="3">
        <f>0.0302/0.026</f>
        <v>1.1615384615384616</v>
      </c>
      <c r="G4" s="8">
        <f>EXP(-1.1601/(F4*0.026))</f>
        <v>2.0751621519147997E-17</v>
      </c>
      <c r="I4" s="9">
        <f>F4*0.026*LN(0.0296/G4)</f>
        <v>1.0537965762869059</v>
      </c>
      <c r="J4" s="9">
        <f>F4*0.026*LN(0.021/G4)</f>
        <v>1.0434303681939867</v>
      </c>
    </row>
    <row r="5" spans="1:10" x14ac:dyDescent="0.2">
      <c r="A5">
        <v>13.487</v>
      </c>
      <c r="B5">
        <f t="shared" si="0"/>
        <v>-4.3060290204474168</v>
      </c>
      <c r="C5">
        <v>1.04</v>
      </c>
      <c r="E5" s="7"/>
      <c r="F5" s="3"/>
      <c r="G5" s="6"/>
    </row>
    <row r="6" spans="1:10" x14ac:dyDescent="0.2">
      <c r="A6">
        <v>10.523</v>
      </c>
      <c r="B6">
        <f t="shared" si="0"/>
        <v>-4.5541919412234622</v>
      </c>
      <c r="C6">
        <v>1.0329999999999999</v>
      </c>
      <c r="F6" s="3"/>
      <c r="G6" s="6"/>
    </row>
    <row r="7" spans="1:10" x14ac:dyDescent="0.2">
      <c r="A7">
        <v>8.44</v>
      </c>
      <c r="B7">
        <f t="shared" si="0"/>
        <v>-4.7747729703742712</v>
      </c>
      <c r="C7">
        <v>1.026</v>
      </c>
    </row>
    <row r="8" spans="1:10" x14ac:dyDescent="0.2">
      <c r="A8">
        <v>4.665</v>
      </c>
      <c r="B8">
        <f t="shared" si="0"/>
        <v>-5.3676674446828301</v>
      </c>
      <c r="C8">
        <v>1.008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58</v>
      </c>
      <c r="B1" s="1" t="s">
        <v>19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20.491</v>
      </c>
      <c r="B4">
        <f t="shared" ref="B4:B8" si="0">LN(A4*0.001)</f>
        <v>-3.8877695136274415</v>
      </c>
      <c r="C4">
        <v>1.004</v>
      </c>
      <c r="E4" s="7"/>
      <c r="F4" s="3">
        <f>0.0262/0.026</f>
        <v>1.0076923076923079</v>
      </c>
      <c r="G4" s="6">
        <f>EXP(-1.1061/(F4*0.026))</f>
        <v>4.6253845570517246E-19</v>
      </c>
      <c r="I4" s="9">
        <f>F4*0.026*LN(0.0296/G4)</f>
        <v>1.0138764999575145</v>
      </c>
      <c r="J4" s="9">
        <f>F4*0.026*LN(0.021/G4)</f>
        <v>1.0048832995590218</v>
      </c>
    </row>
    <row r="5" spans="1:10" x14ac:dyDescent="0.2">
      <c r="A5">
        <v>17.945</v>
      </c>
      <c r="B5">
        <f t="shared" si="0"/>
        <v>-4.0204437543825664</v>
      </c>
      <c r="C5">
        <v>1.0009999999999999</v>
      </c>
      <c r="E5" s="7"/>
      <c r="F5" s="3"/>
      <c r="G5" s="6"/>
    </row>
    <row r="6" spans="1:10" x14ac:dyDescent="0.2">
      <c r="A6">
        <v>13.909000000000001</v>
      </c>
      <c r="B6">
        <f t="shared" si="0"/>
        <v>-4.2752191663571439</v>
      </c>
      <c r="C6">
        <v>0.99399999999999999</v>
      </c>
      <c r="F6" s="3"/>
      <c r="G6" s="6"/>
    </row>
    <row r="7" spans="1:10" x14ac:dyDescent="0.2">
      <c r="A7">
        <v>10.634</v>
      </c>
      <c r="B7">
        <f t="shared" si="0"/>
        <v>-4.5436988638999898</v>
      </c>
      <c r="C7">
        <v>0.98799999999999999</v>
      </c>
    </row>
    <row r="8" spans="1:10" x14ac:dyDescent="0.2">
      <c r="A8">
        <v>5.8120000000000003</v>
      </c>
      <c r="B8">
        <f t="shared" si="0"/>
        <v>-5.1478305332741003</v>
      </c>
      <c r="C8">
        <v>0.97099999999999997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57</v>
      </c>
      <c r="B1" s="1" t="s">
        <v>19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21.123000000000001</v>
      </c>
      <c r="B4">
        <f t="shared" ref="B4:B9" si="0">LN(A4*0.001)</f>
        <v>-3.8573927847770313</v>
      </c>
      <c r="C4">
        <v>1.026</v>
      </c>
      <c r="E4" s="7"/>
      <c r="F4" s="3">
        <f>0.0297/0.026</f>
        <v>1.1423076923076925</v>
      </c>
      <c r="G4" s="6">
        <f>EXP(-1.1406/(F4*0.026))</f>
        <v>2.0957388764644951E-17</v>
      </c>
      <c r="I4" s="9">
        <f>F4*0.026*LN(0.0296/G4)</f>
        <v>1.0360565667457322</v>
      </c>
      <c r="J4" s="9">
        <f>F4*0.026*LN(0.021/G4)</f>
        <v>1.0258619846146162</v>
      </c>
    </row>
    <row r="5" spans="1:10" x14ac:dyDescent="0.2">
      <c r="A5">
        <v>18.584</v>
      </c>
      <c r="B5">
        <f t="shared" si="0"/>
        <v>-3.985454283514029</v>
      </c>
      <c r="C5">
        <v>1.022</v>
      </c>
      <c r="E5" s="7"/>
      <c r="F5" s="3"/>
      <c r="G5" s="6"/>
    </row>
    <row r="6" spans="1:10" x14ac:dyDescent="0.2">
      <c r="A6">
        <v>14.112</v>
      </c>
      <c r="B6">
        <f t="shared" si="0"/>
        <v>-4.2607297797177015</v>
      </c>
      <c r="C6">
        <v>1.014</v>
      </c>
      <c r="F6" s="3"/>
      <c r="G6" s="6"/>
    </row>
    <row r="7" spans="1:10" x14ac:dyDescent="0.2">
      <c r="A7">
        <v>10.731999999999999</v>
      </c>
      <c r="B7">
        <f t="shared" si="0"/>
        <v>-4.5345253464187589</v>
      </c>
      <c r="C7">
        <v>1.006</v>
      </c>
    </row>
    <row r="8" spans="1:10" x14ac:dyDescent="0.2">
      <c r="A8">
        <v>6.6210000000000004</v>
      </c>
      <c r="B8">
        <f t="shared" si="0"/>
        <v>-5.0175088630394278</v>
      </c>
      <c r="C8">
        <v>0.99199999999999999</v>
      </c>
    </row>
    <row r="9" spans="1:10" x14ac:dyDescent="0.2">
      <c r="A9">
        <v>5.0439999999999996</v>
      </c>
      <c r="B9">
        <f t="shared" si="0"/>
        <v>-5.2895558608794637</v>
      </c>
      <c r="C9">
        <v>0.98299999999999998</v>
      </c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56</v>
      </c>
      <c r="B1" s="1" t="s">
        <v>19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18.975999999999999</v>
      </c>
      <c r="B4">
        <f t="shared" ref="B4:B9" si="0">LN(A4*0.001)</f>
        <v>-3.9645802561668222</v>
      </c>
      <c r="C4">
        <v>0.98499999999999999</v>
      </c>
      <c r="E4" s="7"/>
      <c r="F4" s="3">
        <f>0.024/0.026</f>
        <v>0.92307692307692313</v>
      </c>
      <c r="G4" s="6">
        <f>EXP(-1.0803/(F4*0.026))</f>
        <v>2.8269598036518296E-20</v>
      </c>
      <c r="I4" s="9">
        <f>F4*0.026*LN(0.0296/G4)</f>
        <v>0.99582045797634922</v>
      </c>
      <c r="J4" s="9">
        <f>F4*0.026*LN(0.021/G4)</f>
        <v>0.98758241180979089</v>
      </c>
    </row>
    <row r="5" spans="1:10" x14ac:dyDescent="0.2">
      <c r="A5">
        <v>16.757000000000001</v>
      </c>
      <c r="B5">
        <f t="shared" si="0"/>
        <v>-4.0889391975635503</v>
      </c>
      <c r="C5">
        <v>0.98199999999999998</v>
      </c>
      <c r="E5" s="7"/>
      <c r="F5" s="3"/>
      <c r="G5" s="6"/>
    </row>
    <row r="6" spans="1:10" x14ac:dyDescent="0.2">
      <c r="A6">
        <v>12.879</v>
      </c>
      <c r="B6">
        <f t="shared" si="0"/>
        <v>-4.3521572010716039</v>
      </c>
      <c r="C6">
        <v>0.97599999999999998</v>
      </c>
      <c r="F6" s="3"/>
      <c r="G6" s="6"/>
    </row>
    <row r="7" spans="1:10" x14ac:dyDescent="0.2">
      <c r="A7">
        <v>9.66</v>
      </c>
      <c r="B7">
        <f t="shared" si="0"/>
        <v>-4.6397616307577101</v>
      </c>
      <c r="C7">
        <v>0.96899999999999997</v>
      </c>
    </row>
    <row r="8" spans="1:10" x14ac:dyDescent="0.2">
      <c r="A8">
        <v>6.1479999999999997</v>
      </c>
      <c r="B8">
        <f t="shared" si="0"/>
        <v>-5.0916284533057876</v>
      </c>
      <c r="C8">
        <v>0.95799999999999996</v>
      </c>
    </row>
    <row r="9" spans="1:10" x14ac:dyDescent="0.2">
      <c r="A9">
        <v>4.5970000000000004</v>
      </c>
      <c r="B9">
        <f t="shared" si="0"/>
        <v>-5.3823513621580457</v>
      </c>
      <c r="C9">
        <v>0.95099999999999996</v>
      </c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52</v>
      </c>
      <c r="B1" s="1" t="s">
        <v>19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20.312999999999999</v>
      </c>
      <c r="B4">
        <f t="shared" ref="B4:B17" si="0">LN(A4*0.001)</f>
        <v>-3.8964942038105193</v>
      </c>
      <c r="C4">
        <v>1.01</v>
      </c>
      <c r="E4" s="7" t="s">
        <v>15</v>
      </c>
      <c r="F4" s="3">
        <f>0.0269/0.026</f>
        <v>1.0346153846153847</v>
      </c>
      <c r="G4" s="6">
        <f>EXP(-1.1146/(F4*0.026))</f>
        <v>1.0116548303686937E-18</v>
      </c>
      <c r="I4" s="9">
        <f>F4*0.026*LN(0.0296/G4)</f>
        <v>1.0199125133151581</v>
      </c>
      <c r="J4" s="9">
        <f>F4*0.026*LN(0.021/G4)</f>
        <v>1.0106790365701406</v>
      </c>
    </row>
    <row r="5" spans="1:10" x14ac:dyDescent="0.2">
      <c r="A5">
        <v>17.663</v>
      </c>
      <c r="B5">
        <f t="shared" si="0"/>
        <v>-4.0362832228088301</v>
      </c>
      <c r="C5">
        <v>1.006</v>
      </c>
      <c r="E5" s="7" t="s">
        <v>29</v>
      </c>
      <c r="F5" s="3">
        <f>0.0274/0.026</f>
        <v>1.0538461538461539</v>
      </c>
      <c r="G5" s="6">
        <f>EXP(-1.1151/(F5*0.026))</f>
        <v>2.1158389106634632E-18</v>
      </c>
    </row>
    <row r="6" spans="1:10" x14ac:dyDescent="0.2">
      <c r="A6">
        <v>13.371</v>
      </c>
      <c r="B6">
        <f t="shared" si="0"/>
        <v>-4.3146670963496083</v>
      </c>
      <c r="C6">
        <v>0.998</v>
      </c>
      <c r="F6" s="3"/>
      <c r="G6" s="6"/>
    </row>
    <row r="7" spans="1:10" x14ac:dyDescent="0.2">
      <c r="A7">
        <v>11.151</v>
      </c>
      <c r="B7">
        <f t="shared" si="0"/>
        <v>-4.4962260989989122</v>
      </c>
      <c r="C7">
        <v>0.99399999999999999</v>
      </c>
    </row>
    <row r="8" spans="1:10" x14ac:dyDescent="0.2">
      <c r="A8">
        <v>5.7089999999999996</v>
      </c>
      <c r="B8">
        <f t="shared" si="0"/>
        <v>-5.1657114020000146</v>
      </c>
      <c r="C8">
        <v>0.97599999999999998</v>
      </c>
    </row>
    <row r="9" spans="1:10" x14ac:dyDescent="0.2">
      <c r="A9">
        <v>4.8529999999999998</v>
      </c>
      <c r="B9">
        <f t="shared" si="0"/>
        <v>-5.3281582085590582</v>
      </c>
      <c r="C9">
        <v>0.97099999999999997</v>
      </c>
      <c r="F9" s="5"/>
    </row>
    <row r="11" spans="1:10" x14ac:dyDescent="0.2">
      <c r="A11" t="s">
        <v>29</v>
      </c>
    </row>
    <row r="12" spans="1:10" x14ac:dyDescent="0.2">
      <c r="A12" s="7">
        <v>20.064</v>
      </c>
      <c r="B12">
        <f t="shared" si="0"/>
        <v>-3.9088281145316266</v>
      </c>
      <c r="C12">
        <v>1.008</v>
      </c>
    </row>
    <row r="13" spans="1:10" x14ac:dyDescent="0.2">
      <c r="A13">
        <v>17.928999999999998</v>
      </c>
      <c r="B13">
        <f t="shared" si="0"/>
        <v>-4.0213357653688471</v>
      </c>
      <c r="C13">
        <v>1.0049999999999999</v>
      </c>
    </row>
    <row r="14" spans="1:10" x14ac:dyDescent="0.2">
      <c r="A14">
        <v>13.71</v>
      </c>
      <c r="B14">
        <f t="shared" si="0"/>
        <v>-4.2896297854079135</v>
      </c>
      <c r="C14">
        <v>0.998</v>
      </c>
    </row>
    <row r="15" spans="1:10" x14ac:dyDescent="0.2">
      <c r="A15">
        <v>10.515000000000001</v>
      </c>
      <c r="B15">
        <f t="shared" si="0"/>
        <v>-4.5549524698274739</v>
      </c>
      <c r="C15">
        <v>0.99</v>
      </c>
    </row>
    <row r="16" spans="1:10" x14ac:dyDescent="0.2">
      <c r="A16">
        <v>6.649</v>
      </c>
      <c r="B16">
        <f t="shared" si="0"/>
        <v>-5.0132888115618188</v>
      </c>
      <c r="C16">
        <v>0.97799999999999998</v>
      </c>
    </row>
    <row r="17" spans="1:3" x14ac:dyDescent="0.2">
      <c r="A17">
        <v>5.0019999999999998</v>
      </c>
      <c r="B17">
        <f t="shared" si="0"/>
        <v>-5.2979174465267098</v>
      </c>
      <c r="C17">
        <v>0.97</v>
      </c>
    </row>
    <row r="23" spans="1:3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7" sqref="C17"/>
    </sheetView>
  </sheetViews>
  <sheetFormatPr defaultRowHeight="12.75" x14ac:dyDescent="0.2"/>
  <cols>
    <col min="7" max="7" width="12.42578125" bestFit="1" customWidth="1"/>
  </cols>
  <sheetData>
    <row r="1" spans="1:9" ht="15.75" x14ac:dyDescent="0.25">
      <c r="A1" s="1" t="s">
        <v>53</v>
      </c>
      <c r="B1" s="1" t="s">
        <v>16</v>
      </c>
    </row>
    <row r="2" spans="1:9" ht="15.75" x14ac:dyDescent="0.25">
      <c r="A2" s="1"/>
      <c r="B2" s="1" t="s">
        <v>54</v>
      </c>
    </row>
    <row r="3" spans="1:9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9" x14ac:dyDescent="0.2">
      <c r="A4">
        <v>9.4849999999999994</v>
      </c>
      <c r="B4">
        <f t="shared" ref="B4:B9" si="0">LN(A4*0.001)</f>
        <v>-4.6580436755951595</v>
      </c>
      <c r="C4">
        <v>2.431</v>
      </c>
      <c r="F4" s="3">
        <f>0.0723/0.026</f>
        <v>2.7807692307692311</v>
      </c>
      <c r="G4">
        <f>EXP(-2.76/(F4*0.026))</f>
        <v>2.6370812593692504E-17</v>
      </c>
      <c r="I4" t="s">
        <v>12</v>
      </c>
    </row>
    <row r="5" spans="1:9" x14ac:dyDescent="0.2">
      <c r="A5">
        <v>8.0869999999999997</v>
      </c>
      <c r="B5">
        <f t="shared" si="0"/>
        <v>-4.8174974448684518</v>
      </c>
      <c r="C5">
        <v>2.42</v>
      </c>
      <c r="F5" s="3"/>
    </row>
    <row r="6" spans="1:9" x14ac:dyDescent="0.2">
      <c r="A6">
        <v>6.3869999999999996</v>
      </c>
      <c r="B6">
        <f t="shared" si="0"/>
        <v>-5.0534906044026853</v>
      </c>
      <c r="C6">
        <v>2.403</v>
      </c>
    </row>
    <row r="7" spans="1:9" x14ac:dyDescent="0.2">
      <c r="A7">
        <v>4.891</v>
      </c>
      <c r="B7">
        <f t="shared" si="0"/>
        <v>-5.320358497424917</v>
      </c>
      <c r="C7">
        <v>2.383</v>
      </c>
    </row>
    <row r="8" spans="1:9" x14ac:dyDescent="0.2">
      <c r="A8">
        <v>3.0310000000000001</v>
      </c>
      <c r="B8">
        <f t="shared" si="0"/>
        <v>-5.7988626809064705</v>
      </c>
      <c r="C8">
        <v>2.3490000000000002</v>
      </c>
    </row>
    <row r="9" spans="1:9" x14ac:dyDescent="0.2">
      <c r="A9">
        <v>2.5760000000000001</v>
      </c>
      <c r="B9">
        <f t="shared" si="0"/>
        <v>-5.9615174707400298</v>
      </c>
      <c r="C9">
        <v>2.3370000000000002</v>
      </c>
    </row>
    <row r="12" spans="1:9" ht="15.75" x14ac:dyDescent="0.25">
      <c r="A12" s="1"/>
    </row>
  </sheetData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sheetData>
    <row r="1" spans="1:10" ht="15.75" x14ac:dyDescent="0.25">
      <c r="A1" s="1" t="s">
        <v>55</v>
      </c>
      <c r="B1" s="1" t="s">
        <v>19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18.215</v>
      </c>
      <c r="B4">
        <f t="shared" ref="B4:B9" si="0">LN(A4*0.001)</f>
        <v>-4.0055098485216103</v>
      </c>
      <c r="C4">
        <v>1.0129999999999999</v>
      </c>
      <c r="E4" t="s">
        <v>14</v>
      </c>
      <c r="F4" s="3">
        <f>0.0372/0.026</f>
        <v>1.4307692307692308</v>
      </c>
      <c r="G4" s="6">
        <f>EXP(-1.1626/(F4*0.026))</f>
        <v>2.6738065462905724E-14</v>
      </c>
      <c r="I4" s="9">
        <f>F4*0.026*LN(0.0296/G4)</f>
        <v>1.0316567098633411</v>
      </c>
      <c r="J4" s="9">
        <f>F4*0.026*LN(0.021/G4)</f>
        <v>1.018887738305176</v>
      </c>
    </row>
    <row r="5" spans="1:10" x14ac:dyDescent="0.2">
      <c r="A5">
        <v>16.672000000000001</v>
      </c>
      <c r="B5">
        <f t="shared" si="0"/>
        <v>-4.0940246134111806</v>
      </c>
      <c r="C5">
        <v>1.01</v>
      </c>
      <c r="F5" s="3"/>
      <c r="G5" s="6"/>
    </row>
    <row r="6" spans="1:10" x14ac:dyDescent="0.2">
      <c r="A6">
        <v>12.551</v>
      </c>
      <c r="B6">
        <f t="shared" si="0"/>
        <v>-4.3779549353038281</v>
      </c>
      <c r="C6">
        <v>1</v>
      </c>
      <c r="F6" s="3"/>
      <c r="G6" s="6"/>
    </row>
    <row r="7" spans="1:10" x14ac:dyDescent="0.2">
      <c r="A7">
        <v>9.4949999999999992</v>
      </c>
      <c r="B7">
        <f t="shared" si="0"/>
        <v>-4.6569899347178882</v>
      </c>
      <c r="C7">
        <v>0.99</v>
      </c>
    </row>
    <row r="8" spans="1:10" x14ac:dyDescent="0.2">
      <c r="A8">
        <v>5.968</v>
      </c>
      <c r="B8">
        <f t="shared" si="0"/>
        <v>-5.121343416080677</v>
      </c>
      <c r="C8">
        <v>0.97199999999999998</v>
      </c>
    </row>
    <row r="9" spans="1:10" x14ac:dyDescent="0.2">
      <c r="A9">
        <v>4.3810000000000002</v>
      </c>
      <c r="B9">
        <f t="shared" si="0"/>
        <v>-5.4304782701503758</v>
      </c>
      <c r="C9">
        <v>0.96</v>
      </c>
      <c r="F9" s="5"/>
    </row>
    <row r="12" spans="1:10" ht="15.75" x14ac:dyDescent="0.25">
      <c r="A12" s="1"/>
      <c r="B12" s="1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J9" sqref="J9"/>
    </sheetView>
  </sheetViews>
  <sheetFormatPr defaultRowHeight="12.75" x14ac:dyDescent="0.2"/>
  <sheetData>
    <row r="1" spans="1:10" ht="15.75" x14ac:dyDescent="0.25">
      <c r="A1" s="1" t="s">
        <v>44</v>
      </c>
      <c r="B1" s="1" t="s">
        <v>45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21.155999999999999</v>
      </c>
      <c r="B4">
        <f t="shared" ref="B4:B9" si="0">LN(A4*0.001)</f>
        <v>-3.8558317257784038</v>
      </c>
      <c r="C4">
        <v>1.04</v>
      </c>
      <c r="E4" t="s">
        <v>14</v>
      </c>
      <c r="F4" s="3">
        <f>0.0293/0.026</f>
        <v>1.1269230769230769</v>
      </c>
      <c r="G4" s="6">
        <f>EXP(-1.1528/(F4*0.026))</f>
        <v>8.1810604066845053E-18</v>
      </c>
      <c r="I4" s="9">
        <f>F4*0.026*LN(0.0296/G4)</f>
        <v>1.0496645591127931</v>
      </c>
      <c r="J4" s="9">
        <f>F4*0.026*LN(0.021/G4)</f>
        <v>1.0396072777511198</v>
      </c>
    </row>
    <row r="5" spans="1:10" x14ac:dyDescent="0.2">
      <c r="A5">
        <v>18.437999999999999</v>
      </c>
      <c r="B5">
        <f t="shared" si="0"/>
        <v>-3.9933415266057346</v>
      </c>
      <c r="C5">
        <v>1.036</v>
      </c>
      <c r="F5" s="3"/>
      <c r="G5" s="6"/>
    </row>
    <row r="6" spans="1:10" x14ac:dyDescent="0.2">
      <c r="A6">
        <v>14.16</v>
      </c>
      <c r="B6">
        <f t="shared" si="0"/>
        <v>-4.2573341907165636</v>
      </c>
      <c r="C6">
        <v>1.028</v>
      </c>
      <c r="F6" s="3"/>
      <c r="G6" s="6"/>
    </row>
    <row r="7" spans="1:10" x14ac:dyDescent="0.2">
      <c r="A7">
        <v>11.103</v>
      </c>
      <c r="B7">
        <f t="shared" si="0"/>
        <v>-4.5005399369100081</v>
      </c>
      <c r="C7">
        <v>1.0209999999999999</v>
      </c>
    </row>
    <row r="8" spans="1:10" x14ac:dyDescent="0.2">
      <c r="A8">
        <v>5.93</v>
      </c>
      <c r="B8">
        <f t="shared" si="0"/>
        <v>-5.1277310659725028</v>
      </c>
      <c r="C8">
        <v>1.0029999999999999</v>
      </c>
    </row>
    <row r="9" spans="1:10" x14ac:dyDescent="0.2">
      <c r="A9">
        <v>5.0810000000000004</v>
      </c>
      <c r="B9">
        <f t="shared" si="0"/>
        <v>-5.282247186370542</v>
      </c>
      <c r="C9">
        <v>0.998</v>
      </c>
      <c r="F9" s="5"/>
    </row>
    <row r="12" spans="1:10" ht="15.75" x14ac:dyDescent="0.25">
      <c r="A12" s="1" t="s">
        <v>49</v>
      </c>
      <c r="B12" s="1"/>
    </row>
    <row r="13" spans="1:10" x14ac:dyDescent="0.2">
      <c r="A13" s="4" t="s">
        <v>50</v>
      </c>
    </row>
    <row r="14" spans="1:10" x14ac:dyDescent="0.2">
      <c r="I14" s="7" t="s">
        <v>63</v>
      </c>
    </row>
    <row r="15" spans="1:10" x14ac:dyDescent="0.2">
      <c r="A15">
        <v>25.344000000000001</v>
      </c>
      <c r="B15">
        <f t="shared" ref="B15:B20" si="1">LN(A15*0.001)</f>
        <v>-3.6752132633501216</v>
      </c>
      <c r="C15">
        <v>1.0409999999999999</v>
      </c>
      <c r="F15" t="s">
        <v>5</v>
      </c>
      <c r="G15" t="s">
        <v>26</v>
      </c>
      <c r="I15" s="7" t="s">
        <v>64</v>
      </c>
      <c r="J15" s="7" t="s">
        <v>65</v>
      </c>
    </row>
    <row r="16" spans="1:10" x14ac:dyDescent="0.2">
      <c r="A16">
        <v>22.452999999999999</v>
      </c>
      <c r="B16">
        <f t="shared" si="1"/>
        <v>-3.7963310434320734</v>
      </c>
      <c r="C16">
        <v>1.0369999999999999</v>
      </c>
      <c r="F16" s="3">
        <f>0.0304/0.026</f>
        <v>1.1692307692307693</v>
      </c>
      <c r="G16" s="6">
        <f>EXP(-1.152/(F16*0.026))</f>
        <v>3.4875857644200778E-17</v>
      </c>
      <c r="I16" s="9">
        <f>F16*0.026*LN(0.0296/G16)</f>
        <v>1.0449925801033755</v>
      </c>
      <c r="J16" s="9">
        <f>F16*0.026*LN(0.021/G16)</f>
        <v>1.0345577216257349</v>
      </c>
    </row>
    <row r="17" spans="1:3" x14ac:dyDescent="0.2">
      <c r="A17">
        <v>17.292000000000002</v>
      </c>
      <c r="B17">
        <f t="shared" si="1"/>
        <v>-4.0575113121767519</v>
      </c>
      <c r="C17">
        <v>1.028</v>
      </c>
    </row>
    <row r="18" spans="1:3" x14ac:dyDescent="0.2">
      <c r="A18">
        <v>13.919</v>
      </c>
      <c r="B18">
        <f t="shared" si="1"/>
        <v>-4.2745004657368737</v>
      </c>
      <c r="C18">
        <v>1.022</v>
      </c>
    </row>
    <row r="19" spans="1:3" x14ac:dyDescent="0.2">
      <c r="A19">
        <v>8.0879999999999992</v>
      </c>
      <c r="B19">
        <f t="shared" si="1"/>
        <v>-4.8173737972639668</v>
      </c>
      <c r="C19">
        <v>1.0049999999999999</v>
      </c>
    </row>
    <row r="20" spans="1:3" x14ac:dyDescent="0.2">
      <c r="A20">
        <v>5.1989999999999998</v>
      </c>
      <c r="B20">
        <f t="shared" si="1"/>
        <v>-5.2592889795805586</v>
      </c>
      <c r="C20">
        <v>0.99299999999999999</v>
      </c>
    </row>
    <row r="23" spans="1:3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E23" sqref="E23"/>
    </sheetView>
  </sheetViews>
  <sheetFormatPr defaultRowHeight="12.75" x14ac:dyDescent="0.2"/>
  <sheetData>
    <row r="1" spans="1:10" ht="15.75" x14ac:dyDescent="0.25">
      <c r="A1" s="1" t="s">
        <v>47</v>
      </c>
      <c r="B1" s="1" t="s">
        <v>45</v>
      </c>
    </row>
    <row r="2" spans="1:10" ht="15.75" x14ac:dyDescent="0.25">
      <c r="A2" s="1" t="s">
        <v>14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20.931000000000001</v>
      </c>
      <c r="B4">
        <f>LN(A4*0.001)</f>
        <v>-3.8665239653569277</v>
      </c>
      <c r="C4">
        <v>1.056</v>
      </c>
      <c r="E4" t="s">
        <v>14</v>
      </c>
      <c r="F4" s="3">
        <f>0.0345/0.026</f>
        <v>1.3269230769230771</v>
      </c>
      <c r="G4" s="6">
        <f>EXP(-1.1893/(F4*0.026))</f>
        <v>1.0685607256679293E-15</v>
      </c>
      <c r="I4" s="9">
        <f>F4*0.026*LN(0.0296/G4)</f>
        <v>1.0678606583410017</v>
      </c>
      <c r="J4" s="9">
        <f>F4*0.026*LN(0.021/G4)</f>
        <v>1.0560184669765742</v>
      </c>
    </row>
    <row r="5" spans="1:10" x14ac:dyDescent="0.2">
      <c r="A5">
        <v>18.327000000000002</v>
      </c>
      <c r="B5">
        <f>LN(A5*0.001)</f>
        <v>-3.9993798966463974</v>
      </c>
      <c r="C5">
        <v>1.0509999999999999</v>
      </c>
      <c r="F5" s="3"/>
      <c r="G5" s="6"/>
    </row>
    <row r="6" spans="1:10" x14ac:dyDescent="0.2">
      <c r="A6">
        <v>13.670999999999999</v>
      </c>
      <c r="B6">
        <f>LN(A6*0.001)</f>
        <v>-4.2924784780322822</v>
      </c>
      <c r="C6">
        <v>1.0409999999999999</v>
      </c>
      <c r="F6" s="3"/>
      <c r="G6" s="6"/>
    </row>
    <row r="7" spans="1:10" x14ac:dyDescent="0.2">
      <c r="A7">
        <v>10.714</v>
      </c>
      <c r="B7">
        <f>LN(A7*0.001)</f>
        <v>-4.5362039815233679</v>
      </c>
      <c r="C7">
        <v>1.0329999999999999</v>
      </c>
    </row>
    <row r="8" spans="1:10" x14ac:dyDescent="0.2">
      <c r="A8">
        <v>5.8929999999999998</v>
      </c>
      <c r="B8">
        <f>LN(A8*0.001)</f>
        <v>-5.1339900731263608</v>
      </c>
      <c r="C8">
        <v>1.012</v>
      </c>
    </row>
    <row r="9" spans="1:10" x14ac:dyDescent="0.2">
      <c r="F9" s="5"/>
    </row>
    <row r="12" spans="1:10" ht="15.75" x14ac:dyDescent="0.25">
      <c r="A12" s="1" t="s">
        <v>51</v>
      </c>
      <c r="B12" s="1"/>
    </row>
    <row r="13" spans="1:10" ht="15.75" x14ac:dyDescent="0.25">
      <c r="A13" s="1" t="s">
        <v>50</v>
      </c>
      <c r="I13" s="7" t="s">
        <v>63</v>
      </c>
    </row>
    <row r="14" spans="1:10" x14ac:dyDescent="0.2">
      <c r="F14" t="s">
        <v>5</v>
      </c>
      <c r="G14" t="s">
        <v>26</v>
      </c>
      <c r="I14" s="7" t="s">
        <v>64</v>
      </c>
      <c r="J14" s="7" t="s">
        <v>65</v>
      </c>
    </row>
    <row r="15" spans="1:10" x14ac:dyDescent="0.2">
      <c r="A15">
        <v>23.94</v>
      </c>
      <c r="B15">
        <f>LN(A15*0.001)</f>
        <v>-3.7322045788523099</v>
      </c>
      <c r="C15">
        <v>1.0449999999999999</v>
      </c>
      <c r="F15" s="3">
        <f>0.0361/0.026</f>
        <v>1.3884615384615386</v>
      </c>
      <c r="G15" s="6">
        <f>EXP(-1.1804/(F15*0.026))</f>
        <v>6.3010447506328742E-15</v>
      </c>
      <c r="I15" s="9">
        <f>F15*0.026*LN(0.0296/G15)</f>
        <v>1.0533286888727582</v>
      </c>
      <c r="J15" s="9">
        <f>F15*0.026*LN(0.021/G15)</f>
        <v>1.0409372944305604</v>
      </c>
    </row>
    <row r="16" spans="1:10" x14ac:dyDescent="0.2">
      <c r="A16">
        <v>21.13</v>
      </c>
      <c r="B16">
        <f>LN(A16*0.001)</f>
        <v>-3.8570614473541718</v>
      </c>
      <c r="C16">
        <v>1.0409999999999999</v>
      </c>
    </row>
    <row r="17" spans="1:3" x14ac:dyDescent="0.2">
      <c r="A17">
        <v>16.23</v>
      </c>
      <c r="B17">
        <f>LN(A17*0.001)</f>
        <v>-4.1208938974556375</v>
      </c>
      <c r="C17">
        <v>1.032</v>
      </c>
    </row>
    <row r="18" spans="1:3" x14ac:dyDescent="0.2">
      <c r="A18">
        <v>13.36</v>
      </c>
      <c r="B18">
        <f>LN(A18*0.001)</f>
        <v>-4.315490110873637</v>
      </c>
      <c r="C18">
        <v>1.0249999999999999</v>
      </c>
    </row>
    <row r="19" spans="1:3" x14ac:dyDescent="0.2">
      <c r="A19">
        <v>7.46</v>
      </c>
      <c r="B19">
        <f>LN(A19*0.001)</f>
        <v>-4.8981998647664673</v>
      </c>
      <c r="C19">
        <v>1.0029999999999999</v>
      </c>
    </row>
    <row r="23" spans="1:3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7" sqref="I7"/>
    </sheetView>
  </sheetViews>
  <sheetFormatPr defaultRowHeight="12.75" x14ac:dyDescent="0.2"/>
  <sheetData>
    <row r="1" spans="1:10" ht="15.75" x14ac:dyDescent="0.25">
      <c r="A1" s="1" t="s">
        <v>46</v>
      </c>
      <c r="B1" s="1" t="s">
        <v>45</v>
      </c>
    </row>
    <row r="2" spans="1:10" ht="15.75" x14ac:dyDescent="0.25">
      <c r="A2" s="1" t="s">
        <v>48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20.975000000000001</v>
      </c>
      <c r="B4">
        <f>LN(A4*0.001)</f>
        <v>-3.8644240266288672</v>
      </c>
      <c r="C4">
        <v>1.038</v>
      </c>
      <c r="F4" s="3">
        <f>0.0331/0.026</f>
        <v>1.273076923076923</v>
      </c>
      <c r="G4" s="6">
        <f>EXP(-1.1654/(F4*0.026))</f>
        <v>5.1187090746515602E-16</v>
      </c>
      <c r="I4" s="9">
        <f>F4*0.026*LN(0.0296/G4)</f>
        <v>1.0488886316257149</v>
      </c>
      <c r="J4" s="9">
        <f>F4*0.026*LN(0.021/G4)</f>
        <v>1.0375269929543367</v>
      </c>
    </row>
    <row r="5" spans="1:10" x14ac:dyDescent="0.2">
      <c r="A5">
        <v>18.358000000000001</v>
      </c>
      <c r="B5">
        <f>LN(A5*0.001)</f>
        <v>-3.9976898321852379</v>
      </c>
      <c r="C5">
        <v>1.0329999999999999</v>
      </c>
      <c r="F5" s="3"/>
      <c r="G5" s="6"/>
    </row>
    <row r="6" spans="1:10" x14ac:dyDescent="0.2">
      <c r="A6">
        <v>13.842000000000001</v>
      </c>
      <c r="B6">
        <f>LN(A6*0.001)</f>
        <v>-4.2800478305624656</v>
      </c>
      <c r="C6">
        <v>1.0229999999999999</v>
      </c>
      <c r="F6" s="3"/>
      <c r="G6" s="6"/>
    </row>
    <row r="7" spans="1:10" x14ac:dyDescent="0.2">
      <c r="A7">
        <v>10.821</v>
      </c>
      <c r="B7">
        <f>LN(A7*0.001)</f>
        <v>-4.526266588392625</v>
      </c>
      <c r="C7">
        <v>1.0149999999999999</v>
      </c>
    </row>
    <row r="8" spans="1:10" x14ac:dyDescent="0.2">
      <c r="A8">
        <v>5.9349999999999996</v>
      </c>
      <c r="B8">
        <f>LN(A8*0.001)</f>
        <v>-5.1268882509205058</v>
      </c>
      <c r="C8">
        <v>0.996</v>
      </c>
    </row>
    <row r="9" spans="1:10" x14ac:dyDescent="0.2">
      <c r="F9" s="5"/>
    </row>
    <row r="12" spans="1:10" ht="15.75" x14ac:dyDescent="0.25">
      <c r="A12" s="1"/>
      <c r="B12" s="1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5" sqref="G5"/>
    </sheetView>
  </sheetViews>
  <sheetFormatPr defaultRowHeight="12.75" x14ac:dyDescent="0.2"/>
  <sheetData>
    <row r="1" spans="1:10" ht="15.75" x14ac:dyDescent="0.25">
      <c r="A1" s="1" t="s">
        <v>70</v>
      </c>
      <c r="B1" s="1" t="s">
        <v>23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13.991</v>
      </c>
      <c r="B4">
        <f t="shared" ref="B4:B8" si="0">LN(A4*0.001)</f>
        <v>-4.2693410132309886</v>
      </c>
      <c r="C4">
        <v>1.0229999999999999</v>
      </c>
      <c r="E4" s="7"/>
      <c r="F4" s="3">
        <f>0.0311/0.026</f>
        <v>1.1961538461538461</v>
      </c>
      <c r="G4" s="6">
        <f>EXP(-1.1559/(F4*0.026))</f>
        <v>7.2191990262023152E-17</v>
      </c>
      <c r="I4" s="9">
        <f>F4*0.026*LN(0.0296/G4)</f>
        <v>1.0464285934610189</v>
      </c>
      <c r="J4" s="9">
        <f>F4*0.026*LN(0.021/G4)</f>
        <v>1.035753458636854</v>
      </c>
    </row>
    <row r="5" spans="1:10" x14ac:dyDescent="0.2">
      <c r="A5">
        <v>12.132</v>
      </c>
      <c r="B5">
        <f t="shared" si="0"/>
        <v>-4.4119086891558021</v>
      </c>
      <c r="C5">
        <v>1.0189999999999999</v>
      </c>
      <c r="E5" s="7"/>
      <c r="F5" s="3"/>
      <c r="G5" s="6"/>
    </row>
    <row r="6" spans="1:10" x14ac:dyDescent="0.2">
      <c r="A6">
        <v>9.3049999999999997</v>
      </c>
      <c r="B6">
        <f t="shared" si="0"/>
        <v>-4.6772033888879232</v>
      </c>
      <c r="C6">
        <v>1.01</v>
      </c>
      <c r="F6" s="3"/>
      <c r="G6" s="6"/>
    </row>
    <row r="7" spans="1:10" x14ac:dyDescent="0.2">
      <c r="A7">
        <v>7.1539999999999999</v>
      </c>
      <c r="B7">
        <f t="shared" si="0"/>
        <v>-4.9400836381453113</v>
      </c>
      <c r="C7">
        <v>1.002</v>
      </c>
    </row>
    <row r="8" spans="1:10" x14ac:dyDescent="0.2">
      <c r="A8">
        <v>3.972</v>
      </c>
      <c r="B8">
        <f t="shared" si="0"/>
        <v>-5.5284855327992108</v>
      </c>
      <c r="C8">
        <v>0.98399999999999999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F5" sqref="F5"/>
    </sheetView>
  </sheetViews>
  <sheetFormatPr defaultRowHeight="12.75" x14ac:dyDescent="0.2"/>
  <sheetData>
    <row r="1" spans="1:7" ht="15.75" x14ac:dyDescent="0.25">
      <c r="A1" s="1" t="s">
        <v>43</v>
      </c>
      <c r="B1" s="1" t="s">
        <v>19</v>
      </c>
    </row>
    <row r="2" spans="1:7" ht="15.75" x14ac:dyDescent="0.25">
      <c r="A2" s="1" t="s">
        <v>15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18.526</v>
      </c>
      <c r="B4">
        <f t="shared" ref="B4:B9" si="0">LN(A4*0.001)</f>
        <v>-3.9885801281503013</v>
      </c>
      <c r="C4">
        <v>1.0229999999999999</v>
      </c>
      <c r="E4" t="s">
        <v>14</v>
      </c>
      <c r="F4" s="3">
        <f>0.0367/0.026</f>
        <v>1.4115384615384616</v>
      </c>
      <c r="G4" s="6">
        <f>EXP(-1.1694/(F4*0.026))</f>
        <v>1.4512584606714334E-14</v>
      </c>
    </row>
    <row r="5" spans="1:7" x14ac:dyDescent="0.2">
      <c r="A5">
        <v>8.8140000000000001</v>
      </c>
      <c r="B5">
        <f t="shared" si="0"/>
        <v>-4.731413912562342</v>
      </c>
      <c r="C5">
        <v>0.996</v>
      </c>
      <c r="F5" s="3"/>
      <c r="G5" s="6"/>
    </row>
    <row r="6" spans="1:7" x14ac:dyDescent="0.2">
      <c r="A6">
        <v>7.391</v>
      </c>
      <c r="B6">
        <f t="shared" si="0"/>
        <v>-4.9074922351793875</v>
      </c>
      <c r="C6">
        <v>0.99</v>
      </c>
      <c r="F6" s="3"/>
      <c r="G6" s="6"/>
    </row>
    <row r="7" spans="1:7" x14ac:dyDescent="0.2">
      <c r="A7">
        <v>7.35</v>
      </c>
      <c r="B7">
        <f t="shared" si="0"/>
        <v>-4.9130549657573921</v>
      </c>
      <c r="C7">
        <v>0.98899999999999999</v>
      </c>
    </row>
    <row r="8" spans="1:7" x14ac:dyDescent="0.2">
      <c r="A8">
        <v>4.9749999999999996</v>
      </c>
      <c r="B8">
        <f t="shared" si="0"/>
        <v>-5.3033299083715812</v>
      </c>
      <c r="C8">
        <v>0.97499999999999998</v>
      </c>
    </row>
    <row r="9" spans="1:7" x14ac:dyDescent="0.2">
      <c r="A9">
        <v>4.5019999999999998</v>
      </c>
      <c r="B9">
        <f t="shared" si="0"/>
        <v>-5.4032335364975967</v>
      </c>
      <c r="C9">
        <v>0.97099999999999997</v>
      </c>
      <c r="F9" s="5"/>
    </row>
    <row r="12" spans="1:7" ht="15.75" x14ac:dyDescent="0.25">
      <c r="A12" s="1"/>
      <c r="B12" s="1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5" sqref="G5"/>
    </sheetView>
  </sheetViews>
  <sheetFormatPr defaultRowHeight="12.75" x14ac:dyDescent="0.2"/>
  <cols>
    <col min="5" max="5" width="16.140625" customWidth="1"/>
  </cols>
  <sheetData>
    <row r="1" spans="1:7" ht="15.75" x14ac:dyDescent="0.25">
      <c r="A1" s="1" t="s">
        <v>42</v>
      </c>
      <c r="B1" s="1" t="s">
        <v>19</v>
      </c>
    </row>
    <row r="2" spans="1:7" ht="15.75" x14ac:dyDescent="0.25">
      <c r="A2" s="1" t="s">
        <v>14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18.274999999999999</v>
      </c>
      <c r="B4">
        <f>LN(A4*0.001)</f>
        <v>-4.0022212733462945</v>
      </c>
      <c r="C4">
        <v>1.016</v>
      </c>
      <c r="E4" t="s">
        <v>14</v>
      </c>
      <c r="F4" s="3">
        <f>0.0319/0.026</f>
        <v>1.226923076923077</v>
      </c>
      <c r="G4" s="6">
        <f>EXP(-1.1448/(F4*0.026))</f>
        <v>2.5966292262931874E-16</v>
      </c>
    </row>
    <row r="5" spans="1:7" x14ac:dyDescent="0.2">
      <c r="A5">
        <v>8.6720000000000006</v>
      </c>
      <c r="B5">
        <f>LN(A5*0.001)</f>
        <v>-4.7476558342848465</v>
      </c>
      <c r="C5">
        <v>0.995</v>
      </c>
      <c r="F5" s="3"/>
      <c r="G5" s="6"/>
    </row>
    <row r="6" spans="1:7" x14ac:dyDescent="0.2">
      <c r="A6">
        <v>7.4930000000000003</v>
      </c>
      <c r="B6">
        <f>LN(A6*0.001)</f>
        <v>-4.8937860275999636</v>
      </c>
      <c r="C6">
        <v>0.99</v>
      </c>
      <c r="F6" s="3"/>
      <c r="G6" s="6"/>
    </row>
    <row r="7" spans="1:7" x14ac:dyDescent="0.2">
      <c r="A7">
        <v>4.8579999999999997</v>
      </c>
      <c r="B7">
        <f>LN(A7*0.001)</f>
        <v>-5.3271284484021564</v>
      </c>
      <c r="C7">
        <v>0.97499999999999998</v>
      </c>
    </row>
    <row r="8" spans="1:7" x14ac:dyDescent="0.2">
      <c r="A8">
        <v>4.22</v>
      </c>
      <c r="B8">
        <f>LN(A8*0.001)</f>
        <v>-5.4679201509342166</v>
      </c>
      <c r="C8">
        <v>0.96899999999999997</v>
      </c>
    </row>
    <row r="9" spans="1:7" x14ac:dyDescent="0.2">
      <c r="F9" s="5"/>
    </row>
    <row r="12" spans="1:7" ht="15.75" x14ac:dyDescent="0.25">
      <c r="A12" s="1"/>
      <c r="B12" s="1"/>
    </row>
    <row r="23" spans="1:2" ht="15.75" x14ac:dyDescent="0.25">
      <c r="A23" s="1"/>
      <c r="B23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9" sqref="A1:IV65536"/>
    </sheetView>
  </sheetViews>
  <sheetFormatPr defaultRowHeight="12.75" x14ac:dyDescent="0.2"/>
  <cols>
    <col min="5" max="5" width="16.140625" customWidth="1"/>
  </cols>
  <sheetData>
    <row r="1" spans="1:7" ht="15.75" x14ac:dyDescent="0.25">
      <c r="A1" s="1" t="s">
        <v>41</v>
      </c>
      <c r="B1" s="1" t="s">
        <v>19</v>
      </c>
    </row>
    <row r="2" spans="1:7" ht="15.75" x14ac:dyDescent="0.25">
      <c r="A2" s="1" t="s">
        <v>14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22</v>
      </c>
      <c r="B4">
        <f>LN(A4*0.001)</f>
        <v>-3.8167128256238212</v>
      </c>
      <c r="C4">
        <v>1.0329999999999999</v>
      </c>
      <c r="E4" t="s">
        <v>14</v>
      </c>
      <c r="F4" s="3">
        <f>0.0281/0.026</f>
        <v>1.0807692307692309</v>
      </c>
      <c r="G4" s="6">
        <f>EXP(-1.1401/(F4*0.026))</f>
        <v>2.3954663671693361E-18</v>
      </c>
    </row>
    <row r="5" spans="1:7" x14ac:dyDescent="0.2">
      <c r="A5">
        <v>10.211</v>
      </c>
      <c r="B5">
        <f>LN(A5*0.001)</f>
        <v>-4.5842897084087362</v>
      </c>
      <c r="C5">
        <v>1.0109999999999999</v>
      </c>
      <c r="F5" s="3"/>
      <c r="G5" s="6"/>
    </row>
    <row r="6" spans="1:7" x14ac:dyDescent="0.2">
      <c r="A6">
        <v>8.0609999999999999</v>
      </c>
      <c r="B6">
        <f>LN(A6*0.001)</f>
        <v>-4.820717660680673</v>
      </c>
      <c r="C6">
        <v>1.0049999999999999</v>
      </c>
      <c r="F6" s="3"/>
      <c r="G6" s="6"/>
    </row>
    <row r="9" spans="1:7" x14ac:dyDescent="0.2">
      <c r="F9" s="5"/>
    </row>
    <row r="12" spans="1:7" ht="15.75" x14ac:dyDescent="0.25">
      <c r="A12" s="1"/>
      <c r="B12" s="1"/>
    </row>
    <row r="23" spans="1:2" ht="15.75" x14ac:dyDescent="0.25">
      <c r="A23" s="1"/>
      <c r="B23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7" sqref="J7"/>
    </sheetView>
  </sheetViews>
  <sheetFormatPr defaultRowHeight="12.75" x14ac:dyDescent="0.2"/>
  <cols>
    <col min="5" max="5" width="16.140625" customWidth="1"/>
  </cols>
  <sheetData>
    <row r="1" spans="1:7" ht="15.75" x14ac:dyDescent="0.25">
      <c r="A1" s="1" t="s">
        <v>36</v>
      </c>
      <c r="B1" s="1" t="s">
        <v>19</v>
      </c>
    </row>
    <row r="2" spans="1:7" ht="15.75" x14ac:dyDescent="0.25">
      <c r="A2" s="1" t="s">
        <v>29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20.577999999999999</v>
      </c>
      <c r="B4">
        <f t="shared" ref="B4:B9" si="0">LN(A4*0.001)</f>
        <v>-3.8835327350285187</v>
      </c>
      <c r="C4">
        <v>1.0389999999999999</v>
      </c>
      <c r="E4" t="s">
        <v>29</v>
      </c>
      <c r="F4" s="3">
        <f>0.0346/0.026</f>
        <v>1.3307692307692307</v>
      </c>
      <c r="G4" s="6">
        <f>EXP(-1.1759/(F4*0.026))</f>
        <v>1.7388557152269768E-15</v>
      </c>
    </row>
    <row r="5" spans="1:7" x14ac:dyDescent="0.2">
      <c r="A5">
        <v>9.891</v>
      </c>
      <c r="B5">
        <f t="shared" si="0"/>
        <v>-4.6161300262244334</v>
      </c>
      <c r="C5">
        <v>1.018</v>
      </c>
      <c r="E5" t="s">
        <v>38</v>
      </c>
      <c r="F5" s="3">
        <f>0.0416/0.026</f>
        <v>1.6</v>
      </c>
      <c r="G5" s="6">
        <f>EXP(-1.2057/(F5*0.026))</f>
        <v>2.5868298554896485E-13</v>
      </c>
    </row>
    <row r="6" spans="1:7" x14ac:dyDescent="0.2">
      <c r="A6">
        <v>7.99</v>
      </c>
      <c r="B6">
        <f t="shared" si="0"/>
        <v>-4.829564519203954</v>
      </c>
      <c r="C6">
        <v>1.0109999999999999</v>
      </c>
      <c r="E6" t="s">
        <v>40</v>
      </c>
      <c r="F6" s="3">
        <f>0.0445/0.026</f>
        <v>1.7115384615384615</v>
      </c>
      <c r="G6" s="6">
        <f>EXP(-1.2096/(F6*0.026))</f>
        <v>1.5667425327240204E-12</v>
      </c>
    </row>
    <row r="7" spans="1:7" x14ac:dyDescent="0.2">
      <c r="A7">
        <v>5.8079999999999998</v>
      </c>
      <c r="B7">
        <f t="shared" si="0"/>
        <v>-5.1485190014596425</v>
      </c>
      <c r="C7">
        <v>0.998</v>
      </c>
    </row>
    <row r="8" spans="1:7" x14ac:dyDescent="0.2">
      <c r="A8">
        <v>5.24</v>
      </c>
      <c r="B8">
        <f t="shared" si="0"/>
        <v>-5.2514337806491858</v>
      </c>
      <c r="C8">
        <v>0.99399999999999999</v>
      </c>
    </row>
    <row r="9" spans="1:7" x14ac:dyDescent="0.2">
      <c r="A9">
        <v>3.7749999999999999</v>
      </c>
      <c r="B9">
        <f t="shared" si="0"/>
        <v>-5.5793548962811492</v>
      </c>
      <c r="C9">
        <v>0.98</v>
      </c>
      <c r="E9" t="s">
        <v>30</v>
      </c>
      <c r="F9" s="5">
        <f>0.0419/0.026</f>
        <v>1.6115384615384616</v>
      </c>
      <c r="G9">
        <f>EXP(-1.1661/(F9*0.026))</f>
        <v>8.1911744076988614E-13</v>
      </c>
    </row>
    <row r="12" spans="1:7" ht="15.75" x14ac:dyDescent="0.25">
      <c r="A12" s="1" t="s">
        <v>37</v>
      </c>
      <c r="B12" s="1"/>
    </row>
    <row r="13" spans="1:7" x14ac:dyDescent="0.2">
      <c r="A13" t="s">
        <v>17</v>
      </c>
      <c r="B13" t="s">
        <v>4</v>
      </c>
      <c r="C13" t="s">
        <v>0</v>
      </c>
    </row>
    <row r="14" spans="1:7" x14ac:dyDescent="0.2">
      <c r="A14">
        <v>20.667999999999999</v>
      </c>
      <c r="B14">
        <f>LN(A14*0.001)</f>
        <v>-3.8791686685571989</v>
      </c>
      <c r="C14">
        <v>1.044</v>
      </c>
    </row>
    <row r="15" spans="1:7" x14ac:dyDescent="0.2">
      <c r="A15">
        <v>9.734</v>
      </c>
      <c r="B15">
        <f>LN(A15*0.001)</f>
        <v>-4.6321303675708743</v>
      </c>
      <c r="C15">
        <v>1.014</v>
      </c>
    </row>
    <row r="16" spans="1:7" x14ac:dyDescent="0.2">
      <c r="A16">
        <v>7.89</v>
      </c>
      <c r="B16">
        <f>LN(A16*0.001)</f>
        <v>-4.8421591441243539</v>
      </c>
      <c r="C16">
        <v>1.0049999999999999</v>
      </c>
    </row>
    <row r="17" spans="1:3" x14ac:dyDescent="0.2">
      <c r="A17">
        <v>5.835</v>
      </c>
      <c r="B17">
        <f>LN(A17*0.001)</f>
        <v>-5.1438810132436181</v>
      </c>
      <c r="C17">
        <v>0.99099999999999999</v>
      </c>
    </row>
    <row r="18" spans="1:3" x14ac:dyDescent="0.2">
      <c r="A18">
        <v>5.1429999999999998</v>
      </c>
      <c r="C18">
        <v>0.98199999999999998</v>
      </c>
    </row>
    <row r="19" spans="1:3" x14ac:dyDescent="0.2">
      <c r="A19">
        <v>3.734</v>
      </c>
      <c r="C19">
        <v>0.96699999999999997</v>
      </c>
    </row>
    <row r="23" spans="1:3" ht="15.75" x14ac:dyDescent="0.25">
      <c r="A23" s="1" t="s">
        <v>39</v>
      </c>
      <c r="B23" s="1"/>
    </row>
    <row r="24" spans="1:3" x14ac:dyDescent="0.2">
      <c r="A24" t="s">
        <v>17</v>
      </c>
      <c r="B24" t="s">
        <v>4</v>
      </c>
      <c r="C24" t="s">
        <v>0</v>
      </c>
    </row>
    <row r="25" spans="1:3" x14ac:dyDescent="0.2">
      <c r="A25">
        <v>20.184000000000001</v>
      </c>
      <c r="B25">
        <f>LN(A25*0.001)</f>
        <v>-3.9028650676433805</v>
      </c>
      <c r="C25">
        <v>1.0349999999999999</v>
      </c>
    </row>
    <row r="26" spans="1:3" x14ac:dyDescent="0.2">
      <c r="A26">
        <v>9.8140000000000001</v>
      </c>
      <c r="B26">
        <f>LN(A26*0.001)</f>
        <v>-4.6239453413144256</v>
      </c>
      <c r="C26">
        <v>1.0049999999999999</v>
      </c>
    </row>
    <row r="27" spans="1:3" x14ac:dyDescent="0.2">
      <c r="A27">
        <v>7.63</v>
      </c>
      <c r="B27">
        <f>LN(A27*0.001)</f>
        <v>-4.8756674336857717</v>
      </c>
      <c r="C27">
        <v>0.99299999999999999</v>
      </c>
    </row>
    <row r="28" spans="1:3" x14ac:dyDescent="0.2">
      <c r="A28">
        <v>5.415</v>
      </c>
      <c r="B28">
        <f>LN(A28*0.001)</f>
        <v>-5.2185823985291826</v>
      </c>
      <c r="C28">
        <v>0.97599999999999998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34" sqref="D34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28</v>
      </c>
      <c r="B1" s="1" t="s">
        <v>19</v>
      </c>
    </row>
    <row r="2" spans="1:7" ht="15.75" x14ac:dyDescent="0.25">
      <c r="A2" s="1" t="s">
        <v>29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20.382999999999999</v>
      </c>
      <c r="B4">
        <f t="shared" ref="B4:B9" si="0">LN(A4*0.001)</f>
        <v>-3.8930540588805438</v>
      </c>
      <c r="C4">
        <v>1.006</v>
      </c>
      <c r="E4" t="s">
        <v>29</v>
      </c>
      <c r="F4" s="5">
        <f>0.0494/0.026</f>
        <v>1.9000000000000001</v>
      </c>
      <c r="G4" s="6">
        <f>EXP(-1.2007/(F4*0.026))</f>
        <v>2.7808816194887304E-11</v>
      </c>
    </row>
    <row r="5" spans="1:7" x14ac:dyDescent="0.2">
      <c r="A5">
        <v>9.6660000000000004</v>
      </c>
      <c r="B5">
        <f t="shared" si="0"/>
        <v>-4.6391407055592442</v>
      </c>
      <c r="C5">
        <v>0.97299999999999998</v>
      </c>
      <c r="E5" t="s">
        <v>34</v>
      </c>
      <c r="F5" s="5">
        <f>0.055/0.026</f>
        <v>2.1153846153846154</v>
      </c>
      <c r="G5" s="6">
        <f>EXP(-1.2035/(F5*0.026))</f>
        <v>3.1394032940589466E-10</v>
      </c>
    </row>
    <row r="6" spans="1:7" x14ac:dyDescent="0.2">
      <c r="A6">
        <v>7.3879999999999999</v>
      </c>
      <c r="B6">
        <f t="shared" si="0"/>
        <v>-4.907898216645143</v>
      </c>
      <c r="C6">
        <v>0.96099999999999997</v>
      </c>
      <c r="E6" t="s">
        <v>35</v>
      </c>
      <c r="F6" s="5">
        <f>0.0536/0.026</f>
        <v>2.0615384615384618</v>
      </c>
      <c r="G6" s="6">
        <f>EXP(-1.1938/(F6*0.026))</f>
        <v>2.1243436206015599E-10</v>
      </c>
    </row>
    <row r="7" spans="1:7" x14ac:dyDescent="0.2">
      <c r="A7">
        <v>6.0250000000000004</v>
      </c>
      <c r="B7">
        <f t="shared" si="0"/>
        <v>-5.1118377996054178</v>
      </c>
      <c r="C7">
        <v>0.95</v>
      </c>
    </row>
    <row r="8" spans="1:7" x14ac:dyDescent="0.2">
      <c r="A8">
        <v>4.8929999999999998</v>
      </c>
      <c r="B8">
        <f t="shared" si="0"/>
        <v>-5.3199496666751509</v>
      </c>
      <c r="C8">
        <v>0.93899999999999995</v>
      </c>
    </row>
    <row r="9" spans="1:7" x14ac:dyDescent="0.2">
      <c r="A9">
        <v>3.298</v>
      </c>
      <c r="B9">
        <f t="shared" si="0"/>
        <v>-5.7144390548447301</v>
      </c>
      <c r="C9">
        <v>0.91500000000000004</v>
      </c>
      <c r="E9" t="s">
        <v>30</v>
      </c>
      <c r="F9" s="5">
        <f>0.0419/0.026</f>
        <v>1.6115384615384616</v>
      </c>
      <c r="G9">
        <f>EXP(-1.1661/(F9*0.026))</f>
        <v>8.1911744076988614E-13</v>
      </c>
    </row>
    <row r="12" spans="1:7" x14ac:dyDescent="0.2">
      <c r="A12" s="4" t="s">
        <v>30</v>
      </c>
    </row>
    <row r="13" spans="1:7" x14ac:dyDescent="0.2">
      <c r="A13">
        <v>19.456</v>
      </c>
      <c r="B13">
        <f t="shared" ref="B13:B18" si="1">LN(A13*0.001)</f>
        <v>-3.9395997731983803</v>
      </c>
      <c r="C13">
        <v>1</v>
      </c>
    </row>
    <row r="14" spans="1:7" x14ac:dyDescent="0.2">
      <c r="A14">
        <v>8.9450000000000003</v>
      </c>
      <c r="B14">
        <f t="shared" si="1"/>
        <v>-4.7166605620214543</v>
      </c>
      <c r="C14">
        <v>0.96899999999999997</v>
      </c>
    </row>
    <row r="15" spans="1:7" x14ac:dyDescent="0.2">
      <c r="A15">
        <v>8.2840000000000007</v>
      </c>
      <c r="B15">
        <f t="shared" si="1"/>
        <v>-4.7934293354487991</v>
      </c>
      <c r="C15">
        <v>0.96599999999999997</v>
      </c>
    </row>
    <row r="16" spans="1:7" x14ac:dyDescent="0.2">
      <c r="A16">
        <v>5.3259999999999996</v>
      </c>
      <c r="B16">
        <f t="shared" si="1"/>
        <v>-5.2351547915903964</v>
      </c>
      <c r="C16">
        <v>0.94699999999999995</v>
      </c>
    </row>
    <row r="17" spans="1:3" x14ac:dyDescent="0.2">
      <c r="A17">
        <v>4.7069999999999999</v>
      </c>
      <c r="B17">
        <f t="shared" si="1"/>
        <v>-5.3587045165631322</v>
      </c>
      <c r="C17">
        <v>0.94199999999999995</v>
      </c>
    </row>
    <row r="18" spans="1:3" x14ac:dyDescent="0.2">
      <c r="A18">
        <v>3.1179999999999999</v>
      </c>
      <c r="B18">
        <f t="shared" si="1"/>
        <v>-5.7705635083465525</v>
      </c>
      <c r="C18">
        <v>0.92300000000000004</v>
      </c>
    </row>
    <row r="20" spans="1:3" ht="15.75" x14ac:dyDescent="0.25">
      <c r="A20" s="1" t="s">
        <v>32</v>
      </c>
      <c r="B20" s="1"/>
    </row>
    <row r="21" spans="1:3" x14ac:dyDescent="0.2">
      <c r="A21" t="s">
        <v>17</v>
      </c>
      <c r="B21" t="s">
        <v>4</v>
      </c>
      <c r="C21" t="s">
        <v>0</v>
      </c>
    </row>
    <row r="22" spans="1:3" x14ac:dyDescent="0.2">
      <c r="A22">
        <v>19.366</v>
      </c>
      <c r="B22">
        <f>LN(A22*0.001)</f>
        <v>-3.9442363277927974</v>
      </c>
      <c r="C22">
        <v>0.98499999999999999</v>
      </c>
    </row>
    <row r="23" spans="1:3" x14ac:dyDescent="0.2">
      <c r="A23">
        <v>9.3870000000000005</v>
      </c>
      <c r="B23">
        <f>LN(A23*0.001)</f>
        <v>-4.6684295256272819</v>
      </c>
      <c r="C23">
        <v>0.94899999999999995</v>
      </c>
    </row>
    <row r="24" spans="1:3" x14ac:dyDescent="0.2">
      <c r="A24">
        <v>7.056</v>
      </c>
      <c r="B24">
        <f>LN(A24*0.001)</f>
        <v>-4.9538769602776469</v>
      </c>
      <c r="C24">
        <v>0.93200000000000005</v>
      </c>
    </row>
    <row r="25" spans="1:3" x14ac:dyDescent="0.2">
      <c r="A25">
        <v>5.1260000000000003</v>
      </c>
      <c r="B25">
        <f>LN(A25*0.001)</f>
        <v>-5.2734296510402574</v>
      </c>
      <c r="C25">
        <v>0.91100000000000003</v>
      </c>
    </row>
    <row r="26" spans="1:3" x14ac:dyDescent="0.2">
      <c r="A26">
        <v>4.4509999999999996</v>
      </c>
      <c r="C26">
        <v>0.9</v>
      </c>
    </row>
    <row r="27" spans="1:3" x14ac:dyDescent="0.2">
      <c r="A27">
        <v>2.9020000000000001</v>
      </c>
      <c r="C27">
        <v>0.86499999999999999</v>
      </c>
    </row>
    <row r="30" spans="1:3" ht="15.75" x14ac:dyDescent="0.25">
      <c r="A30" s="1" t="s">
        <v>33</v>
      </c>
      <c r="B30" s="1"/>
    </row>
    <row r="31" spans="1:3" x14ac:dyDescent="0.2">
      <c r="A31" t="s">
        <v>17</v>
      </c>
      <c r="B31" t="s">
        <v>4</v>
      </c>
      <c r="C31" t="s">
        <v>0</v>
      </c>
    </row>
    <row r="32" spans="1:3" x14ac:dyDescent="0.2">
      <c r="A32">
        <v>25.812000000000001</v>
      </c>
      <c r="B32">
        <f>LN(A32*0.001)</f>
        <v>-3.6569157789085436</v>
      </c>
      <c r="C32">
        <v>0.997</v>
      </c>
    </row>
    <row r="33" spans="1:3" x14ac:dyDescent="0.2">
      <c r="A33">
        <v>12.151</v>
      </c>
      <c r="B33">
        <f>LN(A33*0.001)</f>
        <v>-4.4103438080556625</v>
      </c>
      <c r="C33">
        <v>0.95799999999999996</v>
      </c>
    </row>
    <row r="34" spans="1:3" x14ac:dyDescent="0.2">
      <c r="A34">
        <v>9.6460000000000008</v>
      </c>
      <c r="B34">
        <f>LN(A34*0.001)</f>
        <v>-4.641211957335357</v>
      </c>
      <c r="C34">
        <v>0.94699999999999995</v>
      </c>
    </row>
    <row r="35" spans="1:3" x14ac:dyDescent="0.2">
      <c r="A35">
        <v>6.7030000000000003</v>
      </c>
      <c r="B35">
        <f>LN(A35*0.001)</f>
        <v>-5.0052000916063166</v>
      </c>
      <c r="C35">
        <v>0.92600000000000005</v>
      </c>
    </row>
    <row r="36" spans="1:3" x14ac:dyDescent="0.2">
      <c r="A36">
        <v>6.0190000000000001</v>
      </c>
      <c r="B36">
        <f>LN(A36*0.001)</f>
        <v>-5.1128341464165032</v>
      </c>
      <c r="C36">
        <v>0.91800000000000004</v>
      </c>
    </row>
    <row r="37" spans="1:3" x14ac:dyDescent="0.2">
      <c r="A37">
        <v>3.97</v>
      </c>
      <c r="C37">
        <v>0.88900000000000001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3" sqref="I13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27</v>
      </c>
      <c r="B1" s="1" t="s">
        <v>19</v>
      </c>
    </row>
    <row r="2" spans="1:7" ht="15.75" x14ac:dyDescent="0.25">
      <c r="A2" s="1" t="s">
        <v>14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19.55</v>
      </c>
      <c r="B4">
        <f t="shared" ref="B4:B9" si="0">LN(A4*0.001)</f>
        <v>-3.9347799925507623</v>
      </c>
      <c r="C4">
        <v>0.97399999999999998</v>
      </c>
      <c r="F4">
        <f>0.0456/0.026</f>
        <v>1.7538461538461541</v>
      </c>
      <c r="G4">
        <f>EXP(-1.1581/(F4*0.026))</f>
        <v>9.3379924812172677E-12</v>
      </c>
    </row>
    <row r="5" spans="1:7" x14ac:dyDescent="0.2">
      <c r="A5">
        <v>9.5530000000000008</v>
      </c>
      <c r="B5">
        <f t="shared" si="0"/>
        <v>-4.6509000376942655</v>
      </c>
      <c r="C5">
        <v>0.94899999999999995</v>
      </c>
    </row>
    <row r="6" spans="1:7" x14ac:dyDescent="0.2">
      <c r="A6">
        <v>8.2270000000000003</v>
      </c>
      <c r="B6">
        <f t="shared" si="0"/>
        <v>-4.8003338507953437</v>
      </c>
      <c r="C6">
        <v>0.94299999999999995</v>
      </c>
      <c r="F6">
        <f>0.0389/0.026</f>
        <v>1.4961538461538462</v>
      </c>
      <c r="G6">
        <f>EXP(-1.1159/(F6*0.026))</f>
        <v>3.4806911750513518E-13</v>
      </c>
    </row>
    <row r="7" spans="1:7" x14ac:dyDescent="0.2">
      <c r="A7">
        <v>5.843</v>
      </c>
      <c r="B7">
        <f t="shared" si="0"/>
        <v>-5.1425109154098374</v>
      </c>
      <c r="C7">
        <v>0.92600000000000005</v>
      </c>
    </row>
    <row r="8" spans="1:7" x14ac:dyDescent="0.2">
      <c r="A8">
        <v>5.032</v>
      </c>
      <c r="B8">
        <f t="shared" si="0"/>
        <v>-5.2919377595839974</v>
      </c>
      <c r="C8">
        <v>0.91900000000000004</v>
      </c>
    </row>
    <row r="9" spans="1:7" x14ac:dyDescent="0.2">
      <c r="A9">
        <v>3.2410000000000001</v>
      </c>
      <c r="B9">
        <f t="shared" si="0"/>
        <v>-5.731873354822727</v>
      </c>
      <c r="C9">
        <v>0.89100000000000001</v>
      </c>
    </row>
    <row r="10" spans="1:7" x14ac:dyDescent="0.2">
      <c r="A10" t="s">
        <v>31</v>
      </c>
    </row>
    <row r="11" spans="1:7" x14ac:dyDescent="0.2">
      <c r="A11">
        <v>18.163</v>
      </c>
      <c r="B11">
        <f t="shared" ref="B11:B16" si="1">LN(A11*0.001)</f>
        <v>-4.0083687212148309</v>
      </c>
      <c r="C11">
        <v>0.95899999999999996</v>
      </c>
    </row>
    <row r="12" spans="1:7" x14ac:dyDescent="0.2">
      <c r="A12">
        <v>8.6890000000000001</v>
      </c>
      <c r="B12">
        <f t="shared" si="1"/>
        <v>-4.745697421125068</v>
      </c>
      <c r="C12">
        <v>0.93200000000000005</v>
      </c>
    </row>
    <row r="13" spans="1:7" x14ac:dyDescent="0.2">
      <c r="A13">
        <v>6.8179999999999996</v>
      </c>
      <c r="B13">
        <f t="shared" si="1"/>
        <v>-4.988189105266426</v>
      </c>
      <c r="C13">
        <v>0.92300000000000004</v>
      </c>
    </row>
    <row r="14" spans="1:7" x14ac:dyDescent="0.2">
      <c r="A14">
        <v>4.6440000000000001</v>
      </c>
      <c r="B14">
        <f t="shared" si="1"/>
        <v>-5.3721792151464918</v>
      </c>
      <c r="C14">
        <v>0.90800000000000003</v>
      </c>
    </row>
    <row r="15" spans="1:7" x14ac:dyDescent="0.2">
      <c r="A15">
        <v>4.4969999999999999</v>
      </c>
      <c r="B15">
        <f t="shared" si="1"/>
        <v>-5.4043447711935668</v>
      </c>
      <c r="C15">
        <v>0.90700000000000003</v>
      </c>
    </row>
    <row r="16" spans="1:7" x14ac:dyDescent="0.2">
      <c r="A16">
        <v>2.8380000000000001</v>
      </c>
      <c r="B16">
        <f t="shared" si="1"/>
        <v>-5.8646557002442856</v>
      </c>
      <c r="C16">
        <v>0.88600000000000001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4" sqref="C24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18</v>
      </c>
      <c r="B1" s="1" t="s">
        <v>19</v>
      </c>
    </row>
    <row r="2" spans="1:7" ht="15.75" x14ac:dyDescent="0.25">
      <c r="A2" s="1" t="s">
        <v>14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18.248999999999999</v>
      </c>
      <c r="B4">
        <f t="shared" ref="B4:B9" si="0">LN(A4*0.001)</f>
        <v>-4.0036449949754589</v>
      </c>
      <c r="C4">
        <v>0.99299999999999999</v>
      </c>
      <c r="F4">
        <f>0.0321/0.026</f>
        <v>1.2346153846153844</v>
      </c>
      <c r="G4">
        <f>EXP(-1.1254/(F4*0.026))</f>
        <v>5.9427468357767653E-16</v>
      </c>
    </row>
    <row r="5" spans="1:7" x14ac:dyDescent="0.2">
      <c r="A5">
        <v>8.4450000000000003</v>
      </c>
      <c r="B5">
        <f t="shared" si="0"/>
        <v>-4.7741807287223734</v>
      </c>
      <c r="C5">
        <v>0.97599999999999998</v>
      </c>
    </row>
    <row r="6" spans="1:7" x14ac:dyDescent="0.2">
      <c r="A6">
        <v>6.59</v>
      </c>
      <c r="B6">
        <f t="shared" si="0"/>
        <v>-5.0222019304677215</v>
      </c>
      <c r="C6">
        <v>0.96699999999999997</v>
      </c>
    </row>
    <row r="7" spans="1:7" x14ac:dyDescent="0.2">
      <c r="A7">
        <v>4.6589999999999998</v>
      </c>
      <c r="B7">
        <f t="shared" si="0"/>
        <v>-5.3689544461474776</v>
      </c>
      <c r="C7">
        <v>0.95399999999999996</v>
      </c>
    </row>
    <row r="8" spans="1:7" x14ac:dyDescent="0.2">
      <c r="A8">
        <v>4.2</v>
      </c>
      <c r="B8">
        <f t="shared" si="0"/>
        <v>-5.4726707536928139</v>
      </c>
      <c r="C8">
        <v>0.94899999999999995</v>
      </c>
    </row>
    <row r="9" spans="1:7" x14ac:dyDescent="0.2">
      <c r="A9">
        <v>2.89</v>
      </c>
      <c r="B9">
        <f t="shared" si="0"/>
        <v>-5.8464987768577963</v>
      </c>
      <c r="C9">
        <v>0.93400000000000005</v>
      </c>
    </row>
    <row r="11" spans="1:7" x14ac:dyDescent="0.2">
      <c r="A11" t="s">
        <v>30</v>
      </c>
    </row>
    <row r="12" spans="1:7" x14ac:dyDescent="0.2">
      <c r="A12">
        <v>17.041</v>
      </c>
      <c r="B12">
        <f t="shared" ref="B12:B17" si="1">LN(A12*0.001)</f>
        <v>-4.0721330738568815</v>
      </c>
      <c r="C12">
        <v>0.98199999999999998</v>
      </c>
    </row>
    <row r="13" spans="1:7" x14ac:dyDescent="0.2">
      <c r="A13">
        <v>7.8319999999999999</v>
      </c>
      <c r="B13">
        <f t="shared" si="1"/>
        <v>-4.849537373753928</v>
      </c>
      <c r="C13">
        <v>0.96699999999999997</v>
      </c>
    </row>
    <row r="14" spans="1:7" x14ac:dyDescent="0.2">
      <c r="A14">
        <v>6.069</v>
      </c>
      <c r="B14">
        <f t="shared" si="1"/>
        <v>-5.1045614321284187</v>
      </c>
      <c r="C14">
        <v>0.95799999999999996</v>
      </c>
    </row>
    <row r="15" spans="1:7" x14ac:dyDescent="0.2">
      <c r="A15">
        <v>4.3310000000000004</v>
      </c>
      <c r="B15">
        <f t="shared" si="1"/>
        <v>-5.4419568167496477</v>
      </c>
      <c r="C15">
        <v>0.94599999999999995</v>
      </c>
    </row>
    <row r="16" spans="1:7" x14ac:dyDescent="0.2">
      <c r="A16">
        <v>4.0110000000000001</v>
      </c>
      <c r="B16">
        <f t="shared" si="1"/>
        <v>-5.5187146921942212</v>
      </c>
      <c r="C16">
        <v>0.94299999999999995</v>
      </c>
    </row>
    <row r="17" spans="1:3" x14ac:dyDescent="0.2">
      <c r="A17">
        <v>2.6549999999999998</v>
      </c>
      <c r="B17">
        <f t="shared" si="1"/>
        <v>-5.9313106242882352</v>
      </c>
      <c r="C17">
        <v>0.92700000000000005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5" sqref="K5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20</v>
      </c>
      <c r="B1" s="1" t="s">
        <v>19</v>
      </c>
    </row>
    <row r="2" spans="1:7" ht="15.75" x14ac:dyDescent="0.25">
      <c r="A2" s="1" t="s">
        <v>15</v>
      </c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21</v>
      </c>
    </row>
    <row r="4" spans="1:7" x14ac:dyDescent="0.2">
      <c r="A4">
        <v>19.547999999999998</v>
      </c>
      <c r="B4">
        <f>LN(A4*0.001)</f>
        <v>-3.9348822995742285</v>
      </c>
      <c r="C4">
        <v>0.92200000000000004</v>
      </c>
      <c r="F4">
        <f>0.0266/0.026</f>
        <v>1.023076923076923</v>
      </c>
      <c r="G4">
        <f>EXP(-1.0271/(F4*0.026))</f>
        <v>1.7009120820010612E-17</v>
      </c>
    </row>
    <row r="5" spans="1:7" x14ac:dyDescent="0.2">
      <c r="A5">
        <v>9.1519999999999992</v>
      </c>
      <c r="B5">
        <f>LN(A5*0.001)</f>
        <v>-4.6937828443446952</v>
      </c>
      <c r="C5">
        <v>0.90300000000000002</v>
      </c>
    </row>
    <row r="6" spans="1:7" x14ac:dyDescent="0.2">
      <c r="A6">
        <v>5.7649999999999997</v>
      </c>
      <c r="B6">
        <f>LN(A6*0.001)</f>
        <v>-5.1559501252611151</v>
      </c>
      <c r="C6">
        <v>0.89</v>
      </c>
      <c r="F6">
        <f>0.0285/0.026</f>
        <v>1.0961538461538463</v>
      </c>
      <c r="G6">
        <f>EXP(-1.0307/(F6*0.026))</f>
        <v>1.9668813301346928E-16</v>
      </c>
    </row>
    <row r="7" spans="1:7" x14ac:dyDescent="0.2">
      <c r="A7">
        <v>5.4459999999999997</v>
      </c>
      <c r="B7">
        <f>LN(A7*0.001)</f>
        <v>-5.2128738847305689</v>
      </c>
      <c r="C7">
        <v>0.88900000000000001</v>
      </c>
    </row>
    <row r="8" spans="1:7" x14ac:dyDescent="0.2">
      <c r="A8">
        <v>3.9129999999999998</v>
      </c>
      <c r="B8">
        <f>LN(A8*0.001)</f>
        <v>-5.5434509357538619</v>
      </c>
      <c r="C8">
        <v>0.879</v>
      </c>
    </row>
    <row r="10" spans="1:7" x14ac:dyDescent="0.2">
      <c r="A10" t="s">
        <v>31</v>
      </c>
    </row>
    <row r="11" spans="1:7" x14ac:dyDescent="0.2">
      <c r="A11">
        <v>18.396000000000001</v>
      </c>
      <c r="B11">
        <f t="shared" ref="B11:B16" si="0">LN(A11*0.001)</f>
        <v>-3.9956220293044593</v>
      </c>
      <c r="C11">
        <v>0.91600000000000004</v>
      </c>
    </row>
    <row r="12" spans="1:7" x14ac:dyDescent="0.2">
      <c r="A12">
        <v>8.8859999999999992</v>
      </c>
      <c r="B12">
        <f t="shared" si="0"/>
        <v>-4.7232782744684201</v>
      </c>
      <c r="C12">
        <v>0.89700000000000002</v>
      </c>
    </row>
    <row r="13" spans="1:7" x14ac:dyDescent="0.2">
      <c r="A13">
        <v>6.8330000000000002</v>
      </c>
      <c r="B13">
        <f t="shared" si="0"/>
        <v>-4.9859914631834954</v>
      </c>
      <c r="C13">
        <v>0.88900000000000001</v>
      </c>
    </row>
    <row r="14" spans="1:7" x14ac:dyDescent="0.2">
      <c r="A14">
        <v>4.8600000000000003</v>
      </c>
      <c r="B14">
        <f t="shared" si="0"/>
        <v>-5.3267168410697341</v>
      </c>
      <c r="C14">
        <v>0.88</v>
      </c>
    </row>
    <row r="15" spans="1:7" x14ac:dyDescent="0.2">
      <c r="A15">
        <v>4.6340000000000003</v>
      </c>
      <c r="B15">
        <f t="shared" si="0"/>
        <v>-5.3743348529719528</v>
      </c>
      <c r="C15">
        <v>0.878</v>
      </c>
    </row>
    <row r="16" spans="1:7" x14ac:dyDescent="0.2">
      <c r="A16">
        <v>2.9009999999999998</v>
      </c>
      <c r="B16">
        <f t="shared" si="0"/>
        <v>-5.8426997738428703</v>
      </c>
      <c r="C16">
        <v>0.86299999999999999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4" sqref="H14"/>
    </sheetView>
  </sheetViews>
  <sheetFormatPr defaultRowHeight="12.75" x14ac:dyDescent="0.2"/>
  <cols>
    <col min="1" max="3" width="9.28515625" bestFit="1" customWidth="1"/>
    <col min="6" max="6" width="9.28515625" bestFit="1" customWidth="1"/>
    <col min="7" max="7" width="13" bestFit="1" customWidth="1"/>
  </cols>
  <sheetData>
    <row r="1" spans="1:7" ht="15.75" x14ac:dyDescent="0.25">
      <c r="A1" s="1" t="s">
        <v>22</v>
      </c>
      <c r="B1" s="1" t="s">
        <v>23</v>
      </c>
    </row>
    <row r="2" spans="1:7" ht="15.75" x14ac:dyDescent="0.25">
      <c r="A2" s="1"/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21</v>
      </c>
    </row>
    <row r="4" spans="1:7" x14ac:dyDescent="0.2">
      <c r="A4">
        <v>25.515000000000001</v>
      </c>
      <c r="B4">
        <f t="shared" ref="B4:B9" si="0">LN(A4*0.001)</f>
        <v>-3.6684887644662023</v>
      </c>
      <c r="C4">
        <v>1.014</v>
      </c>
      <c r="F4" s="3">
        <f>0.0286/0.026</f>
        <v>1.1000000000000001</v>
      </c>
      <c r="G4">
        <f>EXP(-1.12/(F4*0.026))</f>
        <v>9.8324929966060255E-18</v>
      </c>
    </row>
    <row r="5" spans="1:7" x14ac:dyDescent="0.2">
      <c r="A5">
        <v>12.265000000000001</v>
      </c>
      <c r="B5">
        <f t="shared" si="0"/>
        <v>-4.4010056012716845</v>
      </c>
      <c r="C5">
        <v>0.996</v>
      </c>
    </row>
    <row r="6" spans="1:7" x14ac:dyDescent="0.2">
      <c r="A6">
        <v>9.6300000000000008</v>
      </c>
      <c r="B6">
        <f t="shared" si="0"/>
        <v>-4.6428720531721028</v>
      </c>
      <c r="C6">
        <v>0.98799999999999999</v>
      </c>
      <c r="E6" t="s">
        <v>31</v>
      </c>
      <c r="F6" s="3">
        <f>0.0282/0.026</f>
        <v>1.0846153846153845</v>
      </c>
      <c r="G6">
        <f>EXP(-1.1182/(F6*0.026))</f>
        <v>6.0137553543912287E-18</v>
      </c>
    </row>
    <row r="7" spans="1:7" x14ac:dyDescent="0.2">
      <c r="A7">
        <v>7.431</v>
      </c>
      <c r="B7">
        <f t="shared" si="0"/>
        <v>-4.9020948398068045</v>
      </c>
      <c r="C7">
        <v>0.98</v>
      </c>
    </row>
    <row r="8" spans="1:7" x14ac:dyDescent="0.2">
      <c r="A8">
        <v>6.907</v>
      </c>
      <c r="B8">
        <f t="shared" si="0"/>
        <v>-4.9752198888753014</v>
      </c>
      <c r="C8">
        <v>0.97799999999999998</v>
      </c>
    </row>
    <row r="9" spans="1:7" x14ac:dyDescent="0.2">
      <c r="A9">
        <v>4.9260000000000002</v>
      </c>
      <c r="B9">
        <f t="shared" si="0"/>
        <v>-5.3132279792837904</v>
      </c>
      <c r="C9">
        <v>0.96699999999999997</v>
      </c>
    </row>
    <row r="11" spans="1:7" x14ac:dyDescent="0.2">
      <c r="A11" t="s">
        <v>31</v>
      </c>
    </row>
    <row r="12" spans="1:7" x14ac:dyDescent="0.2">
      <c r="A12">
        <v>24.131</v>
      </c>
      <c r="B12">
        <f>LN(A12*0.001)</f>
        <v>-3.7242579580157531</v>
      </c>
      <c r="C12">
        <v>1.0129999999999999</v>
      </c>
    </row>
    <row r="13" spans="1:7" x14ac:dyDescent="0.2">
      <c r="A13">
        <v>11.239000000000001</v>
      </c>
      <c r="B13">
        <f>LN(A13*0.001)</f>
        <v>-4.4883654064460066</v>
      </c>
      <c r="C13">
        <v>0.99199999999999999</v>
      </c>
    </row>
    <row r="14" spans="1:7" x14ac:dyDescent="0.2">
      <c r="A14">
        <v>8.56</v>
      </c>
      <c r="B14">
        <f>LN(A14*0.001)</f>
        <v>-4.7606550888284866</v>
      </c>
      <c r="C14">
        <v>0.98399999999999999</v>
      </c>
    </row>
    <row r="15" spans="1:7" x14ac:dyDescent="0.2">
      <c r="A15">
        <v>6.1920000000000002</v>
      </c>
      <c r="B15">
        <f>LN(A15*0.001)</f>
        <v>-5.084497142694711</v>
      </c>
      <c r="C15">
        <v>0.97499999999999998</v>
      </c>
    </row>
    <row r="16" spans="1:7" x14ac:dyDescent="0.2">
      <c r="A16">
        <v>5.6769999999999996</v>
      </c>
      <c r="B16">
        <f>LN(A16*0.001)</f>
        <v>-5.1713323547935479</v>
      </c>
      <c r="C16">
        <v>0.97199999999999998</v>
      </c>
    </row>
    <row r="17" spans="1:3" x14ac:dyDescent="0.2">
      <c r="A17">
        <v>3.819</v>
      </c>
      <c r="C17">
        <v>0.95899999999999996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G4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11</v>
      </c>
      <c r="B1" s="1" t="s">
        <v>3</v>
      </c>
    </row>
    <row r="2" spans="1:7" ht="15.75" x14ac:dyDescent="0.25">
      <c r="A2" s="1"/>
      <c r="B2" s="1"/>
    </row>
    <row r="3" spans="1:7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7" x14ac:dyDescent="0.2">
      <c r="A4">
        <v>17.721</v>
      </c>
      <c r="B4">
        <f t="shared" ref="B4:B10" si="0">LN(A4*0.001)</f>
        <v>-4.0330049019889289</v>
      </c>
      <c r="C4">
        <v>1.0189999999999999</v>
      </c>
      <c r="F4">
        <f>0.03597/0.026</f>
        <v>1.3834615384615385</v>
      </c>
      <c r="G4">
        <f>EXP(-1.164/(F4*0.026))</f>
        <v>8.8328360340056961E-15</v>
      </c>
    </row>
    <row r="5" spans="1:7" x14ac:dyDescent="0.2">
      <c r="A5">
        <v>8.6219999999999999</v>
      </c>
      <c r="B5">
        <f t="shared" si="0"/>
        <v>-4.7534382026571942</v>
      </c>
      <c r="C5">
        <v>0.99299999999999999</v>
      </c>
    </row>
    <row r="6" spans="1:7" x14ac:dyDescent="0.2">
      <c r="A6">
        <v>8.4559999999999995</v>
      </c>
      <c r="B6">
        <f t="shared" si="0"/>
        <v>-4.7728790304142006</v>
      </c>
      <c r="C6">
        <v>0.99199999999999999</v>
      </c>
    </row>
    <row r="7" spans="1:7" x14ac:dyDescent="0.2">
      <c r="A7">
        <v>6.7</v>
      </c>
      <c r="B7">
        <f t="shared" si="0"/>
        <v>-5.005647752585217</v>
      </c>
      <c r="C7">
        <v>0.98399999999999999</v>
      </c>
    </row>
    <row r="8" spans="1:7" x14ac:dyDescent="0.2">
      <c r="A8">
        <v>5.2380000000000004</v>
      </c>
      <c r="B8">
        <f t="shared" si="0"/>
        <v>-5.2518155328966172</v>
      </c>
      <c r="C8">
        <v>0.97499999999999998</v>
      </c>
    </row>
    <row r="9" spans="1:7" x14ac:dyDescent="0.2">
      <c r="A9">
        <v>4.923</v>
      </c>
      <c r="B9">
        <f t="shared" si="0"/>
        <v>-5.3138371782060734</v>
      </c>
      <c r="C9">
        <v>0.97299999999999998</v>
      </c>
    </row>
    <row r="10" spans="1:7" x14ac:dyDescent="0.2">
      <c r="A10">
        <v>3.4470000000000001</v>
      </c>
      <c r="B10">
        <f t="shared" si="0"/>
        <v>-5.6702509914474089</v>
      </c>
      <c r="C10">
        <v>0.96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5" sqref="G5"/>
    </sheetView>
  </sheetViews>
  <sheetFormatPr defaultRowHeight="12.75" x14ac:dyDescent="0.2"/>
  <sheetData>
    <row r="1" spans="1:10" ht="15.75" x14ac:dyDescent="0.25">
      <c r="A1" s="1" t="s">
        <v>69</v>
      </c>
      <c r="B1" s="1" t="s">
        <v>23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15.587</v>
      </c>
      <c r="B4">
        <f t="shared" ref="B4:B8" si="0">LN(A4*0.001)</f>
        <v>-4.1613180454752232</v>
      </c>
      <c r="C4">
        <v>1.026</v>
      </c>
      <c r="E4" s="7"/>
      <c r="F4" s="3">
        <f>0.0328/0.026</f>
        <v>1.2615384615384617</v>
      </c>
      <c r="G4" s="6">
        <f>EXP(-1.1623/(F4*0.026))</f>
        <v>4.0770997014471094E-16</v>
      </c>
      <c r="I4" s="9">
        <f>F4*0.026*LN(0.0296/G4)</f>
        <v>1.0468446259010105</v>
      </c>
      <c r="J4" s="9">
        <f>F4*0.026*LN(0.021/G4)</f>
        <v>1.0355859628067143</v>
      </c>
    </row>
    <row r="5" spans="1:10" x14ac:dyDescent="0.2">
      <c r="A5">
        <v>13.487</v>
      </c>
      <c r="B5">
        <f t="shared" si="0"/>
        <v>-4.3060290204474168</v>
      </c>
      <c r="C5">
        <v>1.0209999999999999</v>
      </c>
      <c r="E5" s="7"/>
      <c r="F5" s="3"/>
      <c r="G5" s="6"/>
    </row>
    <row r="6" spans="1:10" x14ac:dyDescent="0.2">
      <c r="A6">
        <v>10.417</v>
      </c>
      <c r="B6">
        <f t="shared" si="0"/>
        <v>-4.5643161919798256</v>
      </c>
      <c r="C6">
        <v>1.0129999999999999</v>
      </c>
      <c r="F6" s="3"/>
      <c r="G6" s="6"/>
    </row>
    <row r="7" spans="1:10" x14ac:dyDescent="0.2">
      <c r="A7">
        <v>8.1329999999999991</v>
      </c>
      <c r="B7">
        <f t="shared" si="0"/>
        <v>-4.8118254197974988</v>
      </c>
      <c r="C7">
        <v>1.004</v>
      </c>
    </row>
    <row r="8" spans="1:10" x14ac:dyDescent="0.2">
      <c r="A8">
        <v>4.3230000000000004</v>
      </c>
      <c r="B8">
        <f t="shared" si="0"/>
        <v>-5.4438056732966418</v>
      </c>
      <c r="C8">
        <v>0.98399999999999999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39" sqref="C39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2</v>
      </c>
      <c r="B1" s="1" t="s">
        <v>3</v>
      </c>
    </row>
    <row r="2" spans="1:7" ht="15.75" x14ac:dyDescent="0.25">
      <c r="A2" s="1"/>
      <c r="B2" s="1"/>
    </row>
    <row r="3" spans="1:7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</row>
    <row r="4" spans="1:7" x14ac:dyDescent="0.2">
      <c r="A4">
        <v>17.702999999999999</v>
      </c>
      <c r="B4">
        <f t="shared" ref="B4:B10" si="0">LN(A4*0.001)</f>
        <v>-4.0340211622389957</v>
      </c>
      <c r="C4">
        <v>1.0249999999999999</v>
      </c>
      <c r="F4">
        <f>0.0363/0.026</f>
        <v>1.3961538461538461</v>
      </c>
      <c r="G4">
        <f>EXP(-1.172/(F4*0.026))</f>
        <v>9.509345172912812E-15</v>
      </c>
    </row>
    <row r="5" spans="1:7" x14ac:dyDescent="0.2">
      <c r="A5">
        <v>8.2560000000000002</v>
      </c>
      <c r="B5">
        <f t="shared" si="0"/>
        <v>-4.7968150702429302</v>
      </c>
      <c r="C5">
        <v>0.999</v>
      </c>
    </row>
    <row r="6" spans="1:7" x14ac:dyDescent="0.2">
      <c r="A6">
        <v>8.202</v>
      </c>
      <c r="B6">
        <f t="shared" si="0"/>
        <v>-4.8033772520122691</v>
      </c>
      <c r="C6">
        <v>0.999</v>
      </c>
    </row>
    <row r="7" spans="1:7" x14ac:dyDescent="0.2">
      <c r="A7">
        <v>6.4870000000000001</v>
      </c>
      <c r="B7">
        <f t="shared" si="0"/>
        <v>-5.0379551047512185</v>
      </c>
      <c r="C7">
        <v>0.99099999999999999</v>
      </c>
    </row>
    <row r="8" spans="1:7" x14ac:dyDescent="0.2">
      <c r="A8">
        <v>5.3070000000000004</v>
      </c>
      <c r="B8">
        <f t="shared" si="0"/>
        <v>-5.2387285751363795</v>
      </c>
      <c r="C8">
        <v>0.98199999999999998</v>
      </c>
    </row>
    <row r="9" spans="1:7" x14ac:dyDescent="0.2">
      <c r="A9">
        <v>4.6749999999999998</v>
      </c>
      <c r="B9">
        <f t="shared" si="0"/>
        <v>-5.3655261162414867</v>
      </c>
      <c r="C9">
        <v>0.97699999999999998</v>
      </c>
    </row>
    <row r="10" spans="1:7" x14ac:dyDescent="0.2">
      <c r="A10">
        <v>3.3540000000000001</v>
      </c>
      <c r="B10">
        <f t="shared" si="0"/>
        <v>-5.69760161558112</v>
      </c>
      <c r="C10">
        <v>0.96499999999999997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6</v>
      </c>
      <c r="B1" s="1" t="s">
        <v>7</v>
      </c>
    </row>
    <row r="2" spans="1:7" ht="15.75" x14ac:dyDescent="0.25">
      <c r="A2" s="1"/>
      <c r="B2" s="1"/>
    </row>
    <row r="3" spans="1:7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7" x14ac:dyDescent="0.2">
      <c r="A4">
        <v>8.6170000000000009</v>
      </c>
      <c r="B4">
        <f t="shared" ref="B4:B9" si="0">LN(A4*0.001)</f>
        <v>-4.7540182827245072</v>
      </c>
      <c r="C4">
        <v>1.33</v>
      </c>
      <c r="F4">
        <f>0.0273/0.026</f>
        <v>1.05</v>
      </c>
      <c r="G4" s="2">
        <f>EXP(-1.4598/(F4*0.026))</f>
        <v>5.9865468454729028E-24</v>
      </c>
    </row>
    <row r="5" spans="1:7" x14ac:dyDescent="0.2">
      <c r="A5">
        <v>4.1130000000000004</v>
      </c>
      <c r="B5">
        <f t="shared" si="0"/>
        <v>-5.4936025897338503</v>
      </c>
      <c r="C5">
        <v>1.31</v>
      </c>
    </row>
    <row r="6" spans="1:7" x14ac:dyDescent="0.2">
      <c r="A6">
        <v>4.0289999999999999</v>
      </c>
      <c r="B6">
        <f t="shared" si="0"/>
        <v>-5.5142370727729269</v>
      </c>
      <c r="C6">
        <v>1.31</v>
      </c>
    </row>
    <row r="7" spans="1:7" x14ac:dyDescent="0.2">
      <c r="A7">
        <v>3.1230000000000002</v>
      </c>
      <c r="B7">
        <f t="shared" si="0"/>
        <v>-5.7689612006811952</v>
      </c>
      <c r="C7">
        <v>1.3029999999999999</v>
      </c>
    </row>
    <row r="8" spans="1:7" x14ac:dyDescent="0.2">
      <c r="A8">
        <v>2.3319999999999999</v>
      </c>
      <c r="B8">
        <f t="shared" si="0"/>
        <v>-6.0610290104938915</v>
      </c>
      <c r="C8">
        <v>1.294</v>
      </c>
    </row>
    <row r="9" spans="1:7" x14ac:dyDescent="0.2">
      <c r="A9">
        <v>2.19</v>
      </c>
      <c r="B9">
        <f t="shared" si="0"/>
        <v>-6.1238537351537277</v>
      </c>
      <c r="C9">
        <v>1.2929999999999999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2.75" x14ac:dyDescent="0.2"/>
  <cols>
    <col min="7" max="7" width="12.42578125" bestFit="1" customWidth="1"/>
  </cols>
  <sheetData>
    <row r="1" spans="1:7" ht="15.75" x14ac:dyDescent="0.25">
      <c r="A1" s="1" t="s">
        <v>8</v>
      </c>
      <c r="B1" s="1" t="s">
        <v>7</v>
      </c>
    </row>
    <row r="2" spans="1:7" ht="15.75" x14ac:dyDescent="0.25">
      <c r="A2" s="1"/>
      <c r="B2" s="1"/>
    </row>
    <row r="3" spans="1:7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7" x14ac:dyDescent="0.2">
      <c r="A4">
        <v>8.359</v>
      </c>
      <c r="B4">
        <f>LN(A4*0.001)</f>
        <v>-4.7844164762651182</v>
      </c>
      <c r="C4">
        <v>1.367</v>
      </c>
      <c r="F4" s="3">
        <f>0.0276/0.026</f>
        <v>1.0615384615384615</v>
      </c>
      <c r="G4" s="2">
        <f>EXP(-1.5/(F4*0.026))</f>
        <v>2.4948189087365136E-24</v>
      </c>
    </row>
    <row r="5" spans="1:7" x14ac:dyDescent="0.2">
      <c r="A5">
        <v>4.1280000000000001</v>
      </c>
      <c r="B5">
        <f>LN(A5*0.001)</f>
        <v>-5.4899622508028756</v>
      </c>
      <c r="C5">
        <v>1.349</v>
      </c>
    </row>
    <row r="6" spans="1:7" x14ac:dyDescent="0.2">
      <c r="A6">
        <v>4.0540000000000003</v>
      </c>
      <c r="B6">
        <f>LN(A6*0.001)</f>
        <v>-5.5080512309523284</v>
      </c>
      <c r="C6">
        <v>1.3480000000000001</v>
      </c>
    </row>
    <row r="7" spans="1:7" x14ac:dyDescent="0.2">
      <c r="A7">
        <v>2.8119999999999998</v>
      </c>
      <c r="B7">
        <f>LN(A7*0.001)</f>
        <v>-5.8738593050337187</v>
      </c>
      <c r="C7">
        <v>1.337</v>
      </c>
    </row>
    <row r="8" spans="1:7" x14ac:dyDescent="0.2">
      <c r="A8">
        <v>2.1760000000000002</v>
      </c>
      <c r="B8">
        <f>LN(A8*0.001)</f>
        <v>-6.1302669499884406</v>
      </c>
      <c r="C8">
        <v>1.33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defaultRowHeight="12.75" x14ac:dyDescent="0.2"/>
  <cols>
    <col min="7" max="7" width="11.42578125" bestFit="1" customWidth="1"/>
  </cols>
  <sheetData>
    <row r="1" spans="1:9" ht="15.75" x14ac:dyDescent="0.25">
      <c r="A1" s="1" t="s">
        <v>24</v>
      </c>
      <c r="B1" s="1" t="s">
        <v>10</v>
      </c>
    </row>
    <row r="2" spans="1:9" ht="15.75" x14ac:dyDescent="0.25">
      <c r="A2" s="1" t="s">
        <v>25</v>
      </c>
      <c r="B2" s="1" t="s">
        <v>14</v>
      </c>
    </row>
    <row r="3" spans="1:9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9" x14ac:dyDescent="0.2">
      <c r="A4">
        <v>13.218</v>
      </c>
      <c r="B4">
        <f t="shared" ref="B4:B9" si="0">LN(A4*0.001)</f>
        <v>-4.3261757419338762</v>
      </c>
      <c r="C4">
        <v>2.387</v>
      </c>
      <c r="F4" s="3">
        <f>0.0597/0.026</f>
        <v>2.2961538461538464</v>
      </c>
      <c r="G4">
        <f>EXP(-2.65/(F4*0.026))</f>
        <v>5.2755985632878288E-20</v>
      </c>
      <c r="I4" t="s">
        <v>24</v>
      </c>
    </row>
    <row r="5" spans="1:9" x14ac:dyDescent="0.2">
      <c r="A5">
        <v>6.3869999999999996</v>
      </c>
      <c r="B5">
        <f t="shared" si="0"/>
        <v>-5.0534906044026853</v>
      </c>
      <c r="C5">
        <v>2.3439999999999999</v>
      </c>
      <c r="F5" s="3">
        <f>0.0611/0.026</f>
        <v>2.35</v>
      </c>
      <c r="G5">
        <f>EXP(-2.68/(F5*0.026))</f>
        <v>8.9279017566215934E-20</v>
      </c>
      <c r="I5" t="s">
        <v>9</v>
      </c>
    </row>
    <row r="6" spans="1:9" x14ac:dyDescent="0.2">
      <c r="A6">
        <v>4.6219999999999999</v>
      </c>
      <c r="B6">
        <f t="shared" si="0"/>
        <v>-5.3769277671299482</v>
      </c>
      <c r="C6">
        <v>2.33</v>
      </c>
    </row>
    <row r="7" spans="1:9" x14ac:dyDescent="0.2">
      <c r="A7">
        <v>3.4860000000000002</v>
      </c>
      <c r="B7">
        <f t="shared" si="0"/>
        <v>-5.6590003318843074</v>
      </c>
      <c r="C7">
        <v>2.3090000000000002</v>
      </c>
    </row>
    <row r="8" spans="1:9" x14ac:dyDescent="0.2">
      <c r="A8">
        <v>3.2690000000000001</v>
      </c>
      <c r="B8">
        <f t="shared" si="0"/>
        <v>-5.7232711512400636</v>
      </c>
      <c r="C8">
        <v>2.3039999999999998</v>
      </c>
    </row>
    <row r="9" spans="1:9" x14ac:dyDescent="0.2">
      <c r="A9">
        <v>2.351</v>
      </c>
      <c r="B9">
        <f t="shared" si="0"/>
        <v>-6.0529145094242045</v>
      </c>
      <c r="C9">
        <v>2.2829999999999999</v>
      </c>
    </row>
    <row r="12" spans="1:9" ht="15.75" x14ac:dyDescent="0.25">
      <c r="A12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4" sqref="G4"/>
    </sheetView>
  </sheetViews>
  <sheetFormatPr defaultRowHeight="12.75" x14ac:dyDescent="0.2"/>
  <cols>
    <col min="7" max="7" width="12.42578125" bestFit="1" customWidth="1"/>
  </cols>
  <sheetData>
    <row r="1" spans="1:9" ht="15.75" x14ac:dyDescent="0.25">
      <c r="A1" s="1" t="s">
        <v>9</v>
      </c>
      <c r="B1" s="1" t="s">
        <v>10</v>
      </c>
    </row>
    <row r="2" spans="1:9" ht="15.75" x14ac:dyDescent="0.25">
      <c r="A2" s="1" t="s">
        <v>12</v>
      </c>
      <c r="B2" s="1" t="s">
        <v>14</v>
      </c>
    </row>
    <row r="3" spans="1:9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9" x14ac:dyDescent="0.2">
      <c r="A4">
        <v>8.3490000000000002</v>
      </c>
      <c r="B4">
        <f t="shared" ref="B4:B10" si="0">LN(A4*0.001)</f>
        <v>-4.7856135077702735</v>
      </c>
      <c r="C4">
        <v>2.3889999999999998</v>
      </c>
      <c r="F4" s="3">
        <f>0.0673/0.026</f>
        <v>2.5884615384615386</v>
      </c>
      <c r="G4">
        <f>EXP(-2.71/(F4*0.026))</f>
        <v>3.2513572862733609E-18</v>
      </c>
      <c r="H4" t="s">
        <v>14</v>
      </c>
      <c r="I4" t="s">
        <v>12</v>
      </c>
    </row>
    <row r="5" spans="1:9" x14ac:dyDescent="0.2">
      <c r="A5">
        <v>3.8410000000000002</v>
      </c>
      <c r="B5">
        <f t="shared" si="0"/>
        <v>-5.5620225296183694</v>
      </c>
      <c r="C5">
        <v>2.3359999999999999</v>
      </c>
      <c r="F5" s="3">
        <f>0.0611/0.026</f>
        <v>2.35</v>
      </c>
      <c r="G5">
        <f>EXP(-2.68/(F5*0.026))</f>
        <v>8.9279017566215934E-20</v>
      </c>
      <c r="H5" t="s">
        <v>15</v>
      </c>
      <c r="I5" t="s">
        <v>13</v>
      </c>
    </row>
    <row r="6" spans="1:9" x14ac:dyDescent="0.2">
      <c r="A6">
        <v>3.8010000000000002</v>
      </c>
      <c r="B6">
        <f t="shared" si="0"/>
        <v>-5.572491088975025</v>
      </c>
      <c r="C6">
        <v>2.3359999999999999</v>
      </c>
    </row>
    <row r="7" spans="1:9" x14ac:dyDescent="0.2">
      <c r="A7">
        <v>3.1080000000000001</v>
      </c>
      <c r="B7">
        <f t="shared" si="0"/>
        <v>-5.7737758464767364</v>
      </c>
      <c r="C7">
        <v>2.3210000000000002</v>
      </c>
    </row>
    <row r="8" spans="1:9" x14ac:dyDescent="0.2">
      <c r="A8">
        <v>2.2189999999999999</v>
      </c>
      <c r="B8">
        <f t="shared" si="0"/>
        <v>-6.1106986350316799</v>
      </c>
      <c r="C8">
        <v>2.2999999999999998</v>
      </c>
    </row>
    <row r="9" spans="1:9" x14ac:dyDescent="0.2">
      <c r="A9">
        <v>2.0339999999999998</v>
      </c>
      <c r="B9">
        <f t="shared" si="0"/>
        <v>-6.1977509813557692</v>
      </c>
      <c r="C9">
        <v>2.2919999999999998</v>
      </c>
    </row>
    <row r="10" spans="1:9" x14ac:dyDescent="0.2">
      <c r="A10">
        <v>1.4119999999999999</v>
      </c>
      <c r="B10">
        <f t="shared" si="0"/>
        <v>-6.5627481399110872</v>
      </c>
      <c r="C10">
        <v>2.27</v>
      </c>
    </row>
    <row r="12" spans="1:9" ht="15.75" x14ac:dyDescent="0.25">
      <c r="A12" s="1" t="s">
        <v>13</v>
      </c>
      <c r="B12" t="s">
        <v>15</v>
      </c>
    </row>
    <row r="13" spans="1:9" x14ac:dyDescent="0.2">
      <c r="A13">
        <v>11.037000000000001</v>
      </c>
      <c r="B13">
        <f>LN(A13*0.001)</f>
        <v>-4.5065020141913896</v>
      </c>
      <c r="C13">
        <v>2.399</v>
      </c>
    </row>
    <row r="14" spans="1:9" x14ac:dyDescent="0.2">
      <c r="A14">
        <v>5.1449999999999996</v>
      </c>
      <c r="B14">
        <f t="shared" ref="B14:B19" si="1">LN(A14*0.001)</f>
        <v>-5.2697299096961245</v>
      </c>
      <c r="C14">
        <v>2.355</v>
      </c>
    </row>
    <row r="15" spans="1:9" x14ac:dyDescent="0.2">
      <c r="A15">
        <v>5.0119999999999996</v>
      </c>
      <c r="B15">
        <f t="shared" si="1"/>
        <v>-5.2959202419483153</v>
      </c>
      <c r="C15">
        <v>2.3540000000000001</v>
      </c>
    </row>
    <row r="16" spans="1:9" x14ac:dyDescent="0.2">
      <c r="A16">
        <v>3.9489999999999998</v>
      </c>
      <c r="B16">
        <f t="shared" si="1"/>
        <v>-5.5342928966776244</v>
      </c>
      <c r="C16">
        <v>2.3380000000000001</v>
      </c>
    </row>
    <row r="17" spans="1:3" x14ac:dyDescent="0.2">
      <c r="A17">
        <v>2.915</v>
      </c>
      <c r="B17">
        <f t="shared" si="1"/>
        <v>-5.8378854591796809</v>
      </c>
      <c r="C17">
        <v>2.3180000000000001</v>
      </c>
    </row>
    <row r="18" spans="1:3" x14ac:dyDescent="0.2">
      <c r="A18">
        <v>2.78</v>
      </c>
      <c r="B18">
        <f t="shared" si="1"/>
        <v>-5.8853043512795917</v>
      </c>
      <c r="C18">
        <v>2.3149999999999999</v>
      </c>
    </row>
    <row r="19" spans="1:3" x14ac:dyDescent="0.2">
      <c r="A19">
        <v>1.873</v>
      </c>
      <c r="B19">
        <f t="shared" si="1"/>
        <v>-6.2802138555201852</v>
      </c>
      <c r="C19">
        <v>2.2919999999999998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4" sqref="G4"/>
    </sheetView>
  </sheetViews>
  <sheetFormatPr defaultRowHeight="12.75" x14ac:dyDescent="0.2"/>
  <cols>
    <col min="7" max="7" width="12.42578125" bestFit="1" customWidth="1"/>
  </cols>
  <sheetData>
    <row r="1" spans="1:9" ht="15.75" x14ac:dyDescent="0.25">
      <c r="A1" s="1" t="s">
        <v>9</v>
      </c>
      <c r="B1" s="1" t="s">
        <v>16</v>
      </c>
    </row>
    <row r="2" spans="1:9" ht="15.75" x14ac:dyDescent="0.25">
      <c r="A2" s="1"/>
      <c r="B2" s="1" t="s">
        <v>14</v>
      </c>
    </row>
    <row r="3" spans="1:9" x14ac:dyDescent="0.2">
      <c r="A3" t="s">
        <v>1</v>
      </c>
      <c r="B3" t="s">
        <v>4</v>
      </c>
      <c r="C3" t="s">
        <v>0</v>
      </c>
      <c r="F3" t="s">
        <v>5</v>
      </c>
      <c r="G3" t="s">
        <v>21</v>
      </c>
    </row>
    <row r="4" spans="1:9" x14ac:dyDescent="0.2">
      <c r="A4">
        <v>8.0350000000000001</v>
      </c>
      <c r="B4">
        <f t="shared" ref="B4:B10" si="0">LN(A4*0.001)</f>
        <v>-4.8239482797926607</v>
      </c>
      <c r="C4">
        <v>2.2589999999999999</v>
      </c>
      <c r="F4" s="3">
        <f>0.1106/0.026</f>
        <v>4.2538461538461538</v>
      </c>
      <c r="G4">
        <f>EXP(-2.8/(F4*0.026))</f>
        <v>1.0120523782925278E-11</v>
      </c>
      <c r="I4" t="s">
        <v>12</v>
      </c>
    </row>
    <row r="5" spans="1:9" x14ac:dyDescent="0.2">
      <c r="A5">
        <v>3.78</v>
      </c>
      <c r="B5">
        <f t="shared" si="0"/>
        <v>-5.5780312693506406</v>
      </c>
      <c r="C5">
        <v>2.1930000000000001</v>
      </c>
      <c r="F5" s="3"/>
    </row>
    <row r="6" spans="1:9" x14ac:dyDescent="0.2">
      <c r="A6">
        <v>3.774</v>
      </c>
      <c r="B6">
        <f t="shared" si="0"/>
        <v>-5.5796198320357782</v>
      </c>
      <c r="C6">
        <v>2.1930000000000001</v>
      </c>
    </row>
    <row r="7" spans="1:9" x14ac:dyDescent="0.2">
      <c r="A7">
        <v>3.032</v>
      </c>
      <c r="B7">
        <f t="shared" si="0"/>
        <v>-5.798532811202012</v>
      </c>
      <c r="C7">
        <v>2.1680000000000001</v>
      </c>
    </row>
    <row r="8" spans="1:9" x14ac:dyDescent="0.2">
      <c r="A8">
        <v>2.419</v>
      </c>
      <c r="B8">
        <f t="shared" si="0"/>
        <v>-6.0244010473542469</v>
      </c>
      <c r="C8">
        <v>2.1419999999999999</v>
      </c>
    </row>
    <row r="9" spans="1:9" x14ac:dyDescent="0.2">
      <c r="A9">
        <v>2.2280000000000002</v>
      </c>
      <c r="B9">
        <f t="shared" si="0"/>
        <v>-6.1066509569170995</v>
      </c>
      <c r="C9">
        <v>2.13</v>
      </c>
    </row>
    <row r="10" spans="1:9" x14ac:dyDescent="0.2">
      <c r="A10">
        <v>1.4550000000000001</v>
      </c>
      <c r="B10">
        <f t="shared" si="0"/>
        <v>-6.5327493783586812</v>
      </c>
      <c r="C10">
        <v>2.0680000000000001</v>
      </c>
    </row>
    <row r="12" spans="1:9" ht="15.75" x14ac:dyDescent="0.25">
      <c r="A12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"/>
    </sheetView>
  </sheetViews>
  <sheetFormatPr defaultRowHeight="12.75" x14ac:dyDescent="0.2"/>
  <sheetData>
    <row r="1" spans="1:10" ht="15.75" x14ac:dyDescent="0.25">
      <c r="A1" s="1" t="s">
        <v>68</v>
      </c>
      <c r="B1" s="1" t="s">
        <v>23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14.532999999999999</v>
      </c>
      <c r="B4">
        <f t="shared" ref="B4:B9" si="0">LN(A4*0.001)</f>
        <v>-4.2313333533381039</v>
      </c>
      <c r="C4">
        <v>1.0389999999999999</v>
      </c>
      <c r="E4" s="7"/>
      <c r="F4" s="3">
        <f>0.0292/0.026</f>
        <v>1.1230769230769231</v>
      </c>
      <c r="G4" s="6">
        <f>EXP(-1.1624/(F4*0.026))</f>
        <v>5.146477478070551E-18</v>
      </c>
      <c r="I4" s="9">
        <f>F4*0.026*LN(0.0296/G4)</f>
        <v>1.0596165572045582</v>
      </c>
      <c r="J4" s="9">
        <f>F4*0.026*LN(0.021/G4)</f>
        <v>1.0495936010352458</v>
      </c>
    </row>
    <row r="5" spans="1:10" x14ac:dyDescent="0.2">
      <c r="A5">
        <v>12.992000000000001</v>
      </c>
      <c r="B5">
        <f t="shared" si="0"/>
        <v>-4.343421495562815</v>
      </c>
      <c r="C5">
        <v>1.0349999999999999</v>
      </c>
      <c r="E5" s="7"/>
      <c r="F5" s="3"/>
      <c r="G5" s="6"/>
    </row>
    <row r="6" spans="1:10" x14ac:dyDescent="0.2">
      <c r="A6">
        <v>10.047000000000001</v>
      </c>
      <c r="B6">
        <f t="shared" si="0"/>
        <v>-4.6004811965019599</v>
      </c>
      <c r="C6">
        <v>1.028</v>
      </c>
      <c r="F6" s="3"/>
      <c r="G6" s="6"/>
    </row>
    <row r="7" spans="1:10" x14ac:dyDescent="0.2">
      <c r="A7">
        <v>4.7519999999999998</v>
      </c>
      <c r="B7">
        <f t="shared" si="0"/>
        <v>-5.3491896969217931</v>
      </c>
      <c r="C7">
        <v>1.006</v>
      </c>
    </row>
    <row r="8" spans="1:10" x14ac:dyDescent="0.2">
      <c r="A8">
        <v>4.1319999999999997</v>
      </c>
      <c r="B8">
        <f t="shared" si="0"/>
        <v>-5.4889937277247451</v>
      </c>
      <c r="C8">
        <v>1.002</v>
      </c>
    </row>
    <row r="9" spans="1:10" x14ac:dyDescent="0.2">
      <c r="A9">
        <v>2.948</v>
      </c>
      <c r="B9">
        <f t="shared" si="0"/>
        <v>-5.8266283046550464</v>
      </c>
      <c r="C9">
        <v>0.99199999999999999</v>
      </c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5" sqref="G5"/>
    </sheetView>
  </sheetViews>
  <sheetFormatPr defaultRowHeight="12.75" x14ac:dyDescent="0.2"/>
  <sheetData>
    <row r="1" spans="1:10" ht="15.75" x14ac:dyDescent="0.25">
      <c r="A1" s="1" t="s">
        <v>67</v>
      </c>
      <c r="B1" s="1" t="s">
        <v>23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15.103999999999999</v>
      </c>
      <c r="B4">
        <f t="shared" ref="B4:B9" si="0">LN(A4*0.001)</f>
        <v>-4.1927956695789925</v>
      </c>
      <c r="C4">
        <v>1.0209999999999999</v>
      </c>
      <c r="E4" s="7"/>
      <c r="F4" s="3">
        <f>0.0259/0.026</f>
        <v>0.99615384615384617</v>
      </c>
      <c r="G4" s="6">
        <f>EXP(-1.1292/(F4*0.026))</f>
        <v>1.1626026648521726E-19</v>
      </c>
      <c r="I4" s="9">
        <f>F4*0.026*LN(0.0296/G4)</f>
        <v>1.0380324942328101</v>
      </c>
      <c r="J4" s="9">
        <f>F4*0.026*LN(0.021/G4)</f>
        <v>1.0291422694113994</v>
      </c>
    </row>
    <row r="5" spans="1:10" x14ac:dyDescent="0.2">
      <c r="A5">
        <v>13.39</v>
      </c>
      <c r="B5">
        <f t="shared" si="0"/>
        <v>-4.3132471192790556</v>
      </c>
      <c r="C5">
        <v>1.0169999999999999</v>
      </c>
      <c r="E5" s="7"/>
      <c r="F5" s="3"/>
      <c r="G5" s="6"/>
    </row>
    <row r="6" spans="1:10" x14ac:dyDescent="0.2">
      <c r="A6">
        <v>10.006</v>
      </c>
      <c r="B6">
        <f t="shared" si="0"/>
        <v>-4.6045703659161239</v>
      </c>
      <c r="C6">
        <v>1.01</v>
      </c>
      <c r="F6" s="3"/>
      <c r="G6" s="6"/>
    </row>
    <row r="7" spans="1:10" x14ac:dyDescent="0.2">
      <c r="A7">
        <v>8.109</v>
      </c>
      <c r="B7">
        <f t="shared" si="0"/>
        <v>-4.8147807230197168</v>
      </c>
      <c r="C7">
        <v>1.004</v>
      </c>
    </row>
    <row r="8" spans="1:10" x14ac:dyDescent="0.2">
      <c r="A8">
        <v>4.4130000000000003</v>
      </c>
      <c r="B8">
        <f t="shared" si="0"/>
        <v>-5.4232005486947266</v>
      </c>
      <c r="C8">
        <v>0.98899999999999999</v>
      </c>
    </row>
    <row r="9" spans="1:10" x14ac:dyDescent="0.2">
      <c r="A9">
        <v>3.1739999999999999</v>
      </c>
      <c r="B9">
        <f t="shared" si="0"/>
        <v>-5.7527626568779198</v>
      </c>
      <c r="C9">
        <v>0.98</v>
      </c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J10" sqref="J10"/>
    </sheetView>
  </sheetViews>
  <sheetFormatPr defaultRowHeight="12.75" x14ac:dyDescent="0.2"/>
  <sheetData>
    <row r="1" spans="1:10" ht="15.75" x14ac:dyDescent="0.25">
      <c r="A1" s="1" t="s">
        <v>66</v>
      </c>
      <c r="B1" s="1" t="s">
        <v>23</v>
      </c>
    </row>
    <row r="2" spans="1:10" ht="15.75" x14ac:dyDescent="0.25">
      <c r="A2" s="1" t="s">
        <v>50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15.488</v>
      </c>
      <c r="B4">
        <f t="shared" ref="B4:B9" si="0">LN(A4*0.001)</f>
        <v>-4.1676897484479163</v>
      </c>
      <c r="C4">
        <v>1.012</v>
      </c>
      <c r="E4" s="7"/>
      <c r="F4" s="3">
        <f>0.0248/0.026</f>
        <v>0.9538461538461539</v>
      </c>
      <c r="G4" s="6">
        <f>EXP(-1.1152/(F4*0.026))</f>
        <v>2.9563633777285477E-20</v>
      </c>
      <c r="I4" s="9">
        <f>F4*0.026*LN(0.0296/G4)</f>
        <v>1.0279044732422273</v>
      </c>
      <c r="J4" s="9">
        <f>F4*0.026*LN(0.021/G4)</f>
        <v>1.019391825536784</v>
      </c>
    </row>
    <row r="5" spans="1:10" x14ac:dyDescent="0.2">
      <c r="A5">
        <v>13.59</v>
      </c>
      <c r="B5">
        <f t="shared" si="0"/>
        <v>-4.2984210508190843</v>
      </c>
      <c r="C5">
        <v>1.008</v>
      </c>
      <c r="E5" s="7"/>
      <c r="F5" s="3"/>
      <c r="G5" s="6"/>
    </row>
    <row r="6" spans="1:10" x14ac:dyDescent="0.2">
      <c r="A6">
        <v>10.191000000000001</v>
      </c>
      <c r="B6">
        <f t="shared" si="0"/>
        <v>-4.5862503011355802</v>
      </c>
      <c r="C6">
        <v>1.002</v>
      </c>
      <c r="F6" s="3"/>
      <c r="G6" s="6"/>
    </row>
    <row r="7" spans="1:10" x14ac:dyDescent="0.2">
      <c r="A7">
        <v>7.8949999999999996</v>
      </c>
      <c r="B7">
        <f t="shared" si="0"/>
        <v>-4.8415256312745321</v>
      </c>
      <c r="C7">
        <v>0.995</v>
      </c>
    </row>
    <row r="8" spans="1:10" x14ac:dyDescent="0.2">
      <c r="A8">
        <v>4.5190000000000001</v>
      </c>
      <c r="B8">
        <f t="shared" si="0"/>
        <v>-5.3994645485529942</v>
      </c>
      <c r="C8">
        <v>0.98099999999999998</v>
      </c>
    </row>
    <row r="9" spans="1:10" x14ac:dyDescent="0.2">
      <c r="A9">
        <v>3.7829999999999999</v>
      </c>
      <c r="B9">
        <f t="shared" si="0"/>
        <v>-5.5772379333312445</v>
      </c>
      <c r="C9">
        <v>0.97699999999999998</v>
      </c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7" sqref="B27"/>
    </sheetView>
  </sheetViews>
  <sheetFormatPr defaultRowHeight="12.75" x14ac:dyDescent="0.2"/>
  <sheetData>
    <row r="1" spans="1:10" ht="15.75" x14ac:dyDescent="0.25">
      <c r="A1" s="1" t="s">
        <v>62</v>
      </c>
      <c r="B1" s="1" t="s">
        <v>23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15.901999999999999</v>
      </c>
      <c r="B4">
        <f t="shared" ref="B4:B8" si="0">LN(A4*0.001)</f>
        <v>-4.1413103915028451</v>
      </c>
      <c r="C4">
        <v>1.042</v>
      </c>
      <c r="E4" s="7"/>
      <c r="F4" s="3">
        <f>0.0295/0.026</f>
        <v>1.1346153846153846</v>
      </c>
      <c r="G4" s="6">
        <f>EXP(-1.1639/(F4*0.026))</f>
        <v>7.3323376887534683E-18</v>
      </c>
      <c r="I4" s="9">
        <f>F4*0.026*LN(0.0296/G4)</f>
        <v>1.0600605629292625</v>
      </c>
      <c r="J4" s="9">
        <f>F4*0.026*LN(0.021/G4)</f>
        <v>1.0499346311828679</v>
      </c>
    </row>
    <row r="5" spans="1:10" x14ac:dyDescent="0.2">
      <c r="A5">
        <v>14.226000000000001</v>
      </c>
      <c r="B5">
        <f t="shared" si="0"/>
        <v>-4.2526840026708133</v>
      </c>
      <c r="C5">
        <v>1.038</v>
      </c>
      <c r="E5" s="7"/>
      <c r="F5" s="3"/>
      <c r="G5" s="6"/>
    </row>
    <row r="6" spans="1:10" x14ac:dyDescent="0.2">
      <c r="A6">
        <v>10.654</v>
      </c>
      <c r="B6">
        <f t="shared" si="0"/>
        <v>-4.5418198704873296</v>
      </c>
      <c r="C6">
        <v>1.03</v>
      </c>
      <c r="F6" s="3"/>
      <c r="G6" s="6"/>
    </row>
    <row r="7" spans="1:10" x14ac:dyDescent="0.2">
      <c r="A7">
        <v>8.3360000000000003</v>
      </c>
      <c r="B7">
        <f t="shared" si="0"/>
        <v>-4.787171793971126</v>
      </c>
      <c r="C7">
        <v>1.022</v>
      </c>
    </row>
    <row r="8" spans="1:10" x14ac:dyDescent="0.2">
      <c r="A8">
        <v>4.569</v>
      </c>
      <c r="B8">
        <f t="shared" si="0"/>
        <v>-5.3884609164010024</v>
      </c>
      <c r="C8">
        <v>1.0049999999999999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2" sqref="I2:J4"/>
    </sheetView>
  </sheetViews>
  <sheetFormatPr defaultRowHeight="12.75" x14ac:dyDescent="0.2"/>
  <sheetData>
    <row r="1" spans="1:11" ht="15.75" x14ac:dyDescent="0.25">
      <c r="A1" s="1" t="s">
        <v>61</v>
      </c>
      <c r="B1" s="1" t="s">
        <v>23</v>
      </c>
    </row>
    <row r="2" spans="1:11" ht="15.75" x14ac:dyDescent="0.25">
      <c r="A2" s="1" t="s">
        <v>15</v>
      </c>
      <c r="B2" s="1"/>
      <c r="I2" s="7" t="s">
        <v>63</v>
      </c>
    </row>
    <row r="3" spans="1:11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  <c r="K3" s="7"/>
    </row>
    <row r="4" spans="1:11" x14ac:dyDescent="0.2">
      <c r="A4">
        <v>15.657999999999999</v>
      </c>
      <c r="B4">
        <f t="shared" ref="B4:B8" si="0">LN(A4*0.001)</f>
        <v>-4.1567733104964146</v>
      </c>
      <c r="C4">
        <v>1.0409999999999999</v>
      </c>
      <c r="E4" s="7"/>
      <c r="F4" s="3">
        <f>0.0317/0.026</f>
        <v>1.2192307692307693</v>
      </c>
      <c r="G4" s="6">
        <f>EXP(-1.1726/(F4*0.026))</f>
        <v>8.614185346540533E-17</v>
      </c>
      <c r="I4" s="9">
        <f>F4*0.026*LN(0.0296/G4)</f>
        <v>1.0610166049104279</v>
      </c>
      <c r="J4" s="9">
        <f>F4*0.026*LN(0.021/G4)</f>
        <v>1.0501355189320989</v>
      </c>
      <c r="K4" s="9"/>
    </row>
    <row r="5" spans="1:11" x14ac:dyDescent="0.2">
      <c r="A5">
        <v>13.862</v>
      </c>
      <c r="B5">
        <f t="shared" si="0"/>
        <v>-4.2786039954863444</v>
      </c>
      <c r="C5">
        <v>1.0369999999999999</v>
      </c>
      <c r="E5" s="7"/>
      <c r="F5" s="3"/>
      <c r="G5" s="6"/>
      <c r="J5" s="9"/>
      <c r="K5" s="9"/>
    </row>
    <row r="6" spans="1:11" x14ac:dyDescent="0.2">
      <c r="A6">
        <v>10.461</v>
      </c>
      <c r="B6">
        <f t="shared" si="0"/>
        <v>-4.5601012226205135</v>
      </c>
      <c r="C6">
        <v>1.028</v>
      </c>
      <c r="F6" s="3"/>
      <c r="G6" s="6"/>
    </row>
    <row r="7" spans="1:11" x14ac:dyDescent="0.2">
      <c r="A7">
        <v>8.2439999999999998</v>
      </c>
      <c r="B7">
        <f t="shared" si="0"/>
        <v>-4.7982696159539246</v>
      </c>
      <c r="C7">
        <v>1.0209999999999999</v>
      </c>
    </row>
    <row r="8" spans="1:11" x14ac:dyDescent="0.2">
      <c r="A8">
        <v>4.5910000000000002</v>
      </c>
      <c r="B8">
        <f t="shared" si="0"/>
        <v>-5.3836574137150519</v>
      </c>
      <c r="C8">
        <v>1.002</v>
      </c>
    </row>
    <row r="9" spans="1:11" x14ac:dyDescent="0.2">
      <c r="F9" s="5"/>
    </row>
    <row r="12" spans="1:11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2" sqref="I2:J4"/>
    </sheetView>
  </sheetViews>
  <sheetFormatPr defaultRowHeight="12.75" x14ac:dyDescent="0.2"/>
  <cols>
    <col min="9" max="9" width="15" customWidth="1"/>
  </cols>
  <sheetData>
    <row r="1" spans="1:10" ht="15.75" x14ac:dyDescent="0.25">
      <c r="A1" s="1" t="s">
        <v>60</v>
      </c>
      <c r="B1" s="1" t="s">
        <v>23</v>
      </c>
    </row>
    <row r="2" spans="1:10" ht="15.75" x14ac:dyDescent="0.25">
      <c r="A2" s="1" t="s">
        <v>15</v>
      </c>
      <c r="B2" s="1"/>
      <c r="I2" s="7" t="s">
        <v>63</v>
      </c>
    </row>
    <row r="3" spans="1:10" x14ac:dyDescent="0.2">
      <c r="A3" t="s">
        <v>17</v>
      </c>
      <c r="B3" t="s">
        <v>4</v>
      </c>
      <c r="C3" t="s">
        <v>0</v>
      </c>
      <c r="F3" t="s">
        <v>5</v>
      </c>
      <c r="G3" t="s">
        <v>26</v>
      </c>
      <c r="I3" s="7" t="s">
        <v>64</v>
      </c>
      <c r="J3" s="7" t="s">
        <v>65</v>
      </c>
    </row>
    <row r="4" spans="1:10" x14ac:dyDescent="0.2">
      <c r="A4">
        <v>15.582000000000001</v>
      </c>
      <c r="B4">
        <f t="shared" ref="B4:B8" si="0">LN(A4*0.001)</f>
        <v>-4.1616388770734707</v>
      </c>
      <c r="C4">
        <v>1.0369999999999999</v>
      </c>
      <c r="E4" s="7"/>
      <c r="F4" s="3">
        <f>0.0298/0.026</f>
        <v>1.1461538461538463</v>
      </c>
      <c r="G4" s="8">
        <f>EXP(-1.161/(F4*0.026))</f>
        <v>1.2022743290961645E-17</v>
      </c>
      <c r="I4" s="9">
        <f>F4*0.026*LN(0.0296/G4)</f>
        <v>1.056104568653967</v>
      </c>
      <c r="J4" s="9">
        <f>F4*0.026*LN(0.021/G4)</f>
        <v>1.0458756613304905</v>
      </c>
    </row>
    <row r="5" spans="1:10" x14ac:dyDescent="0.2">
      <c r="A5">
        <v>13.79</v>
      </c>
      <c r="B5">
        <f t="shared" si="0"/>
        <v>-4.2838115871769267</v>
      </c>
      <c r="C5">
        <v>1.0329999999999999</v>
      </c>
      <c r="E5" s="7"/>
      <c r="F5" s="3"/>
      <c r="G5" s="6"/>
    </row>
    <row r="6" spans="1:10" x14ac:dyDescent="0.2">
      <c r="A6">
        <v>10.387</v>
      </c>
      <c r="B6">
        <f t="shared" si="0"/>
        <v>-4.5672002547364627</v>
      </c>
      <c r="C6">
        <v>1.0249999999999999</v>
      </c>
      <c r="F6" s="3"/>
      <c r="G6" s="6"/>
    </row>
    <row r="7" spans="1:10" x14ac:dyDescent="0.2">
      <c r="A7">
        <v>8.0850000000000009</v>
      </c>
      <c r="B7">
        <f t="shared" si="0"/>
        <v>-4.8177447859530664</v>
      </c>
      <c r="C7">
        <v>1.018</v>
      </c>
    </row>
    <row r="8" spans="1:10" x14ac:dyDescent="0.2">
      <c r="A8">
        <v>4.3929999999999998</v>
      </c>
      <c r="B8">
        <f t="shared" si="0"/>
        <v>-5.4277429139884941</v>
      </c>
      <c r="C8">
        <v>0.999</v>
      </c>
    </row>
    <row r="9" spans="1:10" x14ac:dyDescent="0.2">
      <c r="F9" s="5"/>
    </row>
    <row r="12" spans="1:10" x14ac:dyDescent="0.2">
      <c r="A12" s="7"/>
    </row>
    <row r="23" spans="1:2" ht="15.75" x14ac:dyDescent="0.25">
      <c r="A23" s="1"/>
      <c r="B23" s="1"/>
    </row>
    <row r="45" spans="2:8" ht="15.75" x14ac:dyDescent="0.25">
      <c r="B45" s="1" t="s">
        <v>41</v>
      </c>
      <c r="C45" s="1" t="s">
        <v>19</v>
      </c>
    </row>
    <row r="46" spans="2:8" ht="15.75" x14ac:dyDescent="0.25">
      <c r="B46" s="1" t="s">
        <v>14</v>
      </c>
      <c r="C46" s="1"/>
    </row>
    <row r="47" spans="2:8" x14ac:dyDescent="0.2">
      <c r="B47" t="s">
        <v>17</v>
      </c>
      <c r="C47" t="s">
        <v>4</v>
      </c>
      <c r="D47" t="s">
        <v>0</v>
      </c>
      <c r="G47" t="s">
        <v>5</v>
      </c>
      <c r="H47" t="s">
        <v>26</v>
      </c>
    </row>
    <row r="48" spans="2:8" x14ac:dyDescent="0.2">
      <c r="B48">
        <v>22</v>
      </c>
      <c r="C48">
        <f>LN(B48*0.001)</f>
        <v>-3.8167128256238212</v>
      </c>
      <c r="D48">
        <v>1.0329999999999999</v>
      </c>
      <c r="F48" t="s">
        <v>14</v>
      </c>
      <c r="G48" s="3">
        <f>0.0281/0.026</f>
        <v>1.0807692307692309</v>
      </c>
      <c r="H48" s="6">
        <f>EXP(-1.1401/(G48*0.026))</f>
        <v>2.3954663671693361E-18</v>
      </c>
    </row>
    <row r="49" spans="2:8" x14ac:dyDescent="0.2">
      <c r="B49">
        <v>10.211</v>
      </c>
      <c r="C49">
        <f>LN(B49*0.001)</f>
        <v>-4.5842897084087362</v>
      </c>
      <c r="D49">
        <v>1.0109999999999999</v>
      </c>
      <c r="G49" s="3"/>
      <c r="H49" s="6"/>
    </row>
    <row r="50" spans="2:8" x14ac:dyDescent="0.2">
      <c r="B50">
        <v>8.0609999999999999</v>
      </c>
      <c r="C50">
        <f>LN(B50*0.001)</f>
        <v>-4.820717660680673</v>
      </c>
      <c r="D50">
        <v>1.0049999999999999</v>
      </c>
      <c r="G50" s="3"/>
      <c r="H50" s="6"/>
    </row>
    <row r="53" spans="2:8" x14ac:dyDescent="0.2">
      <c r="G53" s="5"/>
    </row>
    <row r="56" spans="2:8" ht="15.75" x14ac:dyDescent="0.25">
      <c r="B56" s="1"/>
      <c r="C56" s="1"/>
    </row>
    <row r="67" spans="2:3" ht="15.75" x14ac:dyDescent="0.25">
      <c r="B67" s="1"/>
      <c r="C6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W1683</vt:lpstr>
      <vt:lpstr>W1682</vt:lpstr>
      <vt:lpstr>W1680</vt:lpstr>
      <vt:lpstr>W1678</vt:lpstr>
      <vt:lpstr>W1675</vt:lpstr>
      <vt:lpstr>W1674</vt:lpstr>
      <vt:lpstr>W1673</vt:lpstr>
      <vt:lpstr>W1672</vt:lpstr>
      <vt:lpstr>W1671</vt:lpstr>
      <vt:lpstr>W1670</vt:lpstr>
      <vt:lpstr>W1664</vt:lpstr>
      <vt:lpstr>W1662</vt:lpstr>
      <vt:lpstr>W1660</vt:lpstr>
      <vt:lpstr>W1657</vt:lpstr>
      <vt:lpstr>ELO tandem W1653</vt:lpstr>
      <vt:lpstr>W1642</vt:lpstr>
      <vt:lpstr>W1628</vt:lpstr>
      <vt:lpstr>W1623</vt:lpstr>
      <vt:lpstr>W1620</vt:lpstr>
      <vt:lpstr>W1582</vt:lpstr>
      <vt:lpstr>W1575</vt:lpstr>
      <vt:lpstr>W1554</vt:lpstr>
      <vt:lpstr>W1550</vt:lpstr>
      <vt:lpstr>ELO GaAs W1549</vt:lpstr>
      <vt:lpstr>ELO GaAs W1546</vt:lpstr>
      <vt:lpstr>ELO GaAs W1535</vt:lpstr>
      <vt:lpstr>ELO GaAs W1542</vt:lpstr>
      <vt:lpstr>GaAs W1544</vt:lpstr>
      <vt:lpstr>GaAs W1295</vt:lpstr>
      <vt:lpstr>GaAs W1302</vt:lpstr>
      <vt:lpstr>InGaP W1340</vt:lpstr>
      <vt:lpstr>InGaP W1438</vt:lpstr>
      <vt:lpstr>tandem W1543</vt:lpstr>
      <vt:lpstr>tandem W1347</vt:lpstr>
      <vt:lpstr>ELO tandem W1374</vt:lpstr>
    </vt:vector>
  </TitlesOfParts>
  <Company>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</dc:creator>
  <cp:lastModifiedBy>gerardba</cp:lastModifiedBy>
  <cp:lastPrinted>2012-04-02T09:24:47Z</cp:lastPrinted>
  <dcterms:created xsi:type="dcterms:W3CDTF">2011-09-27T14:56:10Z</dcterms:created>
  <dcterms:modified xsi:type="dcterms:W3CDTF">2013-01-03T14:17:07Z</dcterms:modified>
</cp:coreProperties>
</file>